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lauroojeda_microsoft_com/Documents/Documents/"/>
    </mc:Choice>
  </mc:AlternateContent>
  <xr:revisionPtr revIDLastSave="561" documentId="8_{F3782C0B-3DB8-4A7E-BA67-5E95D334CDF7}" xr6:coauthVersionLast="47" xr6:coauthVersionMax="47" xr10:uidLastSave="{09C0D3DE-C4FE-4203-9D64-50EC84BA4500}"/>
  <bookViews>
    <workbookView xWindow="-120" yWindow="-120" windowWidth="29040" windowHeight="17520" xr2:uid="{BEBC529B-D024-4383-90EE-1464D01CAE3B}"/>
  </bookViews>
  <sheets>
    <sheet name="Parameters" sheetId="1" r:id="rId1"/>
    <sheet name="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H11" i="1" s="1"/>
  <c r="I11" i="1" s="1"/>
  <c r="G9" i="1"/>
  <c r="G4" i="1"/>
  <c r="H4" i="1" s="1"/>
  <c r="I4" i="1" s="1"/>
  <c r="G8" i="1"/>
  <c r="I7" i="1"/>
  <c r="H7" i="1"/>
  <c r="G7" i="1"/>
  <c r="H6" i="1"/>
  <c r="G6" i="1"/>
  <c r="I6" i="1"/>
  <c r="H5" i="1"/>
  <c r="I5" i="1"/>
  <c r="G5" i="1"/>
  <c r="I8" i="1"/>
  <c r="H8" i="1"/>
  <c r="G14" i="1"/>
  <c r="H14" i="1" s="1"/>
  <c r="I14" i="1" s="1"/>
  <c r="G13" i="1"/>
  <c r="H13" i="1" s="1"/>
  <c r="I13" i="1" s="1"/>
  <c r="H2" i="1"/>
  <c r="I2" i="1"/>
  <c r="G2" i="1"/>
  <c r="G20" i="1" l="1"/>
  <c r="G10" i="1"/>
  <c r="H9" i="1"/>
  <c r="H20" i="1" l="1"/>
  <c r="H10" i="1"/>
  <c r="I9" i="1"/>
  <c r="I10" i="1" l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tc={007CE0CE-7A01-432E-B46C-83DF696DA0C1}</author>
    <author>tc={7A0D7422-1906-4006-87C3-8471B60B6243}</author>
  </authors>
  <commentList>
    <comment ref="E1" authorId="0" shapeId="0" xr:uid="{007CE0CE-7A01-432E-B46C-83DF696D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 would be easier if you run me through the spreadsheet, so I do not post moronic comments :-)
Reply:
    Fair, lets do it.</t>
      </text>
    </comment>
    <comment ref="F1" authorId="1" shapeId="0" xr:uid="{7A0D7422-1906-4006-87C3-8471B60B624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purpose of this column is to have the default for Flex server, I would indicate what is the specific PGSQL version
Reply:
    As of now, these parameters defaults span across all versions of Flex-PG</t>
      </text>
    </comment>
  </commentList>
</comments>
</file>

<file path=xl/sharedStrings.xml><?xml version="1.0" encoding="utf-8"?>
<sst xmlns="http://schemas.openxmlformats.org/spreadsheetml/2006/main" count="184" uniqueCount="117">
  <si>
    <t>Category</t>
  </si>
  <si>
    <t>Sub-category</t>
  </si>
  <si>
    <t>Resource</t>
  </si>
  <si>
    <t>Relevance</t>
  </si>
  <si>
    <t>Parameter</t>
  </si>
  <si>
    <t>Default</t>
  </si>
  <si>
    <t>Conservative</t>
  </si>
  <si>
    <t>Balanced</t>
  </si>
  <si>
    <t>Aggressive</t>
  </si>
  <si>
    <t>Unit</t>
  </si>
  <si>
    <t>Notes</t>
  </si>
  <si>
    <t>Server Settings</t>
  </si>
  <si>
    <t>Maintenance</t>
  </si>
  <si>
    <t>Parallelism</t>
  </si>
  <si>
    <t>CPU</t>
  </si>
  <si>
    <t>max_parallel_maintenance_workers</t>
  </si>
  <si>
    <t>Postgresql</t>
  </si>
  <si>
    <t>Server</t>
  </si>
  <si>
    <t>Storage</t>
  </si>
  <si>
    <t>Memory</t>
  </si>
  <si>
    <t>Settings</t>
  </si>
  <si>
    <t>maintenance_work_mem</t>
  </si>
  <si>
    <t>MB</t>
  </si>
  <si>
    <t>Type</t>
  </si>
  <si>
    <t>Version</t>
  </si>
  <si>
    <t>Tier</t>
  </si>
  <si>
    <t>Class</t>
  </si>
  <si>
    <t>CPUs</t>
  </si>
  <si>
    <t>Size (GiB)</t>
  </si>
  <si>
    <t>IOPS</t>
  </si>
  <si>
    <t>Size (GB)</t>
  </si>
  <si>
    <t>Medium</t>
  </si>
  <si>
    <t>Flex server</t>
  </si>
  <si>
    <t>General Purpose</t>
  </si>
  <si>
    <t>D16s</t>
  </si>
  <si>
    <t>SSD_v2</t>
  </si>
  <si>
    <t>Vacuum</t>
  </si>
  <si>
    <t>Low</t>
  </si>
  <si>
    <t>autovacuum_analyze_threshold</t>
  </si>
  <si>
    <t>https://docs.azure.cn/en-us/postgresql/flexible-server/concepts-intelligent-tuning</t>
  </si>
  <si>
    <t>autovacuum_max_workers</t>
  </si>
  <si>
    <t>Load Settings</t>
  </si>
  <si>
    <t>autovacuum_vacuum_insert_threshold</t>
  </si>
  <si>
    <t>Max Connections</t>
  </si>
  <si>
    <t>Database role</t>
  </si>
  <si>
    <t>JOINs in worse/important query</t>
  </si>
  <si>
    <t>Database size(GB)</t>
  </si>
  <si>
    <t>Size of busier table (GB)</t>
  </si>
  <si>
    <t>vacuum_cost_limit</t>
  </si>
  <si>
    <t>Performance</t>
  </si>
  <si>
    <t>effective_cache_size</t>
  </si>
  <si>
    <t>High</t>
  </si>
  <si>
    <t>shared_buffers</t>
  </si>
  <si>
    <t>Paula: https://postgresqlco.nf/doc/en/param/shared_buffers/</t>
  </si>
  <si>
    <t>WAL</t>
  </si>
  <si>
    <t>wal_buffers</t>
  </si>
  <si>
    <t>work_mem</t>
  </si>
  <si>
    <t>max_parallel_workers</t>
  </si>
  <si>
    <t>max_parallel_workers_per_gather</t>
  </si>
  <si>
    <t>max_worker_processes</t>
  </si>
  <si>
    <t>default_statistics_target</t>
  </si>
  <si>
    <t>Increasing it will likely to improve overall performance, BUT vacuum will take much longer</t>
  </si>
  <si>
    <t>from_collapse_limit</t>
  </si>
  <si>
    <t>join_collapse_limit</t>
  </si>
  <si>
    <t>max_connections</t>
  </si>
  <si>
    <t>max_wal_size</t>
  </si>
  <si>
    <t>GB</t>
  </si>
  <si>
    <t>min_wal_size</t>
  </si>
  <si>
    <t>Disk</t>
  </si>
  <si>
    <t>random_page_cost</t>
  </si>
  <si>
    <t>PG types</t>
  </si>
  <si>
    <t>PG versions</t>
  </si>
  <si>
    <t>Server tier</t>
  </si>
  <si>
    <t>Server size</t>
  </si>
  <si>
    <t>Storage type</t>
  </si>
  <si>
    <t>Storage IOPS</t>
  </si>
  <si>
    <t>Memory size</t>
  </si>
  <si>
    <t>Database type</t>
  </si>
  <si>
    <t>Burstable</t>
  </si>
  <si>
    <t>B1ms</t>
  </si>
  <si>
    <t>SSD</t>
  </si>
  <si>
    <t>OLTP</t>
  </si>
  <si>
    <t>Orion</t>
  </si>
  <si>
    <t>B2s</t>
  </si>
  <si>
    <t>OLAP</t>
  </si>
  <si>
    <t>Memory Optimized</t>
  </si>
  <si>
    <t>D2s</t>
  </si>
  <si>
    <t>RAG</t>
  </si>
  <si>
    <t>D4s</t>
  </si>
  <si>
    <t>Mixed</t>
  </si>
  <si>
    <t>D8s</t>
  </si>
  <si>
    <t>D32s</t>
  </si>
  <si>
    <t>D48s</t>
  </si>
  <si>
    <t>D64s</t>
  </si>
  <si>
    <t>D2ds</t>
  </si>
  <si>
    <t>D4ds</t>
  </si>
  <si>
    <t>D8ds</t>
  </si>
  <si>
    <t>D16ds</t>
  </si>
  <si>
    <t>D32ds</t>
  </si>
  <si>
    <t>D48ds</t>
  </si>
  <si>
    <t>D64ds</t>
  </si>
  <si>
    <t>E2s</t>
  </si>
  <si>
    <t>E4s</t>
  </si>
  <si>
    <t>E8s</t>
  </si>
  <si>
    <t>E16s</t>
  </si>
  <si>
    <t>E32s</t>
  </si>
  <si>
    <t>E48s</t>
  </si>
  <si>
    <t>E64s</t>
  </si>
  <si>
    <t>E2ds</t>
  </si>
  <si>
    <t>E4ds</t>
  </si>
  <si>
    <t>E8ds</t>
  </si>
  <si>
    <t>E16ds</t>
  </si>
  <si>
    <t>E20ds</t>
  </si>
  <si>
    <t>E32ds</t>
  </si>
  <si>
    <t>E48ds</t>
  </si>
  <si>
    <t>E64ds</t>
  </si>
  <si>
    <t>Won´t apply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</si>
</sst>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4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1" applyAlignment="1">
      <alignment wrapText="1"/>
    </xf>
    <xf numFmtId="0" fontId="4" fillId="0" borderId="0" xfId="0" applyFont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Berenguel" id="{D399781F-6144-464A-A4A9-C94060504BA1}" userId="S::paberen@microsoft.com::bab3730a-792b-421e-afdf-ce9aabce56ed" providerId="AD"/>
  <person displayName="Lauro Ojeda" id="{93D9B33E-7F3F-4A60-867F-FBD6B3FE05E2}" userId="S::lauroojeda@microsoft.com::b4951e28-6e0a-4e78-b7e9-b9d2530f5d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6-17T21:01:50.12" personId="{D399781F-6144-464A-A4A9-C94060504BA1}" id="{007CE0CE-7A01-432E-B46C-83DF696DA0C1}">
    <text>I think it would be easier if you run me through the spreadsheet, so I do not post moronic comments :-)</text>
  </threadedComment>
  <threadedComment ref="E1" dT="2025-06-18T10:52:01.90" personId="{93D9B33E-7F3F-4A60-867F-FBD6B3FE05E2}" id="{FB6A3578-DCB5-4D30-B0D0-6E5F2D0ECD84}" parentId="{007CE0CE-7A01-432E-B46C-83DF696DA0C1}">
    <text>Fair, lets do it.</text>
  </threadedComment>
  <threadedComment ref="F1" dT="2025-06-17T21:00:01.64" personId="{D399781F-6144-464A-A4A9-C94060504BA1}" id="{7A0D7422-1906-4006-87C3-8471B60B6243}">
    <text>if the purpose of this column is to have the default for Flex server, I would indicate what is the specific PGSQL version</text>
  </threadedComment>
  <threadedComment ref="F1" dT="2025-06-18T10:51:02.48" personId="{93D9B33E-7F3F-4A60-867F-FBD6B3FE05E2}" id="{8A84FF53-6823-44B1-8874-E11FDCEBE299}" parentId="{7A0D7422-1906-4006-87C3-8471B60B6243}">
    <text>As of now, these parameters defaults span across all versions of Flex-PG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azure.cn/en-us/postgresql/flexible-server/concepts-intelligent-tuning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F953-4AC0-43ED-ABB4-E76F26C897B8}">
  <dimension ref="A1:U23"/>
  <sheetViews>
    <sheetView tabSelected="1" workbookViewId="0">
      <selection activeCell="A4" sqref="A4:I4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9.140625" bestFit="1" customWidth="1"/>
    <col min="4" max="4" width="9.85546875" bestFit="1" customWidth="1"/>
    <col min="5" max="5" width="35.85546875" bestFit="1" customWidth="1"/>
    <col min="6" max="6" width="7.28515625" bestFit="1" customWidth="1"/>
    <col min="7" max="7" width="12.140625" bestFit="1" customWidth="1"/>
    <col min="8" max="8" width="9.28515625" bestFit="1" customWidth="1"/>
    <col min="9" max="9" width="10.28515625" bestFit="1" customWidth="1"/>
    <col min="10" max="10" width="5.42578125" customWidth="1"/>
    <col min="11" max="11" width="45.42578125" style="1" customWidth="1"/>
    <col min="12" max="12" width="3.5703125" style="2" customWidth="1"/>
    <col min="13" max="13" width="16.140625" bestFit="1" customWidth="1"/>
    <col min="14" max="14" width="13.42578125" bestFit="1" customWidth="1"/>
    <col min="15" max="15" width="29.28515625" bestFit="1" customWidth="1"/>
    <col min="16" max="16" width="17.42578125" bestFit="1" customWidth="1"/>
    <col min="17" max="18" width="22.140625" bestFit="1" customWidth="1"/>
    <col min="19" max="19" width="9.28515625" bestFit="1" customWidth="1"/>
    <col min="21" max="21" width="8.710937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13" t="s">
        <v>11</v>
      </c>
      <c r="N1" s="14"/>
      <c r="O1" s="14"/>
      <c r="P1" s="14"/>
      <c r="Q1" s="14"/>
      <c r="R1" s="14"/>
      <c r="S1" s="14"/>
      <c r="T1" s="14"/>
      <c r="U1" s="15"/>
    </row>
    <row r="2" spans="1:21" x14ac:dyDescent="0.25">
      <c r="A2" s="19" t="s">
        <v>49</v>
      </c>
      <c r="B2" s="19" t="s">
        <v>20</v>
      </c>
      <c r="C2" s="19"/>
      <c r="D2" s="19" t="s">
        <v>51</v>
      </c>
      <c r="E2" s="19" t="s">
        <v>64</v>
      </c>
      <c r="F2" s="19">
        <v>50</v>
      </c>
      <c r="G2" s="19">
        <f>$M$8</f>
        <v>1500</v>
      </c>
      <c r="H2" s="19">
        <f>$M$8</f>
        <v>1500</v>
      </c>
      <c r="I2" s="19">
        <f>$M$8</f>
        <v>1500</v>
      </c>
      <c r="J2" s="19"/>
      <c r="K2"/>
      <c r="M2" s="16" t="s">
        <v>16</v>
      </c>
      <c r="N2" s="17"/>
      <c r="O2" s="16" t="s">
        <v>17</v>
      </c>
      <c r="P2" s="18"/>
      <c r="Q2" s="17"/>
      <c r="R2" s="16" t="s">
        <v>18</v>
      </c>
      <c r="S2" s="18"/>
      <c r="T2" s="17"/>
      <c r="U2" s="9" t="s">
        <v>19</v>
      </c>
    </row>
    <row r="3" spans="1:21" s="19" customFormat="1" x14ac:dyDescent="0.25">
      <c r="A3" s="19" t="s">
        <v>49</v>
      </c>
      <c r="B3" s="19" t="s">
        <v>20</v>
      </c>
      <c r="C3" s="19" t="s">
        <v>68</v>
      </c>
      <c r="D3" s="19" t="s">
        <v>51</v>
      </c>
      <c r="E3" s="19" t="s">
        <v>69</v>
      </c>
      <c r="F3" s="19">
        <v>2</v>
      </c>
      <c r="G3" s="19">
        <v>1.2</v>
      </c>
      <c r="H3" s="19">
        <v>1.1000000000000001</v>
      </c>
      <c r="I3" s="19">
        <v>1.05</v>
      </c>
      <c r="J3"/>
      <c r="K3"/>
      <c r="L3" s="21"/>
      <c r="M3" s="22" t="s">
        <v>23</v>
      </c>
      <c r="N3" s="23" t="s">
        <v>24</v>
      </c>
      <c r="O3" s="22" t="s">
        <v>25</v>
      </c>
      <c r="P3" s="24" t="s">
        <v>26</v>
      </c>
      <c r="Q3" s="23" t="s">
        <v>27</v>
      </c>
      <c r="R3" s="22" t="s">
        <v>23</v>
      </c>
      <c r="S3" s="24" t="s">
        <v>28</v>
      </c>
      <c r="T3" s="23" t="s">
        <v>29</v>
      </c>
      <c r="U3" s="25" t="s">
        <v>30</v>
      </c>
    </row>
    <row r="4" spans="1:21" x14ac:dyDescent="0.25">
      <c r="A4" s="19" t="s">
        <v>12</v>
      </c>
      <c r="B4" s="19" t="s">
        <v>13</v>
      </c>
      <c r="C4" s="19" t="s">
        <v>14</v>
      </c>
      <c r="D4" s="19"/>
      <c r="E4" s="19" t="s">
        <v>15</v>
      </c>
      <c r="F4" s="19">
        <v>2</v>
      </c>
      <c r="G4" s="19">
        <f>IF($Q$4*0.1&lt;=F4,F4,ROUND($Q$4*0.2,0))</f>
        <v>2</v>
      </c>
      <c r="H4" s="19">
        <f>IF($Q$4*0.2&lt;=G4,G4,ROUND($Q$4*0.25,0))</f>
        <v>4</v>
      </c>
      <c r="I4" s="19">
        <f>IF($Q$4*0.3&lt;=H4,H4,ROUND($Q$4*0.3,0))</f>
        <v>5</v>
      </c>
      <c r="M4" s="6" t="s">
        <v>32</v>
      </c>
      <c r="N4" s="7">
        <v>16</v>
      </c>
      <c r="O4" s="6" t="s">
        <v>33</v>
      </c>
      <c r="P4" s="8" t="s">
        <v>34</v>
      </c>
      <c r="Q4" s="7">
        <v>16</v>
      </c>
      <c r="R4" s="6" t="s">
        <v>35</v>
      </c>
      <c r="S4" s="8">
        <v>500</v>
      </c>
      <c r="T4" s="7">
        <v>20000</v>
      </c>
      <c r="U4" s="10">
        <v>32</v>
      </c>
    </row>
    <row r="5" spans="1:21" x14ac:dyDescent="0.25">
      <c r="A5" s="19" t="s">
        <v>12</v>
      </c>
      <c r="B5" s="19" t="s">
        <v>20</v>
      </c>
      <c r="C5" s="19" t="s">
        <v>19</v>
      </c>
      <c r="D5" s="19"/>
      <c r="E5" s="19" t="s">
        <v>21</v>
      </c>
      <c r="F5" s="19">
        <v>97</v>
      </c>
      <c r="G5" s="19">
        <f>ROUND(($U$4*1024)*0.05,0)</f>
        <v>1638</v>
      </c>
      <c r="H5" s="19">
        <f>ROUND(($U$4*1024)*0.075,0)</f>
        <v>2458</v>
      </c>
      <c r="I5" s="19">
        <f>ROUND(($U$4*1024)*0.1,0)</f>
        <v>3277</v>
      </c>
      <c r="J5" s="19" t="s">
        <v>22</v>
      </c>
      <c r="K5" s="20"/>
    </row>
    <row r="6" spans="1:21" x14ac:dyDescent="0.25">
      <c r="A6" s="19" t="s">
        <v>49</v>
      </c>
      <c r="B6" s="19" t="s">
        <v>19</v>
      </c>
      <c r="C6" s="19" t="s">
        <v>19</v>
      </c>
      <c r="D6" s="19"/>
      <c r="E6" s="19" t="s">
        <v>50</v>
      </c>
      <c r="F6" s="19">
        <v>1792</v>
      </c>
      <c r="G6" s="19">
        <f>ROUND(($U$4*1024)*0.5,0)</f>
        <v>16384</v>
      </c>
      <c r="H6" s="19">
        <f>ROUND(($U$4*1024)*0.65,0)</f>
        <v>21299</v>
      </c>
      <c r="I6" s="19">
        <f>ROUND(($U$4*1024)*0.8,0)</f>
        <v>26214</v>
      </c>
      <c r="J6" s="19" t="s">
        <v>22</v>
      </c>
      <c r="K6" s="20"/>
      <c r="M6" s="13" t="s">
        <v>41</v>
      </c>
      <c r="N6" s="14"/>
      <c r="O6" s="14"/>
      <c r="P6" s="14"/>
      <c r="Q6" s="15"/>
    </row>
    <row r="7" spans="1:21" ht="45" x14ac:dyDescent="0.25">
      <c r="A7" s="19" t="s">
        <v>49</v>
      </c>
      <c r="B7" s="19" t="s">
        <v>19</v>
      </c>
      <c r="C7" s="19" t="s">
        <v>19</v>
      </c>
      <c r="D7" s="19" t="s">
        <v>51</v>
      </c>
      <c r="E7" s="19" t="s">
        <v>52</v>
      </c>
      <c r="F7" s="19">
        <v>256</v>
      </c>
      <c r="G7" s="19">
        <f>ROUND(($U$4*1024)*0.25,0)</f>
        <v>8192</v>
      </c>
      <c r="H7" s="19">
        <f>ROUND(($U$4*1024)*0.3,0)</f>
        <v>9830</v>
      </c>
      <c r="I7" s="19">
        <f>ROUND(($U$4*1024)*0.35,0)</f>
        <v>11469</v>
      </c>
      <c r="J7" s="19" t="s">
        <v>22</v>
      </c>
      <c r="K7" s="20" t="s">
        <v>53</v>
      </c>
      <c r="M7" s="5" t="s">
        <v>43</v>
      </c>
      <c r="N7" s="5" t="s">
        <v>44</v>
      </c>
      <c r="O7" s="5" t="s">
        <v>45</v>
      </c>
      <c r="P7" s="5" t="s">
        <v>46</v>
      </c>
      <c r="Q7" s="5" t="s">
        <v>47</v>
      </c>
    </row>
    <row r="8" spans="1:21" x14ac:dyDescent="0.25">
      <c r="A8" s="19" t="s">
        <v>49</v>
      </c>
      <c r="B8" s="19" t="s">
        <v>19</v>
      </c>
      <c r="C8" s="19" t="s">
        <v>19</v>
      </c>
      <c r="D8" s="19" t="s">
        <v>51</v>
      </c>
      <c r="E8" s="19" t="s">
        <v>56</v>
      </c>
      <c r="F8" s="19">
        <v>4</v>
      </c>
      <c r="G8" s="19">
        <f>ROUND(($U$4*1024)/($M$8*0.25)/($O$8*0.5),0)</f>
        <v>9</v>
      </c>
      <c r="H8" s="19">
        <f>ROUND(($U$4*1024)/($M$8*0.1)/($O$8*0.5),0)</f>
        <v>22</v>
      </c>
      <c r="I8" s="19">
        <f>ROUND(($U$4*1024)/($M$8*0.05)/($O$8*0.5),0)</f>
        <v>44</v>
      </c>
      <c r="J8" s="19" t="s">
        <v>22</v>
      </c>
      <c r="K8" s="20"/>
      <c r="M8">
        <v>1500</v>
      </c>
      <c r="O8">
        <v>20</v>
      </c>
      <c r="P8">
        <v>500</v>
      </c>
    </row>
    <row r="9" spans="1:21" s="19" customFormat="1" x14ac:dyDescent="0.25">
      <c r="A9" s="19" t="s">
        <v>49</v>
      </c>
      <c r="B9" s="19" t="s">
        <v>13</v>
      </c>
      <c r="C9" s="19" t="s">
        <v>14</v>
      </c>
      <c r="E9" s="19" t="s">
        <v>57</v>
      </c>
      <c r="F9" s="19">
        <v>8</v>
      </c>
      <c r="G9" s="19">
        <f>IF($Q$4&lt;=F9,F9,ROUND($Q$4*0.8,0))</f>
        <v>13</v>
      </c>
      <c r="H9" s="19">
        <f>IF($Q$4&lt;=G9,G9,ROUND($Q$4,0))</f>
        <v>16</v>
      </c>
      <c r="I9" s="19">
        <f>IF($Q$4&lt;=H9,H9,ROUND($Q$4,0))</f>
        <v>16</v>
      </c>
      <c r="K9" s="20"/>
      <c r="L9" s="21"/>
    </row>
    <row r="10" spans="1:21" s="19" customFormat="1" x14ac:dyDescent="0.25">
      <c r="A10" s="19" t="s">
        <v>49</v>
      </c>
      <c r="B10" s="19" t="s">
        <v>13</v>
      </c>
      <c r="C10" s="19" t="s">
        <v>14</v>
      </c>
      <c r="E10" s="19" t="s">
        <v>58</v>
      </c>
      <c r="F10" s="19">
        <v>2</v>
      </c>
      <c r="G10" s="19">
        <f>ROUND(G9/2,0)</f>
        <v>7</v>
      </c>
      <c r="H10" s="19">
        <f>ROUND(H9/2,0)</f>
        <v>8</v>
      </c>
      <c r="I10" s="19">
        <f>ROUND(I9/2,0)</f>
        <v>8</v>
      </c>
      <c r="K10" s="20"/>
      <c r="L10" s="21"/>
    </row>
    <row r="11" spans="1:21" s="19" customFormat="1" x14ac:dyDescent="0.25">
      <c r="A11" s="19" t="s">
        <v>49</v>
      </c>
      <c r="B11" s="19" t="s">
        <v>13</v>
      </c>
      <c r="C11" s="19" t="s">
        <v>14</v>
      </c>
      <c r="E11" s="19" t="s">
        <v>59</v>
      </c>
      <c r="F11" s="19">
        <v>8</v>
      </c>
      <c r="G11" s="19">
        <f>IF($Q$4&lt;=F11,F11,ROUND($Q$4*0.8,0))</f>
        <v>13</v>
      </c>
      <c r="H11" s="19">
        <f>IF($Q$4&lt;=G11,G11,ROUND($Q$4,0))</f>
        <v>16</v>
      </c>
      <c r="I11" s="19">
        <f>IF($Q$4&lt;=H11,H11,ROUND($Q$4,0))</f>
        <v>16</v>
      </c>
      <c r="K11" s="20"/>
      <c r="L11" s="21"/>
    </row>
    <row r="12" spans="1:21" s="19" customFormat="1" ht="30" x14ac:dyDescent="0.25">
      <c r="A12" s="19" t="s">
        <v>49</v>
      </c>
      <c r="B12" s="19" t="s">
        <v>20</v>
      </c>
      <c r="C12" s="19" t="s">
        <v>14</v>
      </c>
      <c r="E12" s="19" t="s">
        <v>60</v>
      </c>
      <c r="F12" s="19">
        <v>100</v>
      </c>
      <c r="G12" s="19">
        <v>500</v>
      </c>
      <c r="H12" s="19">
        <v>1000</v>
      </c>
      <c r="I12" s="19">
        <v>5000</v>
      </c>
      <c r="K12" s="20" t="s">
        <v>61</v>
      </c>
      <c r="L12" s="21"/>
    </row>
    <row r="13" spans="1:21" s="19" customFormat="1" x14ac:dyDescent="0.25">
      <c r="A13" s="19" t="s">
        <v>49</v>
      </c>
      <c r="B13" s="19" t="s">
        <v>20</v>
      </c>
      <c r="C13" s="19" t="s">
        <v>19</v>
      </c>
      <c r="E13" s="19" t="s">
        <v>62</v>
      </c>
      <c r="F13" s="19">
        <v>8</v>
      </c>
      <c r="G13" s="19">
        <f>40</f>
        <v>40</v>
      </c>
      <c r="H13" s="19">
        <f>$U$4+G13</f>
        <v>72</v>
      </c>
      <c r="I13" s="19">
        <f>H13*1.5</f>
        <v>108</v>
      </c>
      <c r="K13" s="20"/>
      <c r="L13" s="21"/>
    </row>
    <row r="14" spans="1:21" s="19" customFormat="1" x14ac:dyDescent="0.25">
      <c r="A14" s="19" t="s">
        <v>49</v>
      </c>
      <c r="B14" s="19" t="s">
        <v>20</v>
      </c>
      <c r="C14" s="19" t="s">
        <v>19</v>
      </c>
      <c r="E14" s="19" t="s">
        <v>63</v>
      </c>
      <c r="F14" s="19">
        <v>8</v>
      </c>
      <c r="G14" s="19">
        <f>40</f>
        <v>40</v>
      </c>
      <c r="H14" s="19">
        <f>$U$4+G14</f>
        <v>72</v>
      </c>
      <c r="I14" s="19">
        <f>H14*1.5</f>
        <v>108</v>
      </c>
      <c r="K14" s="20"/>
      <c r="L14" s="21"/>
    </row>
    <row r="15" spans="1:21" s="19" customFormat="1" x14ac:dyDescent="0.25">
      <c r="A15" s="26" t="s">
        <v>116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1"/>
    </row>
    <row r="16" spans="1:21" s="19" customFormat="1" x14ac:dyDescent="0.25">
      <c r="A16" t="s">
        <v>49</v>
      </c>
      <c r="B16" t="s">
        <v>19</v>
      </c>
      <c r="C16" t="s">
        <v>54</v>
      </c>
      <c r="D16" t="s">
        <v>37</v>
      </c>
      <c r="E16" t="s">
        <v>55</v>
      </c>
      <c r="F16">
        <v>16</v>
      </c>
      <c r="G16"/>
      <c r="H16"/>
      <c r="I16"/>
      <c r="J16" t="s">
        <v>22</v>
      </c>
      <c r="K16" s="1"/>
      <c r="L16" s="21"/>
    </row>
    <row r="17" spans="1:12" s="19" customFormat="1" x14ac:dyDescent="0.25">
      <c r="A17" t="s">
        <v>49</v>
      </c>
      <c r="B17" t="s">
        <v>20</v>
      </c>
      <c r="C17" t="s">
        <v>54</v>
      </c>
      <c r="D17" t="s">
        <v>31</v>
      </c>
      <c r="E17" t="s">
        <v>65</v>
      </c>
      <c r="F17">
        <v>2</v>
      </c>
      <c r="G17"/>
      <c r="H17"/>
      <c r="I17"/>
      <c r="J17" t="s">
        <v>66</v>
      </c>
      <c r="K17" s="1"/>
      <c r="L17" s="21"/>
    </row>
    <row r="18" spans="1:12" x14ac:dyDescent="0.25">
      <c r="A18" t="s">
        <v>49</v>
      </c>
      <c r="B18" t="s">
        <v>20</v>
      </c>
      <c r="C18" t="s">
        <v>54</v>
      </c>
      <c r="D18" t="s">
        <v>37</v>
      </c>
      <c r="E18" t="s">
        <v>67</v>
      </c>
      <c r="F18">
        <v>80</v>
      </c>
      <c r="J18" t="s">
        <v>22</v>
      </c>
    </row>
    <row r="19" spans="1:12" ht="30" x14ac:dyDescent="0.25">
      <c r="A19" t="s">
        <v>12</v>
      </c>
      <c r="B19" t="s">
        <v>36</v>
      </c>
      <c r="C19" t="s">
        <v>14</v>
      </c>
      <c r="D19" t="s">
        <v>37</v>
      </c>
      <c r="E19" t="s">
        <v>38</v>
      </c>
      <c r="F19">
        <v>50</v>
      </c>
      <c r="G19">
        <v>500</v>
      </c>
      <c r="H19">
        <v>1000</v>
      </c>
      <c r="I19">
        <v>2000</v>
      </c>
      <c r="K19" s="11" t="s">
        <v>39</v>
      </c>
    </row>
    <row r="20" spans="1:12" x14ac:dyDescent="0.25">
      <c r="A20" t="s">
        <v>12</v>
      </c>
      <c r="B20" t="s">
        <v>36</v>
      </c>
      <c r="C20" t="s">
        <v>14</v>
      </c>
      <c r="D20" t="s">
        <v>31</v>
      </c>
      <c r="E20" t="s">
        <v>40</v>
      </c>
      <c r="F20">
        <v>3</v>
      </c>
      <c r="G20">
        <f>ROUND(G9*0.2,0)</f>
        <v>3</v>
      </c>
      <c r="H20">
        <f>ROUND(H9*0.2,0)</f>
        <v>3</v>
      </c>
      <c r="I20">
        <f>ROUND(I9*0.3,0)</f>
        <v>5</v>
      </c>
    </row>
    <row r="21" spans="1:12" x14ac:dyDescent="0.25">
      <c r="A21" t="s">
        <v>12</v>
      </c>
      <c r="B21" t="s">
        <v>36</v>
      </c>
      <c r="C21" t="s">
        <v>14</v>
      </c>
      <c r="E21" t="s">
        <v>42</v>
      </c>
      <c r="F21">
        <v>1000</v>
      </c>
      <c r="G21">
        <v>1000</v>
      </c>
      <c r="H21">
        <v>3000</v>
      </c>
      <c r="I21">
        <v>5000</v>
      </c>
    </row>
    <row r="22" spans="1:12" s="19" customFormat="1" x14ac:dyDescent="0.25">
      <c r="A22" t="s">
        <v>12</v>
      </c>
      <c r="B22" t="s">
        <v>36</v>
      </c>
      <c r="C22" t="s">
        <v>14</v>
      </c>
      <c r="D22"/>
      <c r="E22" t="s">
        <v>48</v>
      </c>
      <c r="F22">
        <v>200</v>
      </c>
      <c r="G22">
        <v>500</v>
      </c>
      <c r="H22">
        <v>2000</v>
      </c>
      <c r="I22">
        <v>3000</v>
      </c>
      <c r="J22"/>
      <c r="K22" s="1"/>
      <c r="L22" s="21"/>
    </row>
    <row r="23" spans="1:12" x14ac:dyDescent="0.25">
      <c r="E23" s="12"/>
    </row>
  </sheetData>
  <sortState xmlns:xlrd2="http://schemas.microsoft.com/office/spreadsheetml/2017/richdata2" ref="A4:K19">
    <sortCondition ref="A4:A19"/>
    <sortCondition ref="B4:B19"/>
    <sortCondition ref="E4:E19"/>
  </sortState>
  <mergeCells count="6">
    <mergeCell ref="A15:K15"/>
    <mergeCell ref="M6:Q6"/>
    <mergeCell ref="M2:N2"/>
    <mergeCell ref="R2:T2"/>
    <mergeCell ref="M1:U1"/>
    <mergeCell ref="O2:Q2"/>
  </mergeCells>
  <hyperlinks>
    <hyperlink ref="K19" r:id="rId1" xr:uid="{9FF4111F-49BA-468E-BF27-544DBE20F1F6}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8">
        <x14:dataValidation type="list" allowBlank="1" showInputMessage="1" showErrorMessage="1" xr:uid="{4B380B18-B1AE-402F-841E-761A562C8C89}">
          <x14:formula1>
            <xm:f>Data!$G$2:$G$19</xm:f>
          </x14:formula1>
          <xm:sqref>U4</xm:sqref>
        </x14:dataValidation>
        <x14:dataValidation type="list" allowBlank="1" showInputMessage="1" showErrorMessage="1" xr:uid="{D5EBF18A-8F9E-41FE-97BD-A7705033AD5C}">
          <x14:formula1>
            <xm:f>Data!$F$2:$F$25</xm:f>
          </x14:formula1>
          <xm:sqref>T4</xm:sqref>
        </x14:dataValidation>
        <x14:dataValidation type="list" allowBlank="1" showInputMessage="1" showErrorMessage="1" xr:uid="{0B23066A-6049-415A-8C2C-27DD43B5B3E7}">
          <x14:formula1>
            <xm:f>Data!$E$2:$E$8</xm:f>
          </x14:formula1>
          <xm:sqref>R4</xm:sqref>
        </x14:dataValidation>
        <x14:dataValidation type="list" allowBlank="1" showInputMessage="1" showErrorMessage="1" xr:uid="{E07E1A5A-2730-4709-BDD3-44860C052C26}">
          <x14:formula1>
            <xm:f>Data!$D$2:$D$32</xm:f>
          </x14:formula1>
          <xm:sqref>P4</xm:sqref>
        </x14:dataValidation>
        <x14:dataValidation type="list" allowBlank="1" showInputMessage="1" showErrorMessage="1" xr:uid="{C1662498-9210-43CA-BF3F-452B911F12B4}">
          <x14:formula1>
            <xm:f>Data!$C$2:$C$4</xm:f>
          </x14:formula1>
          <xm:sqref>O4</xm:sqref>
        </x14:dataValidation>
        <x14:dataValidation type="list" allowBlank="1" showInputMessage="1" showErrorMessage="1" xr:uid="{0D8ACD91-2B73-4E5B-9E79-7B77D620927A}">
          <x14:formula1>
            <xm:f>Data!$B$2:$B$6</xm:f>
          </x14:formula1>
          <xm:sqref>N4</xm:sqref>
        </x14:dataValidation>
        <x14:dataValidation type="list" allowBlank="1" showInputMessage="1" showErrorMessage="1" xr:uid="{4EADFD19-47DB-4BD4-989C-23E5A6FB59E5}">
          <x14:formula1>
            <xm:f>Data!$A$2:$A$3</xm:f>
          </x14:formula1>
          <xm:sqref>M4</xm:sqref>
        </x14:dataValidation>
        <x14:dataValidation type="list" allowBlank="1" showInputMessage="1" showErrorMessage="1" xr:uid="{8846BB12-3B8D-413F-84CA-EFC78E2B4A39}">
          <x14:formula1>
            <xm:f>Data!$H$2:$H$9</xm:f>
          </x14:formula1>
          <xm:sqref>N8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371C-E4AE-4499-8386-1D9E04B4A671}">
  <dimension ref="A1:H32"/>
  <sheetViews>
    <sheetView topLeftCell="B1" workbookViewId="0">
      <selection activeCell="H4" sqref="H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7.7109375" bestFit="1" customWidth="1"/>
    <col min="5" max="5" width="11.5703125" bestFit="1" customWidth="1"/>
    <col min="6" max="6" width="12.140625" bestFit="1" customWidth="1"/>
    <col min="7" max="7" width="11.85546875" bestFit="1" customWidth="1"/>
    <col min="8" max="8" width="12.85546875" customWidth="1"/>
  </cols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32</v>
      </c>
      <c r="B2">
        <v>13</v>
      </c>
      <c r="C2" t="s">
        <v>78</v>
      </c>
      <c r="D2" t="s">
        <v>79</v>
      </c>
      <c r="E2" t="s">
        <v>80</v>
      </c>
      <c r="F2">
        <v>120</v>
      </c>
      <c r="G2">
        <v>2</v>
      </c>
      <c r="H2" t="s">
        <v>81</v>
      </c>
    </row>
    <row r="3" spans="1:8" x14ac:dyDescent="0.25">
      <c r="A3" t="s">
        <v>82</v>
      </c>
      <c r="B3">
        <v>14</v>
      </c>
      <c r="C3" t="s">
        <v>33</v>
      </c>
      <c r="D3" t="s">
        <v>83</v>
      </c>
      <c r="E3" t="s">
        <v>35</v>
      </c>
      <c r="F3">
        <v>240</v>
      </c>
      <c r="G3">
        <v>4</v>
      </c>
      <c r="H3" t="s">
        <v>84</v>
      </c>
    </row>
    <row r="4" spans="1:8" x14ac:dyDescent="0.25">
      <c r="B4">
        <v>15</v>
      </c>
      <c r="C4" t="s">
        <v>85</v>
      </c>
      <c r="D4" t="s">
        <v>86</v>
      </c>
      <c r="F4">
        <v>500</v>
      </c>
      <c r="G4">
        <v>8</v>
      </c>
      <c r="H4" t="s">
        <v>87</v>
      </c>
    </row>
    <row r="5" spans="1:8" x14ac:dyDescent="0.25">
      <c r="B5">
        <v>16</v>
      </c>
      <c r="D5" t="s">
        <v>88</v>
      </c>
      <c r="F5">
        <v>1100</v>
      </c>
      <c r="G5">
        <v>16</v>
      </c>
      <c r="H5" t="s">
        <v>89</v>
      </c>
    </row>
    <row r="6" spans="1:8" x14ac:dyDescent="0.25">
      <c r="B6">
        <v>17</v>
      </c>
      <c r="D6" t="s">
        <v>90</v>
      </c>
      <c r="F6">
        <v>2300</v>
      </c>
      <c r="G6">
        <v>32</v>
      </c>
    </row>
    <row r="7" spans="1:8" x14ac:dyDescent="0.25">
      <c r="D7" t="s">
        <v>34</v>
      </c>
      <c r="F7">
        <v>3200</v>
      </c>
      <c r="G7">
        <v>64</v>
      </c>
    </row>
    <row r="8" spans="1:8" x14ac:dyDescent="0.25">
      <c r="D8" t="s">
        <v>91</v>
      </c>
      <c r="F8">
        <v>5000</v>
      </c>
      <c r="G8">
        <v>128</v>
      </c>
    </row>
    <row r="9" spans="1:8" x14ac:dyDescent="0.25">
      <c r="D9" t="s">
        <v>92</v>
      </c>
      <c r="F9">
        <v>6400</v>
      </c>
      <c r="G9">
        <v>160</v>
      </c>
    </row>
    <row r="10" spans="1:8" x14ac:dyDescent="0.25">
      <c r="D10" t="s">
        <v>93</v>
      </c>
      <c r="F10">
        <v>7500</v>
      </c>
      <c r="G10">
        <v>192</v>
      </c>
    </row>
    <row r="11" spans="1:8" x14ac:dyDescent="0.25">
      <c r="D11" t="s">
        <v>94</v>
      </c>
      <c r="F11">
        <v>12800</v>
      </c>
      <c r="G11">
        <v>256</v>
      </c>
    </row>
    <row r="12" spans="1:8" x14ac:dyDescent="0.25">
      <c r="D12" t="s">
        <v>95</v>
      </c>
      <c r="F12">
        <v>16000</v>
      </c>
      <c r="G12">
        <v>384</v>
      </c>
    </row>
    <row r="13" spans="1:8" x14ac:dyDescent="0.25">
      <c r="D13" t="s">
        <v>96</v>
      </c>
      <c r="F13">
        <v>18000</v>
      </c>
      <c r="G13">
        <v>432</v>
      </c>
    </row>
    <row r="14" spans="1:8" x14ac:dyDescent="0.25">
      <c r="D14" t="s">
        <v>97</v>
      </c>
      <c r="F14">
        <v>20000</v>
      </c>
    </row>
    <row r="15" spans="1:8" x14ac:dyDescent="0.25">
      <c r="D15" t="s">
        <v>98</v>
      </c>
      <c r="F15">
        <v>25600</v>
      </c>
    </row>
    <row r="16" spans="1:8" x14ac:dyDescent="0.25">
      <c r="D16" t="s">
        <v>99</v>
      </c>
      <c r="F16">
        <v>32000</v>
      </c>
    </row>
    <row r="17" spans="4:6" x14ac:dyDescent="0.25">
      <c r="D17" t="s">
        <v>100</v>
      </c>
      <c r="F17">
        <v>51200</v>
      </c>
    </row>
    <row r="18" spans="4:6" x14ac:dyDescent="0.25">
      <c r="D18" t="s">
        <v>101</v>
      </c>
      <c r="F18">
        <v>76800</v>
      </c>
    </row>
    <row r="19" spans="4:6" x14ac:dyDescent="0.25">
      <c r="D19" t="s">
        <v>102</v>
      </c>
      <c r="F19">
        <v>80000</v>
      </c>
    </row>
    <row r="20" spans="4:6" x14ac:dyDescent="0.25">
      <c r="D20" t="s">
        <v>103</v>
      </c>
    </row>
    <row r="21" spans="4:6" x14ac:dyDescent="0.25">
      <c r="D21" t="s">
        <v>104</v>
      </c>
    </row>
    <row r="22" spans="4:6" x14ac:dyDescent="0.25">
      <c r="D22" t="s">
        <v>105</v>
      </c>
    </row>
    <row r="23" spans="4:6" x14ac:dyDescent="0.25">
      <c r="D23" t="s">
        <v>106</v>
      </c>
    </row>
    <row r="24" spans="4:6" x14ac:dyDescent="0.25">
      <c r="D24" t="s">
        <v>107</v>
      </c>
    </row>
    <row r="25" spans="4:6" x14ac:dyDescent="0.25">
      <c r="D25" t="s">
        <v>108</v>
      </c>
    </row>
    <row r="26" spans="4:6" x14ac:dyDescent="0.25">
      <c r="D26" t="s">
        <v>109</v>
      </c>
    </row>
    <row r="27" spans="4:6" x14ac:dyDescent="0.25">
      <c r="D27" t="s">
        <v>110</v>
      </c>
    </row>
    <row r="28" spans="4:6" x14ac:dyDescent="0.25">
      <c r="D28" t="s">
        <v>111</v>
      </c>
    </row>
    <row r="29" spans="4:6" x14ac:dyDescent="0.25">
      <c r="D29" t="s">
        <v>112</v>
      </c>
    </row>
    <row r="30" spans="4:6" x14ac:dyDescent="0.25">
      <c r="D30" t="s">
        <v>113</v>
      </c>
    </row>
    <row r="31" spans="4:6" x14ac:dyDescent="0.25">
      <c r="D31" t="s">
        <v>114</v>
      </c>
    </row>
    <row r="32" spans="4:6" x14ac:dyDescent="0.25">
      <c r="D32" t="s">
        <v>115</v>
      </c>
    </row>
  </sheetData>
  <sortState xmlns:xlrd2="http://schemas.microsoft.com/office/spreadsheetml/2017/richdata2" ref="F2:F20">
    <sortCondition ref="F2:F2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Lauro Ojeda</dc:creator>
  <cp:keywords/>
  <dc:description/>
  <cp:lastModifiedBy>Lauro Ojeda</cp:lastModifiedBy>
  <cp:revision/>
  <dcterms:created xsi:type="dcterms:W3CDTF">2025-06-05T10:06:09Z</dcterms:created>
  <dcterms:modified xsi:type="dcterms:W3CDTF">2025-06-23T13:33:11Z</dcterms:modified>
  <cp:category/>
  <cp:contentStatus/>
</cp:coreProperties>
</file>