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FW_Allowed\GithubProjects\OpenHabHomeAutomation\other\"/>
    </mc:Choice>
  </mc:AlternateContent>
  <xr:revisionPtr revIDLastSave="0" documentId="13_ncr:1_{B5922781-1886-4CB8-A20B-8880DEDE1197}" xr6:coauthVersionLast="37" xr6:coauthVersionMax="37" xr10:uidLastSave="{00000000-0000-0000-0000-000000000000}"/>
  <bookViews>
    <workbookView xWindow="18330" yWindow="0" windowWidth="21570" windowHeight="6465" activeTab="4" xr2:uid="{2BD6B4C2-05D5-4663-BC50-E29FAF3AB66F}"/>
  </bookViews>
  <sheets>
    <sheet name="ItemList" sheetId="1" r:id="rId1"/>
    <sheet name="Remont" sheetId="3" r:id="rId2"/>
    <sheet name="Sheet2" sheetId="2" r:id="rId3"/>
    <sheet name="Odsetki" sheetId="5" r:id="rId4"/>
    <sheet name="Misc" sheetId="4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5" i="4" l="1"/>
  <c r="L6" i="5" l="1"/>
  <c r="K6" i="5"/>
  <c r="L5" i="5"/>
  <c r="L4" i="5"/>
  <c r="M4" i="5" s="1"/>
  <c r="H5" i="5"/>
  <c r="I5" i="5" s="1"/>
  <c r="K5" i="5" s="1"/>
  <c r="H4" i="5"/>
  <c r="I4" i="5" s="1"/>
  <c r="K4" i="5" s="1"/>
  <c r="T35" i="4"/>
  <c r="J35" i="4"/>
  <c r="S36" i="4"/>
  <c r="S37" i="4"/>
  <c r="S38" i="4"/>
  <c r="S39" i="4"/>
  <c r="S40" i="4"/>
  <c r="S41" i="4"/>
  <c r="S42" i="4"/>
  <c r="S43" i="4"/>
  <c r="S44" i="4"/>
  <c r="X35" i="4" l="1"/>
  <c r="W35" i="4"/>
  <c r="T38" i="4"/>
  <c r="N19" i="1"/>
  <c r="M19" i="1"/>
  <c r="N9" i="1"/>
  <c r="T41" i="4" l="1"/>
  <c r="U38" i="4"/>
  <c r="W36" i="4" s="1"/>
  <c r="R9" i="4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8" i="4"/>
  <c r="X36" i="4" l="1"/>
  <c r="T44" i="4"/>
  <c r="U44" i="4" s="1"/>
  <c r="U41" i="4"/>
  <c r="N34" i="1"/>
  <c r="Q34" i="1" s="1"/>
  <c r="M34" i="1"/>
  <c r="N35" i="1"/>
  <c r="M35" i="1"/>
  <c r="M36" i="1"/>
  <c r="P67" i="1" l="1"/>
  <c r="N16" i="1" l="1"/>
  <c r="M16" i="1"/>
  <c r="N53" i="1"/>
  <c r="M53" i="1"/>
  <c r="M54" i="1"/>
  <c r="M48" i="1"/>
  <c r="M11" i="1"/>
  <c r="N11" i="1"/>
  <c r="M12" i="1"/>
  <c r="N12" i="1"/>
  <c r="N21" i="1"/>
  <c r="N17" i="1"/>
  <c r="M58" i="1"/>
  <c r="N58" i="1"/>
  <c r="Q58" i="1" s="1"/>
  <c r="M59" i="1"/>
  <c r="N59" i="1"/>
  <c r="Q59" i="1" s="1"/>
  <c r="M60" i="1"/>
  <c r="N60" i="1"/>
  <c r="M61" i="1"/>
  <c r="N61" i="1"/>
  <c r="Q61" i="1" s="1"/>
  <c r="M62" i="1"/>
  <c r="N62" i="1"/>
  <c r="Q62" i="1" s="1"/>
  <c r="M63" i="1"/>
  <c r="N63" i="1"/>
  <c r="M64" i="1"/>
  <c r="N64" i="1"/>
  <c r="Q64" i="1" s="1"/>
  <c r="M65" i="1"/>
  <c r="N65" i="1"/>
  <c r="Q65" i="1" s="1"/>
  <c r="M66" i="1"/>
  <c r="N66" i="1"/>
  <c r="N57" i="1"/>
  <c r="M57" i="1"/>
  <c r="N54" i="1"/>
  <c r="N81" i="1" s="1"/>
  <c r="M45" i="1"/>
  <c r="N45" i="1"/>
  <c r="M46" i="1"/>
  <c r="N46" i="1"/>
  <c r="M47" i="1"/>
  <c r="N47" i="1"/>
  <c r="N48" i="1"/>
  <c r="M49" i="1"/>
  <c r="N49" i="1"/>
  <c r="N44" i="1"/>
  <c r="M44" i="1"/>
  <c r="N36" i="1"/>
  <c r="M37" i="1"/>
  <c r="N37" i="1"/>
  <c r="M38" i="1"/>
  <c r="N38" i="1"/>
  <c r="M39" i="1"/>
  <c r="N39" i="1"/>
  <c r="M40" i="1"/>
  <c r="N40" i="1"/>
  <c r="M28" i="1"/>
  <c r="N28" i="1"/>
  <c r="M29" i="1"/>
  <c r="N29" i="1"/>
  <c r="M30" i="1"/>
  <c r="N30" i="1"/>
  <c r="N27" i="1"/>
  <c r="M27" i="1"/>
  <c r="N26" i="1"/>
  <c r="M26" i="1"/>
  <c r="N25" i="1"/>
  <c r="M25" i="1"/>
  <c r="M24" i="1"/>
  <c r="N24" i="1"/>
  <c r="M23" i="1"/>
  <c r="N23" i="1"/>
  <c r="M22" i="1"/>
  <c r="N22" i="1"/>
  <c r="M21" i="1"/>
  <c r="N20" i="1"/>
  <c r="Q20" i="1" s="1"/>
  <c r="M20" i="1"/>
  <c r="N15" i="1"/>
  <c r="Q15" i="1" s="1"/>
  <c r="M15" i="1"/>
  <c r="N13" i="1"/>
  <c r="M13" i="1"/>
  <c r="N10" i="1"/>
  <c r="Q10" i="1" s="1"/>
  <c r="M10" i="1"/>
  <c r="N42" i="1"/>
  <c r="X14" i="1" s="1"/>
  <c r="Y14" i="1" s="1"/>
  <c r="Z14" i="1" s="1"/>
  <c r="M42" i="1"/>
  <c r="N32" i="1"/>
  <c r="X13" i="1" s="1"/>
  <c r="Y13" i="1" s="1"/>
  <c r="Z13" i="1" s="1"/>
  <c r="M32" i="1"/>
  <c r="M18" i="1"/>
  <c r="N18" i="1"/>
  <c r="N55" i="1"/>
  <c r="M55" i="1"/>
  <c r="N51" i="1"/>
  <c r="N80" i="1" s="1"/>
  <c r="M51" i="1"/>
  <c r="M17" i="1"/>
  <c r="N8" i="1"/>
  <c r="M8" i="1"/>
  <c r="M33" i="1"/>
  <c r="N33" i="1"/>
  <c r="W13" i="1" s="1"/>
  <c r="M43" i="1"/>
  <c r="N43" i="1"/>
  <c r="M52" i="1"/>
  <c r="N52" i="1"/>
  <c r="M56" i="1"/>
  <c r="N56" i="1"/>
  <c r="M9" i="1"/>
  <c r="J3" i="1"/>
  <c r="J2" i="1"/>
  <c r="X15" i="1" l="1"/>
  <c r="Y15" i="1" s="1"/>
  <c r="W14" i="1"/>
  <c r="W15" i="1"/>
  <c r="Z15" i="1" s="1"/>
  <c r="X12" i="1"/>
  <c r="W12" i="1"/>
  <c r="X11" i="1"/>
  <c r="W11" i="1"/>
  <c r="W16" i="1" s="1"/>
  <c r="N78" i="1"/>
  <c r="N76" i="1"/>
  <c r="Y12" i="1"/>
  <c r="Z12" i="1" s="1"/>
  <c r="N75" i="1"/>
  <c r="N67" i="1"/>
  <c r="Q67" i="1"/>
  <c r="N77" i="1"/>
  <c r="N79" i="1"/>
  <c r="M69" i="1"/>
  <c r="N69" i="1"/>
  <c r="M67" i="1"/>
  <c r="N68" i="1"/>
  <c r="M68" i="1"/>
  <c r="Y11" i="1" l="1"/>
  <c r="X16" i="1"/>
  <c r="Y16" i="1" l="1"/>
  <c r="Z11" i="1"/>
  <c r="Z16" i="1" s="1"/>
</calcChain>
</file>

<file path=xl/sharedStrings.xml><?xml version="1.0" encoding="utf-8"?>
<sst xmlns="http://schemas.openxmlformats.org/spreadsheetml/2006/main" count="375" uniqueCount="172">
  <si>
    <t>Przedpokój</t>
  </si>
  <si>
    <t>Łazienka</t>
  </si>
  <si>
    <t>Sypialnia</t>
  </si>
  <si>
    <t>Kuchnia</t>
  </si>
  <si>
    <t>Duży pokój</t>
  </si>
  <si>
    <t>Pawlacz</t>
  </si>
  <si>
    <t>Balkon</t>
  </si>
  <si>
    <t>Kafelki</t>
  </si>
  <si>
    <t>Farba</t>
  </si>
  <si>
    <t>Półka</t>
  </si>
  <si>
    <t>Wieszak na ubrania</t>
  </si>
  <si>
    <t>Szafa wnękowa z lustrem</t>
  </si>
  <si>
    <t>Włącznik światła 3-stronny</t>
  </si>
  <si>
    <t>Elektronika</t>
  </si>
  <si>
    <t>Lampa sufitowa</t>
  </si>
  <si>
    <t>Kinkiety</t>
  </si>
  <si>
    <t>Prysznic</t>
  </si>
  <si>
    <t>Natrysk w ścianę</t>
  </si>
  <si>
    <t>Szczotka do kibla</t>
  </si>
  <si>
    <t>Kibel w ścianę</t>
  </si>
  <si>
    <t>Uchwyt na ptoal</t>
  </si>
  <si>
    <t>Wieszak na ręcznik</t>
  </si>
  <si>
    <t>Szafka ze zlewem</t>
  </si>
  <si>
    <t>Lustro z szafką i światłem</t>
  </si>
  <si>
    <t>Pojemnik na brudy</t>
  </si>
  <si>
    <t>Pralka</t>
  </si>
  <si>
    <t>Panele</t>
  </si>
  <si>
    <t>Łóżko</t>
  </si>
  <si>
    <t>Nanoleaf</t>
  </si>
  <si>
    <t>Ilość</t>
  </si>
  <si>
    <t>Komentarz</t>
  </si>
  <si>
    <t>Dorzucić własne kółka</t>
  </si>
  <si>
    <t>Roleta</t>
  </si>
  <si>
    <t>Szafka na monitor z szufladami i z kółkami</t>
  </si>
  <si>
    <t>Stół</t>
  </si>
  <si>
    <t>Sofa</t>
  </si>
  <si>
    <t>Stolik na komputer i drukarkę</t>
  </si>
  <si>
    <t>Dobra do nanoleaf i projektora</t>
  </si>
  <si>
    <t>Rolety</t>
  </si>
  <si>
    <t>Musi być szczelnie!</t>
  </si>
  <si>
    <t>Musi być prąd!</t>
  </si>
  <si>
    <t>Tanie oświetlenie</t>
  </si>
  <si>
    <t>Kinkiet balkonowy</t>
  </si>
  <si>
    <t>Meble</t>
  </si>
  <si>
    <t>Lodówka</t>
  </si>
  <si>
    <t>Piekarnik</t>
  </si>
  <si>
    <t>Mikrofala</t>
  </si>
  <si>
    <t>W zabudowie</t>
  </si>
  <si>
    <t>Zmywarka</t>
  </si>
  <si>
    <t>Okap</t>
  </si>
  <si>
    <t>Skośny</t>
  </si>
  <si>
    <t>Śmietnik w drzwiach</t>
  </si>
  <si>
    <t>Płyta grzewcza</t>
  </si>
  <si>
    <t>Granitowy blat. Szyba na ścianę</t>
  </si>
  <si>
    <t>LEDy na meble</t>
  </si>
  <si>
    <t>Podłoga, pod blatem, pod szafkami</t>
  </si>
  <si>
    <t>LEDy na łóżko</t>
  </si>
  <si>
    <t>Kafelki - podloga</t>
  </si>
  <si>
    <t>Kafelki - sciany</t>
  </si>
  <si>
    <t>Jednostka</t>
  </si>
  <si>
    <t>m2</t>
  </si>
  <si>
    <t>Cena jedn</t>
  </si>
  <si>
    <t>min</t>
  </si>
  <si>
    <t>max</t>
  </si>
  <si>
    <t>szt</t>
  </si>
  <si>
    <t>Wydajność farby</t>
  </si>
  <si>
    <t>m2/l</t>
  </si>
  <si>
    <t>RAZEM</t>
  </si>
  <si>
    <t>Płytki</t>
  </si>
  <si>
    <t>Cena całkowita</t>
  </si>
  <si>
    <t>RAZEM-bez pawlacza</t>
  </si>
  <si>
    <t>RAZEM-pawlacz</t>
  </si>
  <si>
    <t>Grubość 8mm</t>
  </si>
  <si>
    <t>IV klasa ścieralności</t>
  </si>
  <si>
    <t>III / IV klasa ścieralności</t>
  </si>
  <si>
    <t>http://www.ikea.com/pl/pl/catalog/products/10308787/</t>
  </si>
  <si>
    <t>Musi być opcja z w dołączanym wężem lub kranem</t>
  </si>
  <si>
    <t>100x100 lub 90x90</t>
  </si>
  <si>
    <t>0,366m</t>
  </si>
  <si>
    <t>Castorama</t>
  </si>
  <si>
    <t>IKEA</t>
  </si>
  <si>
    <t>RTV</t>
  </si>
  <si>
    <t>pralko suszarka</t>
  </si>
  <si>
    <t>http://www.ikea.com/pl/pl/catalog/products/00349444/</t>
  </si>
  <si>
    <t>5m</t>
  </si>
  <si>
    <t>Oświetlenie</t>
  </si>
  <si>
    <t>Drzwi</t>
  </si>
  <si>
    <t>Lazienka</t>
  </si>
  <si>
    <t>Dpokoj</t>
  </si>
  <si>
    <t>Ppokoj</t>
  </si>
  <si>
    <t>Przedmiot</t>
  </si>
  <si>
    <t>Cena realna</t>
  </si>
  <si>
    <t>https://www.gearbest.com/ceiling-lights/pp_596249.html?utm_source=tt_de&amp;aid=171752</t>
  </si>
  <si>
    <t>Samsung BRB260087WW</t>
  </si>
  <si>
    <t>Samsung DW50K4050BB</t>
  </si>
  <si>
    <t>Różnica w estymatach</t>
  </si>
  <si>
    <t>Samsung NQ50H5537KB</t>
  </si>
  <si>
    <t>Samsung NZ64K7757BK</t>
  </si>
  <si>
    <t>Samsung NK24M5070BG</t>
  </si>
  <si>
    <t>PAX IKEA</t>
  </si>
  <si>
    <t>Szafa</t>
  </si>
  <si>
    <t>Listę elektroniki (czujniki, kratki etc)</t>
  </si>
  <si>
    <t>Listę kroków w remoncie</t>
  </si>
  <si>
    <t>obejrzeć designy łazienek/kuchni</t>
  </si>
  <si>
    <t>przerobić model kuchni (spr. defaultowy model od rafina)</t>
  </si>
  <si>
    <t>Wodę pociągnąć na 3 ściany</t>
  </si>
  <si>
    <t>Położyć Kafelki na podłodze i ścianach</t>
  </si>
  <si>
    <t>Wymalować sufit</t>
  </si>
  <si>
    <t>Zainstalować ubikację na stelarzu</t>
  </si>
  <si>
    <t>Zamontować gniazdko, i kran do wody w stelarzu</t>
  </si>
  <si>
    <t>Odpływ pociągnąć na 3 ściany (pralka, kibel, zlew, prysznic)</t>
  </si>
  <si>
    <t>Krok</t>
  </si>
  <si>
    <t>Instalacja elektryczna - prąd na 2/3 ścianach</t>
  </si>
  <si>
    <t>Instalacja elektryczna</t>
  </si>
  <si>
    <t>Wymalować</t>
  </si>
  <si>
    <t>Kafelki na podłogę</t>
  </si>
  <si>
    <t>Pokój</t>
  </si>
  <si>
    <t>Instalacja elektryczna - czujniki</t>
  </si>
  <si>
    <t>Poddasze</t>
  </si>
  <si>
    <t>Zamontować schody</t>
  </si>
  <si>
    <t>ppokoj</t>
  </si>
  <si>
    <t>lazienka</t>
  </si>
  <si>
    <t>sypialnia</t>
  </si>
  <si>
    <t>dpokoj</t>
  </si>
  <si>
    <t>kuchnia</t>
  </si>
  <si>
    <t>Tylko remont</t>
  </si>
  <si>
    <t>full</t>
  </si>
  <si>
    <t>Najważniejsze</t>
  </si>
  <si>
    <t>Minimum za remont</t>
  </si>
  <si>
    <t>15.paz</t>
  </si>
  <si>
    <t>Brakuje 20k na kredyt</t>
  </si>
  <si>
    <t>Brakuje 25k na remont</t>
  </si>
  <si>
    <t>Brakuje 80k na remont</t>
  </si>
  <si>
    <t>lub</t>
  </si>
  <si>
    <t>min kredyt</t>
  </si>
  <si>
    <t>max kredyt</t>
  </si>
  <si>
    <t>70k</t>
  </si>
  <si>
    <t>100k</t>
  </si>
  <si>
    <t>Najważniejsze+kuchnia</t>
  </si>
  <si>
    <t>35k,6k</t>
  </si>
  <si>
    <t>22k</t>
  </si>
  <si>
    <t>22k - 25k</t>
  </si>
  <si>
    <t>+ekipa remontowa</t>
  </si>
  <si>
    <t>w tym 17k/lub23k na remont</t>
  </si>
  <si>
    <t>EUR</t>
  </si>
  <si>
    <t>Dni</t>
  </si>
  <si>
    <t>Wypłata</t>
  </si>
  <si>
    <t>Suma</t>
  </si>
  <si>
    <t>3m zycie</t>
  </si>
  <si>
    <t>3m wynajem</t>
  </si>
  <si>
    <t>3m podatki</t>
  </si>
  <si>
    <t>3m zus</t>
  </si>
  <si>
    <t>3m RAZEM</t>
  </si>
  <si>
    <t>Wypłata PLN</t>
  </si>
  <si>
    <t>kwota</t>
  </si>
  <si>
    <t>stawka</t>
  </si>
  <si>
    <t>od</t>
  </si>
  <si>
    <t>do</t>
  </si>
  <si>
    <t>liczba dni</t>
  </si>
  <si>
    <t>Odsetki</t>
  </si>
  <si>
    <t>Dni w roku</t>
  </si>
  <si>
    <t>art. 481 § 1 Kodeksu cywilnego</t>
  </si>
  <si>
    <t>Ważne!</t>
  </si>
  <si>
    <t>W 2018 roku stawka odsetek za opóźnienie wynosi 7% w stosunku rocznym.</t>
  </si>
  <si>
    <t>Umowa przyrzeczona</t>
  </si>
  <si>
    <t>Odsetki max</t>
  </si>
  <si>
    <t>Wydanie Lokalu</t>
  </si>
  <si>
    <t>Kalkulacje</t>
  </si>
  <si>
    <t>Max kasy</t>
  </si>
  <si>
    <t>Pożyczka</t>
  </si>
  <si>
    <t>Po kupnie M ods max</t>
  </si>
  <si>
    <t>Po kupnie M ods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</si>
</sst>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Font="1"/>
    <xf numFmtId="0" fontId="1" fillId="3" borderId="0" xfId="0" applyFont="1" applyFill="1"/>
    <xf numFmtId="0" fontId="0" fillId="3" borderId="0" xfId="0" applyFill="1"/>
    <xf numFmtId="2" fontId="3" fillId="0" borderId="0" xfId="0" applyNumberFormat="1" applyFont="1"/>
    <xf numFmtId="16" fontId="0" fillId="0" borderId="0" xfId="0" applyNumberFormat="1"/>
    <xf numFmtId="0" fontId="0" fillId="0" borderId="0" xfId="0" quotePrefix="1"/>
    <xf numFmtId="164" fontId="0" fillId="0" borderId="0" xfId="0" applyNumberFormat="1"/>
    <xf numFmtId="14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1029-8A81-4C9E-B117-6F0610D1C64B}">
  <dimension ref="D2:AB81"/>
  <sheetViews>
    <sheetView topLeftCell="D4" zoomScale="130" zoomScaleNormal="130" workbookViewId="0">
      <selection activeCell="Y16" sqref="Y16"/>
    </sheetView>
  </sheetViews>
  <sheetFormatPr defaultRowHeight="15" x14ac:dyDescent="0.25"/>
  <cols>
    <col min="3" max="3" width="9.140625" customWidth="1"/>
    <col min="4" max="4" width="13" customWidth="1"/>
    <col min="5" max="5" width="15.28515625" customWidth="1"/>
    <col min="6" max="6" width="14.140625" customWidth="1"/>
    <col min="7" max="7" width="38.28515625" customWidth="1"/>
    <col min="8" max="8" width="18.42578125" customWidth="1"/>
    <col min="9" max="9" width="10.7109375" customWidth="1"/>
    <col min="10" max="10" width="40.140625" customWidth="1"/>
    <col min="13" max="13" width="11.28515625" customWidth="1"/>
    <col min="14" max="14" width="12.140625" customWidth="1"/>
    <col min="15" max="15" width="22" customWidth="1"/>
    <col min="16" max="16" width="14.28515625" customWidth="1"/>
    <col min="17" max="17" width="20.42578125" customWidth="1"/>
    <col min="24" max="24" width="15.7109375" customWidth="1"/>
    <col min="25" max="25" width="19.5703125" customWidth="1"/>
    <col min="26" max="26" width="35.28515625" customWidth="1"/>
    <col min="28" max="28" width="18.42578125" customWidth="1"/>
  </cols>
  <sheetData>
    <row r="2" spans="4:28" x14ac:dyDescent="0.25">
      <c r="J2">
        <f>60/2.5</f>
        <v>24</v>
      </c>
    </row>
    <row r="3" spans="4:28" x14ac:dyDescent="0.25">
      <c r="G3" t="s">
        <v>65</v>
      </c>
      <c r="H3">
        <v>10</v>
      </c>
      <c r="I3" t="s">
        <v>66</v>
      </c>
      <c r="J3">
        <f>40/2.5</f>
        <v>16</v>
      </c>
    </row>
    <row r="4" spans="4:28" x14ac:dyDescent="0.25">
      <c r="G4" t="s">
        <v>68</v>
      </c>
      <c r="H4" s="2">
        <v>1</v>
      </c>
      <c r="I4" t="s">
        <v>60</v>
      </c>
    </row>
    <row r="5" spans="4:28" x14ac:dyDescent="0.25">
      <c r="G5" t="s">
        <v>26</v>
      </c>
      <c r="H5">
        <v>1</v>
      </c>
      <c r="I5" t="s">
        <v>60</v>
      </c>
    </row>
    <row r="6" spans="4:28" x14ac:dyDescent="0.25">
      <c r="F6" s="1"/>
      <c r="G6" s="1"/>
      <c r="H6" s="1"/>
      <c r="I6" s="1"/>
      <c r="J6" s="1"/>
      <c r="K6" s="17" t="s">
        <v>61</v>
      </c>
      <c r="L6" s="17"/>
      <c r="M6" s="17" t="s">
        <v>69</v>
      </c>
      <c r="N6" s="17"/>
      <c r="O6" t="s">
        <v>90</v>
      </c>
      <c r="P6" t="s">
        <v>91</v>
      </c>
      <c r="Q6" t="s">
        <v>95</v>
      </c>
    </row>
    <row r="7" spans="4:28" x14ac:dyDescent="0.25">
      <c r="F7" s="1"/>
      <c r="G7" s="1"/>
      <c r="H7" s="1" t="s">
        <v>29</v>
      </c>
      <c r="I7" s="1" t="s">
        <v>59</v>
      </c>
      <c r="J7" s="1" t="s">
        <v>30</v>
      </c>
      <c r="K7" s="1" t="s">
        <v>62</v>
      </c>
      <c r="L7" s="1" t="s">
        <v>63</v>
      </c>
      <c r="M7" s="1" t="s">
        <v>62</v>
      </c>
      <c r="N7" s="1" t="s">
        <v>63</v>
      </c>
      <c r="Q7" s="2"/>
    </row>
    <row r="8" spans="4:28" x14ac:dyDescent="0.25">
      <c r="E8" t="s">
        <v>79</v>
      </c>
      <c r="F8" t="s">
        <v>0</v>
      </c>
      <c r="G8" t="s">
        <v>7</v>
      </c>
      <c r="H8">
        <v>4</v>
      </c>
      <c r="I8" t="s">
        <v>60</v>
      </c>
      <c r="J8" t="s">
        <v>73</v>
      </c>
      <c r="K8">
        <v>100</v>
      </c>
      <c r="L8">
        <v>108</v>
      </c>
      <c r="M8" s="2">
        <f>($H8/$H$4)*K8</f>
        <v>400</v>
      </c>
      <c r="N8" s="2">
        <f>($H8/$H$4)*L8</f>
        <v>432</v>
      </c>
      <c r="Q8" s="2"/>
    </row>
    <row r="9" spans="4:28" x14ac:dyDescent="0.25">
      <c r="E9" t="s">
        <v>79</v>
      </c>
      <c r="F9" t="s">
        <v>0</v>
      </c>
      <c r="G9" t="s">
        <v>8</v>
      </c>
      <c r="H9">
        <v>19</v>
      </c>
      <c r="I9" t="s">
        <v>60</v>
      </c>
      <c r="K9">
        <v>16</v>
      </c>
      <c r="L9">
        <v>24</v>
      </c>
      <c r="M9" s="2">
        <f>($H9/$H$3)*K9</f>
        <v>30.4</v>
      </c>
      <c r="N9" s="2">
        <f>($H9/$H$3)*L9</f>
        <v>45.599999999999994</v>
      </c>
      <c r="Q9" s="2"/>
      <c r="AB9" s="13" t="s">
        <v>142</v>
      </c>
    </row>
    <row r="10" spans="4:28" x14ac:dyDescent="0.25">
      <c r="E10" t="s">
        <v>80</v>
      </c>
      <c r="F10" t="s">
        <v>0</v>
      </c>
      <c r="G10" t="s">
        <v>11</v>
      </c>
      <c r="H10">
        <v>1</v>
      </c>
      <c r="I10" t="s">
        <v>64</v>
      </c>
      <c r="J10" t="s">
        <v>75</v>
      </c>
      <c r="K10">
        <v>700</v>
      </c>
      <c r="L10">
        <v>1300</v>
      </c>
      <c r="M10" s="2">
        <f>H10*K10</f>
        <v>700</v>
      </c>
      <c r="N10" s="2">
        <f>H10*L10</f>
        <v>1300</v>
      </c>
      <c r="O10" t="s">
        <v>99</v>
      </c>
      <c r="P10">
        <v>1000</v>
      </c>
      <c r="Q10" s="2">
        <f t="shared" ref="Q10" si="0">P10-N10</f>
        <v>-300</v>
      </c>
      <c r="W10" t="s">
        <v>126</v>
      </c>
      <c r="X10" t="s">
        <v>125</v>
      </c>
      <c r="Y10" t="s">
        <v>127</v>
      </c>
      <c r="Z10" t="s">
        <v>138</v>
      </c>
    </row>
    <row r="11" spans="4:28" x14ac:dyDescent="0.25">
      <c r="D11" t="s">
        <v>80</v>
      </c>
      <c r="E11" s="8" t="s">
        <v>79</v>
      </c>
      <c r="F11" t="s">
        <v>0</v>
      </c>
      <c r="G11" t="s">
        <v>9</v>
      </c>
      <c r="H11">
        <v>1</v>
      </c>
      <c r="I11" t="s">
        <v>64</v>
      </c>
      <c r="K11">
        <v>100</v>
      </c>
      <c r="L11">
        <v>100</v>
      </c>
      <c r="M11">
        <f>$H11*K11</f>
        <v>100</v>
      </c>
      <c r="N11">
        <f>$H11*L11</f>
        <v>100</v>
      </c>
      <c r="Q11" s="2"/>
      <c r="V11" t="s">
        <v>120</v>
      </c>
      <c r="W11" s="2">
        <f>SUM(N8:N16)</f>
        <v>2927.6</v>
      </c>
      <c r="X11" s="2">
        <f>N8+N9+N16</f>
        <v>1477.6</v>
      </c>
      <c r="Y11" s="2">
        <f>X11</f>
        <v>1477.6</v>
      </c>
      <c r="Z11" s="2">
        <f>Y11</f>
        <v>1477.6</v>
      </c>
    </row>
    <row r="12" spans="4:28" x14ac:dyDescent="0.25">
      <c r="E12" t="s">
        <v>80</v>
      </c>
      <c r="F12" t="s">
        <v>0</v>
      </c>
      <c r="G12" t="s">
        <v>10</v>
      </c>
      <c r="H12">
        <v>1</v>
      </c>
      <c r="I12" t="s">
        <v>64</v>
      </c>
      <c r="K12">
        <v>50</v>
      </c>
      <c r="L12">
        <v>50</v>
      </c>
      <c r="M12">
        <f>$H12*K12</f>
        <v>50</v>
      </c>
      <c r="N12">
        <f>$H12*L12</f>
        <v>50</v>
      </c>
      <c r="Q12" s="2"/>
      <c r="V12" t="s">
        <v>121</v>
      </c>
      <c r="W12" s="2">
        <f>SUM(N17:N31)</f>
        <v>12787.6</v>
      </c>
      <c r="X12" s="2">
        <f>N17+N18+N19</f>
        <v>2607.6000000000004</v>
      </c>
      <c r="Y12" s="2">
        <f>W12</f>
        <v>12787.6</v>
      </c>
      <c r="Z12" s="2">
        <f t="shared" ref="Z12:Z14" si="1">Y12</f>
        <v>12787.6</v>
      </c>
    </row>
    <row r="13" spans="4:28" x14ac:dyDescent="0.25">
      <c r="F13" t="s">
        <v>0</v>
      </c>
      <c r="G13" t="s">
        <v>12</v>
      </c>
      <c r="H13">
        <v>1</v>
      </c>
      <c r="I13" t="s">
        <v>64</v>
      </c>
      <c r="K13">
        <v>0</v>
      </c>
      <c r="L13">
        <v>0</v>
      </c>
      <c r="M13">
        <f>H13*K13</f>
        <v>0</v>
      </c>
      <c r="N13">
        <f>H13*L13</f>
        <v>0</v>
      </c>
      <c r="Q13" s="2"/>
      <c r="V13" t="s">
        <v>122</v>
      </c>
      <c r="W13" s="2">
        <f>SUM(N32:N41)</f>
        <v>9578.7999999999993</v>
      </c>
      <c r="X13" s="2">
        <f>N32+N33</f>
        <v>1178.8</v>
      </c>
      <c r="Y13">
        <f>X13</f>
        <v>1178.8</v>
      </c>
      <c r="Z13" s="2">
        <f t="shared" si="1"/>
        <v>1178.8</v>
      </c>
    </row>
    <row r="14" spans="4:28" x14ac:dyDescent="0.25">
      <c r="F14" s="4" t="s">
        <v>0</v>
      </c>
      <c r="G14" s="4" t="s">
        <v>13</v>
      </c>
      <c r="H14" s="4">
        <v>1</v>
      </c>
      <c r="I14" s="4" t="s">
        <v>64</v>
      </c>
      <c r="J14" s="4"/>
      <c r="K14" s="4"/>
      <c r="L14" s="4"/>
      <c r="M14" s="5"/>
      <c r="N14" s="5"/>
      <c r="Q14" s="2"/>
      <c r="V14" t="s">
        <v>123</v>
      </c>
      <c r="W14" s="2">
        <f>SUM(N42:N50)</f>
        <v>8885</v>
      </c>
      <c r="X14" s="2">
        <f>N42+N43</f>
        <v>2020</v>
      </c>
      <c r="Y14">
        <f>X14</f>
        <v>2020</v>
      </c>
      <c r="Z14" s="2">
        <f t="shared" si="1"/>
        <v>2020</v>
      </c>
    </row>
    <row r="15" spans="4:28" x14ac:dyDescent="0.25">
      <c r="E15" t="s">
        <v>79</v>
      </c>
      <c r="F15" t="s">
        <v>0</v>
      </c>
      <c r="G15" t="s">
        <v>14</v>
      </c>
      <c r="H15">
        <v>1</v>
      </c>
      <c r="I15" t="s">
        <v>64</v>
      </c>
      <c r="K15">
        <v>0</v>
      </c>
      <c r="L15">
        <v>0</v>
      </c>
      <c r="M15" s="2">
        <f>H15*K15</f>
        <v>0</v>
      </c>
      <c r="N15" s="2">
        <f>H15*L15</f>
        <v>0</v>
      </c>
      <c r="O15" t="s">
        <v>92</v>
      </c>
      <c r="P15">
        <v>260</v>
      </c>
      <c r="Q15" s="2">
        <f t="shared" ref="Q15:Q64" si="2">P15-N15</f>
        <v>260</v>
      </c>
      <c r="V15" t="s">
        <v>124</v>
      </c>
      <c r="W15" s="2">
        <f>SUM(N55:N66)</f>
        <v>24775.200000000001</v>
      </c>
      <c r="X15" s="2">
        <f>N55+N56</f>
        <v>625.19999999999993</v>
      </c>
      <c r="Y15">
        <f>X15</f>
        <v>625.19999999999993</v>
      </c>
      <c r="Z15" s="2">
        <f>W15</f>
        <v>24775.200000000001</v>
      </c>
    </row>
    <row r="16" spans="4:28" x14ac:dyDescent="0.25">
      <c r="F16" t="s">
        <v>0</v>
      </c>
      <c r="G16" t="s">
        <v>86</v>
      </c>
      <c r="H16">
        <v>2</v>
      </c>
      <c r="I16" t="s">
        <v>64</v>
      </c>
      <c r="K16">
        <v>300</v>
      </c>
      <c r="L16">
        <v>500</v>
      </c>
      <c r="M16" s="2">
        <f>H16*K16</f>
        <v>600</v>
      </c>
      <c r="N16" s="2">
        <f>H16*L16</f>
        <v>1000</v>
      </c>
      <c r="Q16" s="2"/>
      <c r="W16" s="2">
        <f>SUM(W11:W15)</f>
        <v>58954.2</v>
      </c>
      <c r="X16" s="2">
        <f>SUM(X11:X15)</f>
        <v>7909.2</v>
      </c>
      <c r="Y16" s="2">
        <f>SUM(Y11:Y15)</f>
        <v>18089.2</v>
      </c>
      <c r="Z16" s="2">
        <f>SUM(Z11:Z15)</f>
        <v>42239.199999999997</v>
      </c>
    </row>
    <row r="17" spans="4:17" x14ac:dyDescent="0.25">
      <c r="E17" t="s">
        <v>79</v>
      </c>
      <c r="F17" t="s">
        <v>1</v>
      </c>
      <c r="G17" t="s">
        <v>57</v>
      </c>
      <c r="H17">
        <v>4.5999999999999996</v>
      </c>
      <c r="I17" t="s">
        <v>60</v>
      </c>
      <c r="J17" t="s">
        <v>73</v>
      </c>
      <c r="K17">
        <v>100</v>
      </c>
      <c r="L17">
        <v>108</v>
      </c>
      <c r="M17" s="2">
        <f>($H17/$H$4)*K17</f>
        <v>459.99999999999994</v>
      </c>
      <c r="N17" s="2">
        <f>($H17/$H$4)*L17</f>
        <v>496.79999999999995</v>
      </c>
      <c r="Q17" s="2"/>
    </row>
    <row r="18" spans="4:17" x14ac:dyDescent="0.25">
      <c r="E18" t="s">
        <v>79</v>
      </c>
      <c r="F18" t="s">
        <v>1</v>
      </c>
      <c r="G18" t="s">
        <v>58</v>
      </c>
      <c r="H18">
        <v>21</v>
      </c>
      <c r="I18" t="s">
        <v>60</v>
      </c>
      <c r="J18" s="3" t="s">
        <v>74</v>
      </c>
      <c r="K18">
        <v>100</v>
      </c>
      <c r="L18">
        <v>100</v>
      </c>
      <c r="M18" s="2">
        <f>($H18/$H$4)*K18</f>
        <v>2100</v>
      </c>
      <c r="N18" s="2">
        <f>($H18/$H$4)*L18</f>
        <v>2100</v>
      </c>
      <c r="Q18" s="2"/>
    </row>
    <row r="19" spans="4:17" x14ac:dyDescent="0.25">
      <c r="F19" t="s">
        <v>1</v>
      </c>
      <c r="G19" t="s">
        <v>8</v>
      </c>
      <c r="H19">
        <v>4.5</v>
      </c>
      <c r="I19" t="s">
        <v>60</v>
      </c>
      <c r="K19">
        <v>16</v>
      </c>
      <c r="L19">
        <v>24</v>
      </c>
      <c r="M19" s="2">
        <f>($H19/$H$3)*K19</f>
        <v>7.2</v>
      </c>
      <c r="N19" s="2">
        <f>($H19/$H$3)*L19</f>
        <v>10.8</v>
      </c>
      <c r="Q19" s="2"/>
    </row>
    <row r="20" spans="4:17" x14ac:dyDescent="0.25">
      <c r="E20" t="s">
        <v>79</v>
      </c>
      <c r="F20" t="s">
        <v>1</v>
      </c>
      <c r="G20" t="s">
        <v>15</v>
      </c>
      <c r="H20">
        <v>4</v>
      </c>
      <c r="I20" t="s">
        <v>64</v>
      </c>
      <c r="K20">
        <v>100</v>
      </c>
      <c r="L20">
        <v>170</v>
      </c>
      <c r="M20" s="2">
        <f>H20*K20</f>
        <v>400</v>
      </c>
      <c r="N20" s="2">
        <f>H20*L20</f>
        <v>680</v>
      </c>
      <c r="O20" t="s">
        <v>92</v>
      </c>
      <c r="P20">
        <v>260</v>
      </c>
      <c r="Q20" s="2">
        <f t="shared" ref="Q20" si="3">P20-N20</f>
        <v>-420</v>
      </c>
    </row>
    <row r="21" spans="4:17" x14ac:dyDescent="0.25">
      <c r="E21" t="s">
        <v>79</v>
      </c>
      <c r="F21" t="s">
        <v>1</v>
      </c>
      <c r="G21" t="s">
        <v>16</v>
      </c>
      <c r="H21">
        <v>1</v>
      </c>
      <c r="I21" t="s">
        <v>64</v>
      </c>
      <c r="J21" t="s">
        <v>77</v>
      </c>
      <c r="K21">
        <v>1000</v>
      </c>
      <c r="L21">
        <v>1500</v>
      </c>
      <c r="M21" s="2">
        <f>H21*K21</f>
        <v>1000</v>
      </c>
      <c r="N21" s="2">
        <f t="shared" ref="N21:N27" si="4">$H21*L21</f>
        <v>1500</v>
      </c>
      <c r="Q21" s="2"/>
    </row>
    <row r="22" spans="4:17" x14ac:dyDescent="0.25">
      <c r="E22" t="s">
        <v>79</v>
      </c>
      <c r="F22" t="s">
        <v>1</v>
      </c>
      <c r="G22" t="s">
        <v>17</v>
      </c>
      <c r="H22">
        <v>1</v>
      </c>
      <c r="I22" t="s">
        <v>64</v>
      </c>
      <c r="J22" t="s">
        <v>76</v>
      </c>
      <c r="K22">
        <v>1000</v>
      </c>
      <c r="L22">
        <v>1000</v>
      </c>
      <c r="M22" s="2">
        <f t="shared" ref="M22:M27" si="5">$H22*K22</f>
        <v>1000</v>
      </c>
      <c r="N22" s="2">
        <f t="shared" si="4"/>
        <v>1000</v>
      </c>
      <c r="Q22" s="2"/>
    </row>
    <row r="23" spans="4:17" x14ac:dyDescent="0.25">
      <c r="E23" t="s">
        <v>79</v>
      </c>
      <c r="F23" t="s">
        <v>1</v>
      </c>
      <c r="G23" t="s">
        <v>19</v>
      </c>
      <c r="H23">
        <v>1</v>
      </c>
      <c r="I23" t="s">
        <v>64</v>
      </c>
      <c r="K23">
        <v>1000</v>
      </c>
      <c r="L23">
        <v>1600</v>
      </c>
      <c r="M23" s="2">
        <f t="shared" si="5"/>
        <v>1000</v>
      </c>
      <c r="N23" s="2">
        <f t="shared" si="4"/>
        <v>1600</v>
      </c>
      <c r="Q23" s="2"/>
    </row>
    <row r="24" spans="4:17" x14ac:dyDescent="0.25">
      <c r="E24" t="s">
        <v>79</v>
      </c>
      <c r="F24" t="s">
        <v>1</v>
      </c>
      <c r="G24" t="s">
        <v>18</v>
      </c>
      <c r="H24">
        <v>1</v>
      </c>
      <c r="I24" t="s">
        <v>64</v>
      </c>
      <c r="K24">
        <v>50</v>
      </c>
      <c r="L24">
        <v>100</v>
      </c>
      <c r="M24" s="2">
        <f t="shared" si="5"/>
        <v>50</v>
      </c>
      <c r="N24" s="2">
        <f t="shared" si="4"/>
        <v>100</v>
      </c>
      <c r="Q24" s="2"/>
    </row>
    <row r="25" spans="4:17" x14ac:dyDescent="0.25">
      <c r="E25" t="s">
        <v>79</v>
      </c>
      <c r="F25" t="s">
        <v>1</v>
      </c>
      <c r="G25" t="s">
        <v>20</v>
      </c>
      <c r="H25">
        <v>1</v>
      </c>
      <c r="I25" t="s">
        <v>64</v>
      </c>
      <c r="K25">
        <v>50</v>
      </c>
      <c r="L25">
        <v>100</v>
      </c>
      <c r="M25" s="2">
        <f t="shared" si="5"/>
        <v>50</v>
      </c>
      <c r="N25" s="2">
        <f t="shared" si="4"/>
        <v>100</v>
      </c>
      <c r="Q25" s="2"/>
    </row>
    <row r="26" spans="4:17" x14ac:dyDescent="0.25">
      <c r="E26" t="s">
        <v>79</v>
      </c>
      <c r="F26" t="s">
        <v>1</v>
      </c>
      <c r="G26" t="s">
        <v>21</v>
      </c>
      <c r="H26">
        <v>1</v>
      </c>
      <c r="I26" t="s">
        <v>64</v>
      </c>
      <c r="K26">
        <v>50</v>
      </c>
      <c r="L26">
        <v>100</v>
      </c>
      <c r="M26" s="2">
        <f t="shared" si="5"/>
        <v>50</v>
      </c>
      <c r="N26" s="2">
        <f t="shared" si="4"/>
        <v>100</v>
      </c>
      <c r="Q26" s="2"/>
    </row>
    <row r="27" spans="4:17" x14ac:dyDescent="0.25">
      <c r="D27" t="s">
        <v>80</v>
      </c>
      <c r="E27" t="s">
        <v>79</v>
      </c>
      <c r="F27" t="s">
        <v>1</v>
      </c>
      <c r="G27" t="s">
        <v>22</v>
      </c>
      <c r="H27">
        <v>1</v>
      </c>
      <c r="I27" t="s">
        <v>64</v>
      </c>
      <c r="K27">
        <v>1300</v>
      </c>
      <c r="L27">
        <v>1500</v>
      </c>
      <c r="M27" s="2">
        <f t="shared" si="5"/>
        <v>1300</v>
      </c>
      <c r="N27" s="2">
        <f t="shared" si="4"/>
        <v>1500</v>
      </c>
      <c r="Q27" s="2"/>
    </row>
    <row r="28" spans="4:17" x14ac:dyDescent="0.25">
      <c r="E28" t="s">
        <v>79</v>
      </c>
      <c r="F28" t="s">
        <v>1</v>
      </c>
      <c r="G28" t="s">
        <v>23</v>
      </c>
      <c r="H28">
        <v>1</v>
      </c>
      <c r="I28" t="s">
        <v>64</v>
      </c>
      <c r="K28">
        <v>0</v>
      </c>
      <c r="L28">
        <v>0</v>
      </c>
      <c r="M28" s="2">
        <f t="shared" ref="M28:M30" si="6">$H28*K28</f>
        <v>0</v>
      </c>
      <c r="N28" s="2">
        <f t="shared" ref="N28:N30" si="7">$H28*L28</f>
        <v>0</v>
      </c>
      <c r="Q28" s="2"/>
    </row>
    <row r="29" spans="4:17" x14ac:dyDescent="0.25">
      <c r="D29" t="s">
        <v>80</v>
      </c>
      <c r="E29" t="s">
        <v>79</v>
      </c>
      <c r="F29" t="s">
        <v>1</v>
      </c>
      <c r="G29" t="s">
        <v>24</v>
      </c>
      <c r="H29">
        <v>1</v>
      </c>
      <c r="I29" t="s">
        <v>64</v>
      </c>
      <c r="J29" t="s">
        <v>78</v>
      </c>
      <c r="K29">
        <v>60</v>
      </c>
      <c r="L29">
        <v>100</v>
      </c>
      <c r="M29" s="2">
        <f t="shared" si="6"/>
        <v>60</v>
      </c>
      <c r="N29" s="2">
        <f t="shared" si="7"/>
        <v>100</v>
      </c>
      <c r="Q29" s="2"/>
    </row>
    <row r="30" spans="4:17" x14ac:dyDescent="0.25">
      <c r="E30" t="s">
        <v>81</v>
      </c>
      <c r="F30" t="s">
        <v>1</v>
      </c>
      <c r="G30" t="s">
        <v>25</v>
      </c>
      <c r="H30">
        <v>1</v>
      </c>
      <c r="I30" t="s">
        <v>64</v>
      </c>
      <c r="J30" t="s">
        <v>82</v>
      </c>
      <c r="K30">
        <v>2500</v>
      </c>
      <c r="L30">
        <v>3500</v>
      </c>
      <c r="M30" s="2">
        <f t="shared" si="6"/>
        <v>2500</v>
      </c>
      <c r="N30" s="2">
        <f t="shared" si="7"/>
        <v>3500</v>
      </c>
      <c r="Q30" s="2"/>
    </row>
    <row r="31" spans="4:17" x14ac:dyDescent="0.25">
      <c r="F31" s="4" t="s">
        <v>1</v>
      </c>
      <c r="G31" s="4" t="s">
        <v>13</v>
      </c>
      <c r="H31" s="4">
        <v>1</v>
      </c>
      <c r="I31" s="4" t="s">
        <v>64</v>
      </c>
      <c r="J31" s="4"/>
      <c r="K31" s="4"/>
      <c r="L31" s="4"/>
      <c r="M31" s="5"/>
      <c r="N31" s="5"/>
      <c r="Q31" s="2"/>
    </row>
    <row r="32" spans="4:17" x14ac:dyDescent="0.25">
      <c r="E32" t="s">
        <v>79</v>
      </c>
      <c r="F32" t="s">
        <v>2</v>
      </c>
      <c r="G32" t="s">
        <v>26</v>
      </c>
      <c r="H32">
        <v>10.9</v>
      </c>
      <c r="I32" t="s">
        <v>60</v>
      </c>
      <c r="J32" t="s">
        <v>72</v>
      </c>
      <c r="K32">
        <v>100</v>
      </c>
      <c r="L32">
        <v>100</v>
      </c>
      <c r="M32" s="2">
        <f>($H32/$H$5)*K32</f>
        <v>1090</v>
      </c>
      <c r="N32" s="2">
        <f>($H32/$H$5)*L32</f>
        <v>1090</v>
      </c>
      <c r="Q32" s="2"/>
    </row>
    <row r="33" spans="4:17" x14ac:dyDescent="0.25">
      <c r="E33" t="s">
        <v>79</v>
      </c>
      <c r="F33" t="s">
        <v>2</v>
      </c>
      <c r="G33" t="s">
        <v>8</v>
      </c>
      <c r="H33">
        <v>37</v>
      </c>
      <c r="I33" t="s">
        <v>60</v>
      </c>
      <c r="K33">
        <v>16</v>
      </c>
      <c r="L33">
        <v>24</v>
      </c>
      <c r="M33" s="2">
        <f t="shared" ref="M33:M56" si="8">($H33/$H$3)*K33</f>
        <v>59.2</v>
      </c>
      <c r="N33" s="2">
        <f t="shared" ref="N33:N56" si="9">($H33/$H$3)*L33</f>
        <v>88.800000000000011</v>
      </c>
      <c r="Q33" s="2"/>
    </row>
    <row r="34" spans="4:17" x14ac:dyDescent="0.25">
      <c r="F34" t="s">
        <v>2</v>
      </c>
      <c r="G34" t="s">
        <v>100</v>
      </c>
      <c r="H34">
        <v>1</v>
      </c>
      <c r="I34" t="s">
        <v>64</v>
      </c>
      <c r="J34" t="s">
        <v>75</v>
      </c>
      <c r="K34">
        <v>2000</v>
      </c>
      <c r="L34">
        <v>3000</v>
      </c>
      <c r="M34">
        <f>$H34*K34</f>
        <v>2000</v>
      </c>
      <c r="N34">
        <f t="shared" ref="N34:N40" si="10">$H34*L34</f>
        <v>3000</v>
      </c>
      <c r="O34" t="s">
        <v>99</v>
      </c>
      <c r="P34">
        <v>1000</v>
      </c>
      <c r="Q34" s="2">
        <f t="shared" ref="Q34" si="11">P34-N34</f>
        <v>-2000</v>
      </c>
    </row>
    <row r="35" spans="4:17" x14ac:dyDescent="0.25">
      <c r="E35" s="9"/>
      <c r="F35" t="s">
        <v>2</v>
      </c>
      <c r="G35" t="s">
        <v>27</v>
      </c>
      <c r="H35">
        <v>1</v>
      </c>
      <c r="I35" t="s">
        <v>64</v>
      </c>
      <c r="K35">
        <v>3000</v>
      </c>
      <c r="L35">
        <v>4500</v>
      </c>
      <c r="M35">
        <f>$H35*K35</f>
        <v>3000</v>
      </c>
      <c r="N35">
        <f t="shared" si="10"/>
        <v>4500</v>
      </c>
      <c r="Q35" s="2"/>
    </row>
    <row r="36" spans="4:17" x14ac:dyDescent="0.25">
      <c r="F36" t="s">
        <v>2</v>
      </c>
      <c r="G36" t="s">
        <v>28</v>
      </c>
      <c r="H36">
        <v>9</v>
      </c>
      <c r="I36" t="s">
        <v>64</v>
      </c>
      <c r="K36">
        <v>0</v>
      </c>
      <c r="L36">
        <v>0</v>
      </c>
      <c r="M36">
        <f>$H36*K36</f>
        <v>0</v>
      </c>
      <c r="N36">
        <f t="shared" si="10"/>
        <v>0</v>
      </c>
      <c r="Q36" s="2"/>
    </row>
    <row r="37" spans="4:17" x14ac:dyDescent="0.25">
      <c r="F37" t="s">
        <v>2</v>
      </c>
      <c r="G37" t="s">
        <v>56</v>
      </c>
      <c r="H37">
        <v>2</v>
      </c>
      <c r="I37" t="s">
        <v>84</v>
      </c>
      <c r="K37">
        <v>0</v>
      </c>
      <c r="L37">
        <v>0</v>
      </c>
      <c r="M37">
        <f t="shared" ref="M37:M40" si="12">$H37*K37</f>
        <v>0</v>
      </c>
      <c r="N37">
        <f t="shared" si="10"/>
        <v>0</v>
      </c>
      <c r="Q37" s="2"/>
    </row>
    <row r="38" spans="4:17" x14ac:dyDescent="0.25">
      <c r="F38" t="s">
        <v>2</v>
      </c>
      <c r="G38" t="s">
        <v>12</v>
      </c>
      <c r="H38">
        <v>1</v>
      </c>
      <c r="I38" t="s">
        <v>64</v>
      </c>
      <c r="K38">
        <v>0</v>
      </c>
      <c r="L38">
        <v>0</v>
      </c>
      <c r="M38">
        <f t="shared" si="12"/>
        <v>0</v>
      </c>
      <c r="N38">
        <f t="shared" si="10"/>
        <v>0</v>
      </c>
      <c r="Q38" s="2"/>
    </row>
    <row r="39" spans="4:17" x14ac:dyDescent="0.25">
      <c r="D39" t="s">
        <v>80</v>
      </c>
      <c r="E39" t="s">
        <v>79</v>
      </c>
      <c r="F39" t="s">
        <v>2</v>
      </c>
      <c r="G39" t="s">
        <v>33</v>
      </c>
      <c r="H39">
        <v>1</v>
      </c>
      <c r="I39" t="s">
        <v>64</v>
      </c>
      <c r="J39" t="s">
        <v>31</v>
      </c>
      <c r="K39">
        <v>150</v>
      </c>
      <c r="L39">
        <v>600</v>
      </c>
      <c r="M39">
        <f t="shared" si="12"/>
        <v>150</v>
      </c>
      <c r="N39">
        <f t="shared" si="10"/>
        <v>600</v>
      </c>
      <c r="Q39" s="2"/>
    </row>
    <row r="40" spans="4:17" x14ac:dyDescent="0.25">
      <c r="E40" s="10"/>
      <c r="F40" t="s">
        <v>2</v>
      </c>
      <c r="G40" t="s">
        <v>32</v>
      </c>
      <c r="H40">
        <v>1</v>
      </c>
      <c r="I40" t="s">
        <v>64</v>
      </c>
      <c r="K40">
        <v>150</v>
      </c>
      <c r="L40">
        <v>300</v>
      </c>
      <c r="M40">
        <f t="shared" si="12"/>
        <v>150</v>
      </c>
      <c r="N40">
        <f t="shared" si="10"/>
        <v>300</v>
      </c>
      <c r="Q40" s="2"/>
    </row>
    <row r="41" spans="4:17" x14ac:dyDescent="0.25">
      <c r="F41" s="4" t="s">
        <v>2</v>
      </c>
      <c r="G41" s="4" t="s">
        <v>13</v>
      </c>
      <c r="H41" s="4">
        <v>1</v>
      </c>
      <c r="I41" s="4" t="s">
        <v>64</v>
      </c>
      <c r="J41" s="4"/>
      <c r="K41" s="4"/>
      <c r="L41" s="4"/>
      <c r="M41" s="5"/>
      <c r="N41" s="5"/>
      <c r="Q41" s="2"/>
    </row>
    <row r="42" spans="4:17" x14ac:dyDescent="0.25">
      <c r="E42" t="s">
        <v>79</v>
      </c>
      <c r="F42" t="s">
        <v>4</v>
      </c>
      <c r="G42" t="s">
        <v>26</v>
      </c>
      <c r="H42">
        <v>19</v>
      </c>
      <c r="I42" t="s">
        <v>60</v>
      </c>
      <c r="J42" t="s">
        <v>72</v>
      </c>
      <c r="K42">
        <v>100</v>
      </c>
      <c r="L42">
        <v>100</v>
      </c>
      <c r="M42" s="2">
        <f>($H42/$H$5)*K42</f>
        <v>1900</v>
      </c>
      <c r="N42" s="2">
        <f>($H42/$H$5)*L42</f>
        <v>1900</v>
      </c>
      <c r="Q42" s="2"/>
    </row>
    <row r="43" spans="4:17" x14ac:dyDescent="0.25">
      <c r="E43" t="s">
        <v>79</v>
      </c>
      <c r="F43" t="s">
        <v>4</v>
      </c>
      <c r="G43" t="s">
        <v>8</v>
      </c>
      <c r="H43">
        <v>50</v>
      </c>
      <c r="I43" t="s">
        <v>60</v>
      </c>
      <c r="J43" t="s">
        <v>37</v>
      </c>
      <c r="K43">
        <v>16</v>
      </c>
      <c r="L43">
        <v>24</v>
      </c>
      <c r="M43" s="2">
        <f t="shared" si="8"/>
        <v>80</v>
      </c>
      <c r="N43" s="2">
        <f t="shared" si="9"/>
        <v>120</v>
      </c>
      <c r="Q43" s="2"/>
    </row>
    <row r="44" spans="4:17" x14ac:dyDescent="0.25">
      <c r="E44" t="s">
        <v>79</v>
      </c>
      <c r="F44" t="s">
        <v>4</v>
      </c>
      <c r="G44" t="s">
        <v>28</v>
      </c>
      <c r="H44">
        <v>30</v>
      </c>
      <c r="I44" t="s">
        <v>64</v>
      </c>
      <c r="K44">
        <v>0</v>
      </c>
      <c r="L44">
        <v>0</v>
      </c>
      <c r="M44">
        <f t="shared" ref="M44" si="13">$H44*K44</f>
        <v>0</v>
      </c>
      <c r="N44">
        <f t="shared" ref="N44" si="14">$H44*L44</f>
        <v>0</v>
      </c>
      <c r="Q44" s="2"/>
    </row>
    <row r="45" spans="4:17" x14ac:dyDescent="0.25">
      <c r="E45" t="s">
        <v>79</v>
      </c>
      <c r="F45" t="s">
        <v>4</v>
      </c>
      <c r="G45" t="s">
        <v>12</v>
      </c>
      <c r="H45">
        <v>1</v>
      </c>
      <c r="I45" t="s">
        <v>64</v>
      </c>
      <c r="K45">
        <v>65</v>
      </c>
      <c r="L45">
        <v>65</v>
      </c>
      <c r="M45">
        <f t="shared" ref="M45:M49" si="15">$H45*K45</f>
        <v>65</v>
      </c>
      <c r="N45">
        <f t="shared" ref="N45:N49" si="16">$H45*L45</f>
        <v>65</v>
      </c>
      <c r="Q45" s="2"/>
    </row>
    <row r="46" spans="4:17" x14ac:dyDescent="0.25">
      <c r="E46" t="s">
        <v>80</v>
      </c>
      <c r="F46" t="s">
        <v>4</v>
      </c>
      <c r="G46" t="s">
        <v>34</v>
      </c>
      <c r="H46">
        <v>1</v>
      </c>
      <c r="I46" t="s">
        <v>64</v>
      </c>
      <c r="K46">
        <v>500</v>
      </c>
      <c r="L46">
        <v>1200</v>
      </c>
      <c r="M46">
        <f t="shared" si="15"/>
        <v>500</v>
      </c>
      <c r="N46">
        <f t="shared" si="16"/>
        <v>1200</v>
      </c>
      <c r="Q46" s="2"/>
    </row>
    <row r="47" spans="4:17" x14ac:dyDescent="0.25">
      <c r="E47" t="s">
        <v>80</v>
      </c>
      <c r="F47" t="s">
        <v>4</v>
      </c>
      <c r="G47" t="s">
        <v>35</v>
      </c>
      <c r="H47">
        <v>1</v>
      </c>
      <c r="I47" t="s">
        <v>64</v>
      </c>
      <c r="K47">
        <v>1000</v>
      </c>
      <c r="L47">
        <v>4000</v>
      </c>
      <c r="M47">
        <f t="shared" si="15"/>
        <v>1000</v>
      </c>
      <c r="N47">
        <f t="shared" si="16"/>
        <v>4000</v>
      </c>
      <c r="Q47" s="2"/>
    </row>
    <row r="48" spans="4:17" x14ac:dyDescent="0.25">
      <c r="E48" t="s">
        <v>80</v>
      </c>
      <c r="F48" t="s">
        <v>4</v>
      </c>
      <c r="G48" t="s">
        <v>36</v>
      </c>
      <c r="H48">
        <v>1</v>
      </c>
      <c r="I48" t="s">
        <v>64</v>
      </c>
      <c r="J48" t="s">
        <v>83</v>
      </c>
      <c r="K48">
        <v>150</v>
      </c>
      <c r="L48">
        <v>400</v>
      </c>
      <c r="M48">
        <f t="shared" si="15"/>
        <v>150</v>
      </c>
      <c r="N48">
        <f t="shared" si="16"/>
        <v>400</v>
      </c>
      <c r="Q48" s="2"/>
    </row>
    <row r="49" spans="4:17" x14ac:dyDescent="0.25">
      <c r="E49" s="10"/>
      <c r="F49" t="s">
        <v>4</v>
      </c>
      <c r="G49" t="s">
        <v>38</v>
      </c>
      <c r="H49">
        <v>4</v>
      </c>
      <c r="I49" t="s">
        <v>64</v>
      </c>
      <c r="K49">
        <v>150</v>
      </c>
      <c r="L49">
        <v>300</v>
      </c>
      <c r="M49">
        <f t="shared" si="15"/>
        <v>600</v>
      </c>
      <c r="N49">
        <f t="shared" si="16"/>
        <v>1200</v>
      </c>
      <c r="Q49" s="2"/>
    </row>
    <row r="50" spans="4:17" x14ac:dyDescent="0.25">
      <c r="F50" s="4" t="s">
        <v>4</v>
      </c>
      <c r="G50" s="4" t="s">
        <v>13</v>
      </c>
      <c r="H50" s="4">
        <v>1</v>
      </c>
      <c r="I50" s="4" t="s">
        <v>64</v>
      </c>
      <c r="J50" s="4"/>
      <c r="K50" s="4"/>
      <c r="L50" s="4"/>
      <c r="M50" s="5"/>
      <c r="N50" s="5"/>
      <c r="Q50" s="2"/>
    </row>
    <row r="51" spans="4:17" x14ac:dyDescent="0.25">
      <c r="E51" t="s">
        <v>79</v>
      </c>
      <c r="F51" s="2" t="s">
        <v>5</v>
      </c>
      <c r="G51" s="2" t="s">
        <v>7</v>
      </c>
      <c r="H51" s="2">
        <v>18.5</v>
      </c>
      <c r="I51" s="2" t="s">
        <v>60</v>
      </c>
      <c r="J51" s="2" t="s">
        <v>39</v>
      </c>
      <c r="K51" s="2">
        <v>100</v>
      </c>
      <c r="L51" s="2">
        <v>108</v>
      </c>
      <c r="M51" s="2">
        <f>($H51/$H$4)*K51</f>
        <v>1850</v>
      </c>
      <c r="N51" s="2">
        <f>($H51/$H$4)*L51</f>
        <v>1998</v>
      </c>
      <c r="Q51" s="2"/>
    </row>
    <row r="52" spans="4:17" x14ac:dyDescent="0.25">
      <c r="E52" t="s">
        <v>79</v>
      </c>
      <c r="F52" s="2" t="s">
        <v>5</v>
      </c>
      <c r="G52" s="2" t="s">
        <v>8</v>
      </c>
      <c r="H52" s="2">
        <v>56</v>
      </c>
      <c r="I52" s="2" t="s">
        <v>60</v>
      </c>
      <c r="J52" s="2" t="s">
        <v>40</v>
      </c>
      <c r="K52" s="2">
        <v>16</v>
      </c>
      <c r="L52" s="2">
        <v>24</v>
      </c>
      <c r="M52" s="2">
        <f t="shared" si="8"/>
        <v>89.6</v>
      </c>
      <c r="N52" s="2">
        <f t="shared" si="9"/>
        <v>134.39999999999998</v>
      </c>
      <c r="Q52" s="2"/>
    </row>
    <row r="53" spans="4:17" x14ac:dyDescent="0.25">
      <c r="E53" t="s">
        <v>79</v>
      </c>
      <c r="F53" s="2" t="s">
        <v>5</v>
      </c>
      <c r="G53" s="2" t="s">
        <v>85</v>
      </c>
      <c r="H53" s="2">
        <v>1</v>
      </c>
      <c r="I53" s="2" t="s">
        <v>64</v>
      </c>
      <c r="J53" s="2" t="s">
        <v>41</v>
      </c>
      <c r="K53" s="2">
        <v>0</v>
      </c>
      <c r="L53" s="2">
        <v>0</v>
      </c>
      <c r="M53" s="2">
        <f>$H53*K53</f>
        <v>0</v>
      </c>
      <c r="N53" s="2">
        <f>$H53*L53</f>
        <v>0</v>
      </c>
      <c r="Q53" s="2"/>
    </row>
    <row r="54" spans="4:17" x14ac:dyDescent="0.25">
      <c r="E54" t="s">
        <v>79</v>
      </c>
      <c r="F54" s="2" t="s">
        <v>6</v>
      </c>
      <c r="G54" s="2" t="s">
        <v>42</v>
      </c>
      <c r="H54" s="2">
        <v>1</v>
      </c>
      <c r="I54" s="2" t="s">
        <v>64</v>
      </c>
      <c r="J54" s="2" t="s">
        <v>40</v>
      </c>
      <c r="K54" s="2">
        <v>100</v>
      </c>
      <c r="L54" s="2">
        <v>100</v>
      </c>
      <c r="M54" s="2">
        <f>$H54*K54</f>
        <v>100</v>
      </c>
      <c r="N54" s="2">
        <f t="shared" ref="N54" si="17">$H54*L54</f>
        <v>100</v>
      </c>
      <c r="Q54" s="2"/>
    </row>
    <row r="55" spans="4:17" x14ac:dyDescent="0.25">
      <c r="E55" t="s">
        <v>79</v>
      </c>
      <c r="F55" s="2" t="s">
        <v>3</v>
      </c>
      <c r="G55" s="2" t="s">
        <v>7</v>
      </c>
      <c r="H55" s="2">
        <v>5.3</v>
      </c>
      <c r="I55" s="2" t="s">
        <v>60</v>
      </c>
      <c r="J55" s="2" t="s">
        <v>73</v>
      </c>
      <c r="K55" s="2">
        <v>100</v>
      </c>
      <c r="L55" s="2">
        <v>108</v>
      </c>
      <c r="M55" s="2">
        <f>($H55/$H$4)*K55</f>
        <v>530</v>
      </c>
      <c r="N55" s="2">
        <f>($H55/$H$4)*L55</f>
        <v>572.4</v>
      </c>
      <c r="Q55" s="2"/>
    </row>
    <row r="56" spans="4:17" x14ac:dyDescent="0.25">
      <c r="E56" t="s">
        <v>79</v>
      </c>
      <c r="F56" t="s">
        <v>3</v>
      </c>
      <c r="G56" t="s">
        <v>8</v>
      </c>
      <c r="H56">
        <v>22</v>
      </c>
      <c r="I56" t="s">
        <v>60</v>
      </c>
      <c r="K56">
        <v>16</v>
      </c>
      <c r="L56">
        <v>24</v>
      </c>
      <c r="M56" s="2">
        <f t="shared" si="8"/>
        <v>35.200000000000003</v>
      </c>
      <c r="N56" s="2">
        <f t="shared" si="9"/>
        <v>52.800000000000004</v>
      </c>
      <c r="Q56" s="2"/>
    </row>
    <row r="57" spans="4:17" x14ac:dyDescent="0.25">
      <c r="D57" t="s">
        <v>79</v>
      </c>
      <c r="E57" t="s">
        <v>80</v>
      </c>
      <c r="F57" s="6" t="s">
        <v>3</v>
      </c>
      <c r="G57" s="6" t="s">
        <v>43</v>
      </c>
      <c r="H57" s="6">
        <v>1</v>
      </c>
      <c r="I57" s="6" t="s">
        <v>64</v>
      </c>
      <c r="J57" s="6" t="s">
        <v>53</v>
      </c>
      <c r="K57" s="6">
        <v>9400</v>
      </c>
      <c r="L57" s="6">
        <v>10000</v>
      </c>
      <c r="M57" s="7">
        <f t="shared" ref="M57" si="18">$H57*K57</f>
        <v>9400</v>
      </c>
      <c r="N57" s="7">
        <f t="shared" ref="N57" si="19">$H57*L57</f>
        <v>10000</v>
      </c>
      <c r="Q57" s="2"/>
    </row>
    <row r="58" spans="4:17" x14ac:dyDescent="0.25">
      <c r="E58" t="s">
        <v>81</v>
      </c>
      <c r="F58" t="s">
        <v>3</v>
      </c>
      <c r="G58" t="s">
        <v>44</v>
      </c>
      <c r="H58">
        <v>1</v>
      </c>
      <c r="I58" t="s">
        <v>64</v>
      </c>
      <c r="J58" t="s">
        <v>47</v>
      </c>
      <c r="K58" s="6">
        <v>2000</v>
      </c>
      <c r="L58" s="6">
        <v>3500</v>
      </c>
      <c r="M58" s="2">
        <f t="shared" ref="M58:M61" si="20">$H58*K58</f>
        <v>2000</v>
      </c>
      <c r="N58" s="2">
        <f t="shared" ref="N58:N61" si="21">$H58*L58</f>
        <v>3500</v>
      </c>
      <c r="O58" t="s">
        <v>93</v>
      </c>
      <c r="P58">
        <v>2900</v>
      </c>
      <c r="Q58" s="2">
        <f t="shared" si="2"/>
        <v>-600</v>
      </c>
    </row>
    <row r="59" spans="4:17" x14ac:dyDescent="0.25">
      <c r="E59" t="s">
        <v>81</v>
      </c>
      <c r="F59" t="s">
        <v>3</v>
      </c>
      <c r="G59" t="s">
        <v>45</v>
      </c>
      <c r="H59">
        <v>1</v>
      </c>
      <c r="I59" t="s">
        <v>64</v>
      </c>
      <c r="J59" t="s">
        <v>47</v>
      </c>
      <c r="K59" s="6">
        <v>1500</v>
      </c>
      <c r="L59" s="6">
        <v>2500</v>
      </c>
      <c r="M59" s="2">
        <f t="shared" si="20"/>
        <v>1500</v>
      </c>
      <c r="N59" s="2">
        <f t="shared" si="21"/>
        <v>2500</v>
      </c>
      <c r="O59" t="s">
        <v>96</v>
      </c>
      <c r="P59">
        <v>1900</v>
      </c>
      <c r="Q59" s="2">
        <f t="shared" si="2"/>
        <v>-600</v>
      </c>
    </row>
    <row r="60" spans="4:17" x14ac:dyDescent="0.25">
      <c r="E60" t="s">
        <v>81</v>
      </c>
      <c r="F60" t="s">
        <v>3</v>
      </c>
      <c r="G60" t="s">
        <v>46</v>
      </c>
      <c r="H60">
        <v>1</v>
      </c>
      <c r="I60" t="s">
        <v>64</v>
      </c>
      <c r="J60" t="s">
        <v>47</v>
      </c>
      <c r="K60" s="6">
        <v>900</v>
      </c>
      <c r="L60" s="6">
        <v>1700</v>
      </c>
      <c r="M60" s="2">
        <f t="shared" si="20"/>
        <v>900</v>
      </c>
      <c r="N60" s="2">
        <f t="shared" si="21"/>
        <v>1700</v>
      </c>
      <c r="Q60" s="2"/>
    </row>
    <row r="61" spans="4:17" x14ac:dyDescent="0.25">
      <c r="E61" t="s">
        <v>81</v>
      </c>
      <c r="F61" t="s">
        <v>3</v>
      </c>
      <c r="G61" t="s">
        <v>48</v>
      </c>
      <c r="H61">
        <v>1</v>
      </c>
      <c r="I61" t="s">
        <v>64</v>
      </c>
      <c r="J61" t="s">
        <v>47</v>
      </c>
      <c r="K61" s="6">
        <v>1500</v>
      </c>
      <c r="L61" s="6">
        <v>2300</v>
      </c>
      <c r="M61" s="2">
        <f t="shared" si="20"/>
        <v>1500</v>
      </c>
      <c r="N61" s="2">
        <f t="shared" si="21"/>
        <v>2300</v>
      </c>
      <c r="O61" t="s">
        <v>94</v>
      </c>
      <c r="P61">
        <v>1300</v>
      </c>
      <c r="Q61" s="2">
        <f t="shared" si="2"/>
        <v>-1000</v>
      </c>
    </row>
    <row r="62" spans="4:17" x14ac:dyDescent="0.25">
      <c r="E62" t="s">
        <v>81</v>
      </c>
      <c r="F62" t="s">
        <v>3</v>
      </c>
      <c r="G62" t="s">
        <v>49</v>
      </c>
      <c r="H62">
        <v>1</v>
      </c>
      <c r="I62" t="s">
        <v>64</v>
      </c>
      <c r="J62" t="s">
        <v>50</v>
      </c>
      <c r="K62">
        <v>500</v>
      </c>
      <c r="L62">
        <v>1600</v>
      </c>
      <c r="M62" s="2">
        <f t="shared" ref="M62:N66" si="22">$H62*K62</f>
        <v>500</v>
      </c>
      <c r="N62" s="2">
        <f t="shared" si="22"/>
        <v>1600</v>
      </c>
      <c r="O62" t="s">
        <v>98</v>
      </c>
      <c r="P62">
        <v>1400</v>
      </c>
      <c r="Q62" s="2">
        <f t="shared" si="2"/>
        <v>-200</v>
      </c>
    </row>
    <row r="63" spans="4:17" x14ac:dyDescent="0.25">
      <c r="E63" t="s">
        <v>81</v>
      </c>
      <c r="F63" t="s">
        <v>3</v>
      </c>
      <c r="G63" t="s">
        <v>51</v>
      </c>
      <c r="H63">
        <v>1</v>
      </c>
      <c r="I63" t="s">
        <v>64</v>
      </c>
      <c r="K63">
        <v>100</v>
      </c>
      <c r="L63">
        <v>150</v>
      </c>
      <c r="M63" s="2">
        <f t="shared" si="22"/>
        <v>100</v>
      </c>
      <c r="N63" s="2">
        <f t="shared" si="22"/>
        <v>150</v>
      </c>
      <c r="Q63" s="2"/>
    </row>
    <row r="64" spans="4:17" x14ac:dyDescent="0.25">
      <c r="E64" t="s">
        <v>81</v>
      </c>
      <c r="F64" t="s">
        <v>3</v>
      </c>
      <c r="G64" t="s">
        <v>52</v>
      </c>
      <c r="H64">
        <v>1</v>
      </c>
      <c r="I64" t="s">
        <v>64</v>
      </c>
      <c r="K64">
        <v>1500</v>
      </c>
      <c r="L64">
        <v>1900</v>
      </c>
      <c r="M64" s="2">
        <f t="shared" si="22"/>
        <v>1500</v>
      </c>
      <c r="N64" s="2">
        <f t="shared" si="22"/>
        <v>1900</v>
      </c>
      <c r="O64" t="s">
        <v>97</v>
      </c>
      <c r="P64">
        <v>2000</v>
      </c>
      <c r="Q64" s="2">
        <f t="shared" si="2"/>
        <v>100</v>
      </c>
    </row>
    <row r="65" spans="5:17" x14ac:dyDescent="0.25">
      <c r="E65" t="s">
        <v>79</v>
      </c>
      <c r="F65" t="s">
        <v>3</v>
      </c>
      <c r="G65" t="s">
        <v>14</v>
      </c>
      <c r="H65">
        <v>1</v>
      </c>
      <c r="I65" t="s">
        <v>64</v>
      </c>
      <c r="K65">
        <v>500</v>
      </c>
      <c r="L65">
        <v>500</v>
      </c>
      <c r="M65" s="2">
        <f t="shared" si="22"/>
        <v>500</v>
      </c>
      <c r="N65" s="2">
        <f t="shared" si="22"/>
        <v>500</v>
      </c>
      <c r="O65" t="s">
        <v>92</v>
      </c>
      <c r="P65">
        <v>260</v>
      </c>
      <c r="Q65" s="2">
        <f t="shared" ref="Q65" si="23">P65-N65</f>
        <v>-240</v>
      </c>
    </row>
    <row r="66" spans="5:17" x14ac:dyDescent="0.25">
      <c r="F66" t="s">
        <v>3</v>
      </c>
      <c r="G66" t="s">
        <v>54</v>
      </c>
      <c r="H66">
        <v>3</v>
      </c>
      <c r="I66" t="s">
        <v>64</v>
      </c>
      <c r="J66" t="s">
        <v>55</v>
      </c>
      <c r="K66">
        <v>0</v>
      </c>
      <c r="L66">
        <v>0</v>
      </c>
      <c r="M66">
        <f t="shared" si="22"/>
        <v>0</v>
      </c>
      <c r="N66">
        <f t="shared" si="22"/>
        <v>0</v>
      </c>
      <c r="Q66" s="2"/>
    </row>
    <row r="67" spans="5:17" x14ac:dyDescent="0.25">
      <c r="F67" s="18" t="s">
        <v>67</v>
      </c>
      <c r="G67" s="18"/>
      <c r="H67" s="18"/>
      <c r="I67" s="18"/>
      <c r="J67" s="18"/>
      <c r="K67" s="18"/>
      <c r="L67" s="18"/>
      <c r="M67" s="11">
        <f>SUM(M8:M66)</f>
        <v>43106.6</v>
      </c>
      <c r="N67" s="11">
        <f>SUM(N8:N66)</f>
        <v>61186.600000000006</v>
      </c>
      <c r="P67" s="2">
        <f>SUM(P8:P66)</f>
        <v>12280</v>
      </c>
      <c r="Q67" s="2">
        <f>SUM(Q8:Q66)</f>
        <v>-5000</v>
      </c>
    </row>
    <row r="68" spans="5:17" x14ac:dyDescent="0.25">
      <c r="F68" s="17" t="s">
        <v>70</v>
      </c>
      <c r="G68" s="17"/>
      <c r="H68" s="17"/>
      <c r="I68" s="17"/>
      <c r="J68" s="17"/>
      <c r="K68" s="17"/>
      <c r="L68" s="17"/>
      <c r="M68" s="2">
        <f>SUM(M8:M66)-SUM(M51:M53)</f>
        <v>41167</v>
      </c>
      <c r="N68" s="2">
        <f>SUM(N8:N66)-SUM(N51:N53)</f>
        <v>59054.200000000004</v>
      </c>
    </row>
    <row r="69" spans="5:17" x14ac:dyDescent="0.25">
      <c r="F69" s="17" t="s">
        <v>71</v>
      </c>
      <c r="G69" s="17"/>
      <c r="H69" s="17"/>
      <c r="I69" s="17"/>
      <c r="J69" s="17"/>
      <c r="K69" s="17"/>
      <c r="L69" s="17"/>
      <c r="M69" s="2">
        <f>SUM(M51:M53)</f>
        <v>1939.6</v>
      </c>
      <c r="N69" s="2">
        <f>SUM(N51:N53)</f>
        <v>2132.4</v>
      </c>
    </row>
    <row r="75" spans="5:17" x14ac:dyDescent="0.25">
      <c r="M75" t="s">
        <v>3</v>
      </c>
      <c r="N75" s="2">
        <f>SUM(N55:N66)</f>
        <v>24775.200000000001</v>
      </c>
    </row>
    <row r="76" spans="5:17" x14ac:dyDescent="0.25">
      <c r="M76" t="s">
        <v>87</v>
      </c>
      <c r="N76" s="2">
        <f>SUM(N17:N31)</f>
        <v>12787.6</v>
      </c>
    </row>
    <row r="77" spans="5:17" x14ac:dyDescent="0.25">
      <c r="M77" t="s">
        <v>88</v>
      </c>
      <c r="N77" s="2">
        <f>SUM(N42:N50)</f>
        <v>8885</v>
      </c>
    </row>
    <row r="78" spans="5:17" x14ac:dyDescent="0.25">
      <c r="M78" t="s">
        <v>89</v>
      </c>
      <c r="N78" s="2">
        <f>SUM(N8:N16)</f>
        <v>2927.6</v>
      </c>
    </row>
    <row r="79" spans="5:17" x14ac:dyDescent="0.25">
      <c r="M79" t="s">
        <v>2</v>
      </c>
      <c r="N79" s="2">
        <f>SUM(N32:N41)</f>
        <v>9578.7999999999993</v>
      </c>
    </row>
    <row r="80" spans="5:17" x14ac:dyDescent="0.25">
      <c r="M80" t="s">
        <v>5</v>
      </c>
      <c r="N80" s="2">
        <f>SUM(N51:N53)</f>
        <v>2132.4</v>
      </c>
    </row>
    <row r="81" spans="13:14" x14ac:dyDescent="0.25">
      <c r="M81" t="s">
        <v>6</v>
      </c>
      <c r="N81" s="2">
        <f>SUM(N54)</f>
        <v>100</v>
      </c>
    </row>
  </sheetData>
  <mergeCells count="5">
    <mergeCell ref="K6:L6"/>
    <mergeCell ref="M6:N6"/>
    <mergeCell ref="F68:L68"/>
    <mergeCell ref="F69:L69"/>
    <mergeCell ref="F67:L6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BA86-5913-498C-82B5-B998BB31729B}">
  <dimension ref="A3:G10"/>
  <sheetViews>
    <sheetView workbookViewId="0">
      <selection activeCell="F11" sqref="F11"/>
    </sheetView>
  </sheetViews>
  <sheetFormatPr defaultRowHeight="15" x14ac:dyDescent="0.25"/>
  <cols>
    <col min="1" max="1" width="15.140625" customWidth="1"/>
    <col min="2" max="2" width="57.140625" customWidth="1"/>
    <col min="3" max="3" width="24.5703125" customWidth="1"/>
    <col min="4" max="4" width="50.7109375" customWidth="1"/>
    <col min="5" max="5" width="28.85546875" customWidth="1"/>
    <col min="6" max="6" width="31.85546875" customWidth="1"/>
    <col min="7" max="7" width="33.28515625" customWidth="1"/>
  </cols>
  <sheetData>
    <row r="3" spans="1:7" x14ac:dyDescent="0.25">
      <c r="A3" t="s">
        <v>111</v>
      </c>
      <c r="B3" t="s">
        <v>1</v>
      </c>
      <c r="C3" t="s">
        <v>3</v>
      </c>
      <c r="D3" t="s">
        <v>116</v>
      </c>
      <c r="E3" t="s">
        <v>0</v>
      </c>
      <c r="F3" t="s">
        <v>2</v>
      </c>
      <c r="G3" t="s">
        <v>118</v>
      </c>
    </row>
    <row r="4" spans="1:7" x14ac:dyDescent="0.25">
      <c r="A4">
        <v>1</v>
      </c>
      <c r="B4" t="s">
        <v>112</v>
      </c>
      <c r="C4" t="s">
        <v>113</v>
      </c>
      <c r="D4" t="s">
        <v>117</v>
      </c>
      <c r="E4" t="s">
        <v>117</v>
      </c>
      <c r="F4" t="s">
        <v>117</v>
      </c>
      <c r="G4" t="s">
        <v>119</v>
      </c>
    </row>
    <row r="5" spans="1:7" x14ac:dyDescent="0.25">
      <c r="A5">
        <v>2</v>
      </c>
      <c r="B5" t="s">
        <v>105</v>
      </c>
      <c r="C5" t="s">
        <v>115</v>
      </c>
      <c r="D5" t="s">
        <v>114</v>
      </c>
      <c r="E5" t="s">
        <v>114</v>
      </c>
      <c r="F5" t="s">
        <v>114</v>
      </c>
    </row>
    <row r="6" spans="1:7" x14ac:dyDescent="0.25">
      <c r="A6">
        <v>3</v>
      </c>
      <c r="B6" t="s">
        <v>110</v>
      </c>
      <c r="C6" t="s">
        <v>114</v>
      </c>
      <c r="D6" t="s">
        <v>26</v>
      </c>
      <c r="E6" t="s">
        <v>7</v>
      </c>
      <c r="F6" t="s">
        <v>26</v>
      </c>
    </row>
    <row r="7" spans="1:7" x14ac:dyDescent="0.25">
      <c r="A7">
        <v>4</v>
      </c>
      <c r="B7" t="s">
        <v>108</v>
      </c>
    </row>
    <row r="8" spans="1:7" x14ac:dyDescent="0.25">
      <c r="A8">
        <v>5</v>
      </c>
      <c r="B8" t="s">
        <v>109</v>
      </c>
    </row>
    <row r="9" spans="1:7" x14ac:dyDescent="0.25">
      <c r="A9">
        <v>6</v>
      </c>
      <c r="B9" t="s">
        <v>106</v>
      </c>
    </row>
    <row r="10" spans="1:7" x14ac:dyDescent="0.25">
      <c r="A10">
        <v>7</v>
      </c>
      <c r="B10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C90EA-E21D-45B8-B398-590C9AA1B57A}">
  <dimension ref="D4:D7"/>
  <sheetViews>
    <sheetView workbookViewId="0">
      <selection activeCell="D5" sqref="D5"/>
    </sheetView>
  </sheetViews>
  <sheetFormatPr defaultRowHeight="15" x14ac:dyDescent="0.25"/>
  <sheetData>
    <row r="4" spans="4:4" x14ac:dyDescent="0.25">
      <c r="D4" t="s">
        <v>101</v>
      </c>
    </row>
    <row r="5" spans="4:4" x14ac:dyDescent="0.25">
      <c r="D5" t="s">
        <v>102</v>
      </c>
    </row>
    <row r="6" spans="4:4" x14ac:dyDescent="0.25">
      <c r="D6" t="s">
        <v>103</v>
      </c>
    </row>
    <row r="7" spans="4:4" x14ac:dyDescent="0.25">
      <c r="D7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AA8A-BA58-408B-8385-4ECEA6E552E9}">
  <dimension ref="D3:M13"/>
  <sheetViews>
    <sheetView workbookViewId="0">
      <selection activeCell="M4" sqref="M4"/>
    </sheetView>
  </sheetViews>
  <sheetFormatPr defaultRowHeight="15" x14ac:dyDescent="0.25"/>
  <cols>
    <col min="4" max="4" width="25.28515625" customWidth="1"/>
    <col min="7" max="8" width="10.140625" bestFit="1" customWidth="1"/>
    <col min="9" max="9" width="13.7109375" customWidth="1"/>
    <col min="10" max="10" width="12.42578125" customWidth="1"/>
    <col min="11" max="11" width="13.42578125" customWidth="1"/>
    <col min="12" max="12" width="21" customWidth="1"/>
  </cols>
  <sheetData>
    <row r="3" spans="4:13" x14ac:dyDescent="0.25">
      <c r="E3" t="s">
        <v>154</v>
      </c>
      <c r="F3" t="s">
        <v>155</v>
      </c>
      <c r="G3" t="s">
        <v>156</v>
      </c>
      <c r="H3" t="s">
        <v>157</v>
      </c>
      <c r="I3" t="s">
        <v>158</v>
      </c>
      <c r="J3" t="s">
        <v>160</v>
      </c>
      <c r="K3" t="s">
        <v>159</v>
      </c>
      <c r="L3" t="s">
        <v>165</v>
      </c>
      <c r="M3" t="s">
        <v>168</v>
      </c>
    </row>
    <row r="4" spans="4:13" x14ac:dyDescent="0.25">
      <c r="D4" t="s">
        <v>166</v>
      </c>
      <c r="E4">
        <v>280463</v>
      </c>
      <c r="F4" s="16">
        <v>7.0000000000000007E-2</v>
      </c>
      <c r="G4" s="15">
        <v>43265</v>
      </c>
      <c r="H4" s="15">
        <f ca="1">TODAY()</f>
        <v>43387</v>
      </c>
      <c r="I4">
        <f ca="1">_xlfn.DAYS(H4,G4)</f>
        <v>122</v>
      </c>
      <c r="J4">
        <v>365</v>
      </c>
      <c r="K4">
        <f ca="1">((E4*F4)/J4)*I4</f>
        <v>6562.0658082191794</v>
      </c>
      <c r="L4">
        <f>E4*2/100</f>
        <v>5609.26</v>
      </c>
      <c r="M4">
        <f>L4+L5</f>
        <v>11218.52</v>
      </c>
    </row>
    <row r="5" spans="4:13" x14ac:dyDescent="0.25">
      <c r="D5" t="s">
        <v>164</v>
      </c>
      <c r="E5">
        <v>280463</v>
      </c>
      <c r="F5" s="16">
        <v>7.0000000000000007E-2</v>
      </c>
      <c r="G5" s="15">
        <v>43282</v>
      </c>
      <c r="H5" s="15">
        <f ca="1">TODAY()</f>
        <v>43387</v>
      </c>
      <c r="I5">
        <f ca="1">_xlfn.DAYS(H5,G5)</f>
        <v>105</v>
      </c>
      <c r="J5">
        <v>365</v>
      </c>
      <c r="K5">
        <f ca="1">((E5*F5)/J5)*I5</f>
        <v>5647.6795890410976</v>
      </c>
      <c r="L5">
        <f>E5*2/100</f>
        <v>5609.26</v>
      </c>
    </row>
    <row r="6" spans="4:13" x14ac:dyDescent="0.25">
      <c r="D6" t="s">
        <v>167</v>
      </c>
      <c r="E6">
        <v>280463</v>
      </c>
      <c r="F6" s="16">
        <v>7.0000000000000007E-2</v>
      </c>
      <c r="G6" s="15"/>
      <c r="H6" s="15"/>
      <c r="I6">
        <v>105</v>
      </c>
      <c r="J6">
        <v>365</v>
      </c>
      <c r="K6">
        <f>((E6*F6)/J6)*I6</f>
        <v>5647.6795890410976</v>
      </c>
      <c r="L6">
        <f>E6*2/100</f>
        <v>5609.26</v>
      </c>
    </row>
    <row r="8" spans="4:13" x14ac:dyDescent="0.25">
      <c r="E8" t="s">
        <v>161</v>
      </c>
    </row>
    <row r="11" spans="4:13" x14ac:dyDescent="0.25">
      <c r="E11" t="s">
        <v>162</v>
      </c>
    </row>
    <row r="13" spans="4:13" x14ac:dyDescent="0.25">
      <c r="E13" t="s">
        <v>163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DC5C-1DD1-4279-96CA-15D06A0349B6}">
  <dimension ref="G7:Y50"/>
  <sheetViews>
    <sheetView tabSelected="1" topLeftCell="G1" zoomScale="145" zoomScaleNormal="145" workbookViewId="0">
      <selection activeCell="Q42" sqref="Q42:U42"/>
    </sheetView>
  </sheetViews>
  <sheetFormatPr defaultRowHeight="15" x14ac:dyDescent="0.25"/>
  <cols>
    <col min="8" max="9" width="13.140625" customWidth="1"/>
    <col min="19" max="19" width="24.5703125" customWidth="1"/>
    <col min="20" max="20" width="36.28515625" customWidth="1"/>
    <col min="21" max="21" width="27.7109375" customWidth="1"/>
    <col min="22" max="22" width="12.85546875" customWidth="1"/>
    <col min="23" max="23" width="21.28515625" customWidth="1"/>
    <col min="24" max="24" width="19.85546875" customWidth="1"/>
    <col min="25" max="25" width="11.7109375" customWidth="1"/>
  </cols>
  <sheetData>
    <row r="7" spans="7:25" x14ac:dyDescent="0.25">
      <c r="G7" t="s">
        <v>128</v>
      </c>
      <c r="H7">
        <v>23000</v>
      </c>
      <c r="Q7" s="12">
        <v>43296</v>
      </c>
      <c r="R7">
        <v>100000</v>
      </c>
    </row>
    <row r="8" spans="7:25" x14ac:dyDescent="0.25">
      <c r="Q8" s="12">
        <v>43327</v>
      </c>
      <c r="R8">
        <f>R7+10000</f>
        <v>110000</v>
      </c>
      <c r="U8" t="s">
        <v>133</v>
      </c>
    </row>
    <row r="9" spans="7:25" x14ac:dyDescent="0.25">
      <c r="Q9" s="12">
        <v>43358</v>
      </c>
      <c r="R9">
        <f t="shared" ref="R9:R20" si="0">R8+10000</f>
        <v>120000</v>
      </c>
      <c r="S9" t="s">
        <v>130</v>
      </c>
      <c r="T9" t="s">
        <v>131</v>
      </c>
      <c r="U9" t="s">
        <v>132</v>
      </c>
      <c r="X9" t="s">
        <v>134</v>
      </c>
      <c r="Y9" t="s">
        <v>136</v>
      </c>
    </row>
    <row r="10" spans="7:25" x14ac:dyDescent="0.25">
      <c r="Q10" t="s">
        <v>129</v>
      </c>
      <c r="R10">
        <v>120000</v>
      </c>
      <c r="S10" t="s">
        <v>139</v>
      </c>
      <c r="T10" t="s">
        <v>143</v>
      </c>
      <c r="X10" t="s">
        <v>135</v>
      </c>
      <c r="Y10" t="s">
        <v>137</v>
      </c>
    </row>
    <row r="11" spans="7:25" x14ac:dyDescent="0.25">
      <c r="Q11" s="12">
        <v>43419</v>
      </c>
      <c r="R11">
        <f t="shared" si="0"/>
        <v>130000</v>
      </c>
      <c r="T11" t="s">
        <v>140</v>
      </c>
    </row>
    <row r="12" spans="7:25" x14ac:dyDescent="0.25">
      <c r="Q12" s="12">
        <v>43449</v>
      </c>
      <c r="R12">
        <f t="shared" si="0"/>
        <v>140000</v>
      </c>
      <c r="T12" t="s">
        <v>140</v>
      </c>
    </row>
    <row r="13" spans="7:25" x14ac:dyDescent="0.25">
      <c r="Q13" s="12">
        <v>43480</v>
      </c>
      <c r="R13">
        <f t="shared" si="0"/>
        <v>150000</v>
      </c>
      <c r="T13" t="s">
        <v>141</v>
      </c>
    </row>
    <row r="14" spans="7:25" x14ac:dyDescent="0.25">
      <c r="Q14" s="12">
        <v>43511</v>
      </c>
      <c r="R14">
        <f t="shared" si="0"/>
        <v>160000</v>
      </c>
    </row>
    <row r="15" spans="7:25" x14ac:dyDescent="0.25">
      <c r="Q15" s="12">
        <v>43539</v>
      </c>
      <c r="R15">
        <f t="shared" si="0"/>
        <v>170000</v>
      </c>
      <c r="T15">
        <v>2</v>
      </c>
    </row>
    <row r="16" spans="7:25" x14ac:dyDescent="0.25">
      <c r="Q16" s="12">
        <v>43570</v>
      </c>
      <c r="R16">
        <f t="shared" si="0"/>
        <v>180000</v>
      </c>
    </row>
    <row r="17" spans="9:24" x14ac:dyDescent="0.25">
      <c r="Q17" s="12">
        <v>43600</v>
      </c>
      <c r="R17">
        <f t="shared" si="0"/>
        <v>190000</v>
      </c>
    </row>
    <row r="18" spans="9:24" x14ac:dyDescent="0.25">
      <c r="Q18" s="12">
        <v>43631</v>
      </c>
      <c r="R18">
        <f t="shared" si="0"/>
        <v>200000</v>
      </c>
    </row>
    <row r="19" spans="9:24" x14ac:dyDescent="0.25">
      <c r="Q19" s="12">
        <v>43661</v>
      </c>
      <c r="R19">
        <f t="shared" si="0"/>
        <v>210000</v>
      </c>
    </row>
    <row r="20" spans="9:24" x14ac:dyDescent="0.25">
      <c r="Q20" s="12">
        <v>43692</v>
      </c>
      <c r="R20">
        <f t="shared" si="0"/>
        <v>220000</v>
      </c>
    </row>
    <row r="30" spans="9:24" x14ac:dyDescent="0.25">
      <c r="I30" t="s">
        <v>144</v>
      </c>
      <c r="J30">
        <v>4.25</v>
      </c>
      <c r="W30" t="s">
        <v>169</v>
      </c>
      <c r="X30">
        <v>30000</v>
      </c>
    </row>
    <row r="31" spans="9:24" x14ac:dyDescent="0.25">
      <c r="I31" t="s">
        <v>148</v>
      </c>
      <c r="J31">
        <v>6000</v>
      </c>
    </row>
    <row r="32" spans="9:24" x14ac:dyDescent="0.25">
      <c r="I32" t="s">
        <v>149</v>
      </c>
      <c r="J32">
        <v>6300</v>
      </c>
      <c r="Q32" s="12"/>
    </row>
    <row r="33" spans="9:24" x14ac:dyDescent="0.25">
      <c r="I33" t="s">
        <v>150</v>
      </c>
      <c r="J33">
        <v>22100</v>
      </c>
      <c r="Q33" s="12"/>
      <c r="R33" t="s">
        <v>145</v>
      </c>
      <c r="S33" t="s">
        <v>146</v>
      </c>
      <c r="T33" t="s">
        <v>147</v>
      </c>
      <c r="U33" t="s">
        <v>153</v>
      </c>
      <c r="W33" t="s">
        <v>170</v>
      </c>
      <c r="X33" t="s">
        <v>171</v>
      </c>
    </row>
    <row r="34" spans="9:24" x14ac:dyDescent="0.25">
      <c r="I34" t="s">
        <v>151</v>
      </c>
      <c r="J34">
        <v>3686.1</v>
      </c>
      <c r="Q34" s="12">
        <v>43358</v>
      </c>
      <c r="S34">
        <v>6735.56</v>
      </c>
      <c r="T34" s="14">
        <v>135781.95000000001</v>
      </c>
      <c r="U34" s="14"/>
    </row>
    <row r="35" spans="9:24" x14ac:dyDescent="0.25">
      <c r="I35" t="s">
        <v>152</v>
      </c>
      <c r="J35">
        <f>J31+J32+J33+J34</f>
        <v>38086.1</v>
      </c>
      <c r="Q35" t="s">
        <v>129</v>
      </c>
      <c r="R35">
        <v>20</v>
      </c>
      <c r="S35">
        <f>R35*246</f>
        <v>4920</v>
      </c>
      <c r="T35" s="14">
        <f>T34+(S35*J30)-(J31/3)-(J32/3)-(J34/3)-J33</f>
        <v>129263.25</v>
      </c>
      <c r="U35" s="14"/>
      <c r="V35" s="14"/>
      <c r="W35" s="14">
        <f>T35+-140000+Odsetki!M4+Misc!X30</f>
        <v>30481.77</v>
      </c>
      <c r="X35" s="14">
        <f>T35+-140000+Odsetki!L4+Misc!X30</f>
        <v>24872.510000000002</v>
      </c>
    </row>
    <row r="36" spans="9:24" x14ac:dyDescent="0.25">
      <c r="Q36" s="12">
        <v>43419</v>
      </c>
      <c r="R36">
        <v>23</v>
      </c>
      <c r="S36">
        <f t="shared" ref="S36:S44" si="1">R36*246</f>
        <v>5658</v>
      </c>
      <c r="T36" s="14"/>
      <c r="U36" s="14"/>
      <c r="W36" s="14">
        <f>W35+U38</f>
        <v>55125.67</v>
      </c>
      <c r="X36" s="14">
        <f>X35+U38</f>
        <v>49516.409999999996</v>
      </c>
    </row>
    <row r="37" spans="9:24" x14ac:dyDescent="0.25">
      <c r="Q37" s="12">
        <v>43449</v>
      </c>
      <c r="R37">
        <v>22</v>
      </c>
      <c r="S37">
        <f t="shared" si="1"/>
        <v>5412</v>
      </c>
      <c r="T37" s="14"/>
      <c r="U37" s="14"/>
    </row>
    <row r="38" spans="9:24" x14ac:dyDescent="0.25">
      <c r="Q38" s="12">
        <v>43480</v>
      </c>
      <c r="R38">
        <v>15</v>
      </c>
      <c r="S38">
        <f t="shared" si="1"/>
        <v>3690</v>
      </c>
      <c r="T38" s="14">
        <f>((S38+S37+S36)*$J$30)-$J$35+T35</f>
        <v>153907.15</v>
      </c>
      <c r="U38" s="14">
        <f>T38-T35</f>
        <v>24643.899999999994</v>
      </c>
    </row>
    <row r="39" spans="9:24" x14ac:dyDescent="0.25">
      <c r="Q39" s="12">
        <v>43511</v>
      </c>
      <c r="R39">
        <v>23</v>
      </c>
      <c r="S39">
        <f t="shared" si="1"/>
        <v>5658</v>
      </c>
      <c r="T39" s="14"/>
      <c r="U39" s="14"/>
    </row>
    <row r="40" spans="9:24" x14ac:dyDescent="0.25">
      <c r="Q40" s="12">
        <v>43539</v>
      </c>
      <c r="R40">
        <v>20</v>
      </c>
      <c r="S40">
        <f t="shared" si="1"/>
        <v>4920</v>
      </c>
      <c r="T40" s="14"/>
      <c r="U40" s="14"/>
    </row>
    <row r="41" spans="9:24" x14ac:dyDescent="0.25">
      <c r="Q41" s="12">
        <v>43570</v>
      </c>
      <c r="R41">
        <v>21</v>
      </c>
      <c r="S41">
        <f t="shared" si="1"/>
        <v>5166</v>
      </c>
      <c r="T41" s="14">
        <f>((S41+S40+S39)*$J$30)-$J$35+T38</f>
        <v>182733.05</v>
      </c>
      <c r="U41" s="14">
        <f>T41-T38</f>
        <v>28825.899999999994</v>
      </c>
    </row>
    <row r="42" spans="9:24" x14ac:dyDescent="0.25">
      <c r="Q42" s="12">
        <v>43600</v>
      </c>
      <c r="R42">
        <v>22</v>
      </c>
      <c r="S42">
        <f t="shared" si="1"/>
        <v>5412</v>
      </c>
      <c r="T42" s="14"/>
      <c r="U42" s="14"/>
    </row>
    <row r="43" spans="9:24" x14ac:dyDescent="0.25">
      <c r="Q43" s="12">
        <v>43631</v>
      </c>
      <c r="R43">
        <v>23</v>
      </c>
      <c r="S43">
        <f t="shared" si="1"/>
        <v>5658</v>
      </c>
      <c r="T43" s="14"/>
      <c r="U43" s="14"/>
    </row>
    <row r="44" spans="9:24" x14ac:dyDescent="0.25">
      <c r="Q44" s="12">
        <v>43661</v>
      </c>
      <c r="R44">
        <v>20</v>
      </c>
      <c r="S44">
        <f t="shared" si="1"/>
        <v>4920</v>
      </c>
      <c r="T44" s="14">
        <f>((S44+S43+S42)*$J$30)-$J$35+T41</f>
        <v>212604.44999999998</v>
      </c>
      <c r="U44" s="14">
        <f>T44-T41</f>
        <v>29871.399999999994</v>
      </c>
    </row>
    <row r="45" spans="9:24" x14ac:dyDescent="0.25">
      <c r="Q45" s="12"/>
    </row>
    <row r="46" spans="9:24" x14ac:dyDescent="0.25">
      <c r="Q46" s="12"/>
    </row>
    <row r="47" spans="9:24" x14ac:dyDescent="0.25">
      <c r="Q47" s="12"/>
    </row>
    <row r="48" spans="9:24" x14ac:dyDescent="0.25">
      <c r="Q48" s="12"/>
    </row>
    <row r="49" spans="17:17" x14ac:dyDescent="0.25">
      <c r="Q49" s="12"/>
    </row>
    <row r="50" spans="17:17" x14ac:dyDescent="0.25">
      <c r="Q5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ItemList</vt:lpstr>
      <vt:lpstr>Remont</vt:lpstr>
      <vt:lpstr>Sheet2</vt:lpstr>
      <vt:lpstr>Odsetki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Gałecki</dc:creator>
  <cp:lastModifiedBy>Maciej Gałecki</cp:lastModifiedBy>
  <dcterms:created xsi:type="dcterms:W3CDTF">2018-03-11T11:25:09Z</dcterms:created>
  <dcterms:modified xsi:type="dcterms:W3CDTF">2018-10-14T16:38:48Z</dcterms:modified>
</cp:coreProperties>
</file>