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05" windowWidth="20100" windowHeight="8490" activeTab="3"/>
  </bookViews>
  <sheets>
    <sheet name="Data" sheetId="1" r:id="rId1"/>
    <sheet name="Shannon Entropy" sheetId="2" r:id="rId2"/>
    <sheet name="Gini" sheetId="6" r:id="rId3"/>
    <sheet name="Algorithm" sheetId="7" r:id="rId4"/>
    <sheet name="Split 1" sheetId="3" r:id="rId5"/>
    <sheet name="Split 2" sheetId="4" r:id="rId6"/>
    <sheet name="Graphics" sheetId="5" r:id="rId7"/>
  </sheets>
  <calcPr calcId="145621"/>
</workbook>
</file>

<file path=xl/calcChain.xml><?xml version="1.0" encoding="utf-8"?>
<calcChain xmlns="http://schemas.openxmlformats.org/spreadsheetml/2006/main">
  <c r="E6" i="6" l="1"/>
  <c r="E5" i="6"/>
  <c r="E4" i="6"/>
  <c r="E5" i="2"/>
  <c r="E4" i="2"/>
  <c r="E3" i="2"/>
  <c r="E8" i="6" l="1"/>
  <c r="E10" i="6" s="1"/>
  <c r="E7" i="6"/>
  <c r="E6" i="2"/>
  <c r="E8" i="2" s="1"/>
  <c r="E7" i="2"/>
  <c r="E9" i="2" s="1"/>
  <c r="E9" i="6" l="1"/>
  <c r="E11" i="6" s="1"/>
  <c r="E10" i="2"/>
  <c r="AA14" i="1"/>
  <c r="AB14" i="1" s="1"/>
  <c r="AC14" i="1" s="1"/>
  <c r="AD14" i="1" s="1"/>
  <c r="AA13" i="1"/>
  <c r="AB13" i="1" s="1"/>
  <c r="AC13" i="1" s="1"/>
  <c r="AD13" i="1" s="1"/>
  <c r="E13" i="1" s="1"/>
  <c r="AA11" i="1"/>
  <c r="AA10" i="1"/>
  <c r="AA9" i="1"/>
  <c r="AA8" i="1"/>
  <c r="AA7" i="1"/>
  <c r="AA6" i="1"/>
  <c r="AA5" i="1"/>
  <c r="AA4" i="1"/>
  <c r="AA3" i="1"/>
  <c r="AA2" i="1"/>
  <c r="AG24" i="7" l="1"/>
  <c r="AF24" i="7"/>
  <c r="AG23" i="7"/>
  <c r="AF23" i="7"/>
  <c r="AG22" i="7"/>
  <c r="AF22" i="7"/>
  <c r="AG16" i="7"/>
  <c r="AF16" i="7"/>
  <c r="AG15" i="7"/>
  <c r="AF15" i="7"/>
  <c r="V24" i="7"/>
  <c r="V23" i="7"/>
  <c r="V22" i="7"/>
  <c r="U24" i="7"/>
  <c r="U23" i="7"/>
  <c r="U22" i="7"/>
  <c r="K24" i="7"/>
  <c r="K23" i="7"/>
  <c r="K22" i="7"/>
  <c r="J24" i="7"/>
  <c r="J23" i="7"/>
  <c r="M23" i="7" s="1"/>
  <c r="J22" i="7"/>
  <c r="K16" i="7"/>
  <c r="J16" i="7"/>
  <c r="K15" i="7"/>
  <c r="J15" i="7"/>
  <c r="F26" i="5"/>
  <c r="C30" i="5"/>
  <c r="E30" i="5" s="1"/>
  <c r="G30" i="5" s="1"/>
  <c r="D29" i="5"/>
  <c r="F29" i="5" s="1"/>
  <c r="D28" i="5"/>
  <c r="F28" i="5" s="1"/>
  <c r="D27" i="5"/>
  <c r="F27" i="5" s="1"/>
  <c r="D26" i="5"/>
  <c r="C25" i="5"/>
  <c r="E25" i="5" s="1"/>
  <c r="G25" i="5" s="1"/>
  <c r="C24" i="5"/>
  <c r="E24" i="5" s="1"/>
  <c r="G24" i="5" s="1"/>
  <c r="C23" i="5"/>
  <c r="E23" i="5" s="1"/>
  <c r="G23" i="5" s="1"/>
  <c r="C22" i="5"/>
  <c r="E22" i="5" s="1"/>
  <c r="G22" i="5" s="1"/>
  <c r="D21" i="5"/>
  <c r="F21" i="5" s="1"/>
  <c r="D20" i="5"/>
  <c r="F20" i="5" s="1"/>
  <c r="D4" i="5"/>
  <c r="D16" i="5" s="1"/>
  <c r="AL16" i="7" l="1"/>
  <c r="H28" i="5"/>
  <c r="AL15" i="7"/>
  <c r="H21" i="5"/>
  <c r="H26" i="5"/>
  <c r="AK15" i="7"/>
  <c r="AM15" i="7" s="1"/>
  <c r="C20" i="5"/>
  <c r="E20" i="5" s="1"/>
  <c r="G20" i="5" s="1"/>
  <c r="H20" i="5" s="1"/>
  <c r="D23" i="5"/>
  <c r="F23" i="5" s="1"/>
  <c r="H23" i="5" s="1"/>
  <c r="C27" i="5"/>
  <c r="E27" i="5" s="1"/>
  <c r="G27" i="5" s="1"/>
  <c r="H27" i="5" s="1"/>
  <c r="D30" i="5"/>
  <c r="F30" i="5" s="1"/>
  <c r="H30" i="5" s="1"/>
  <c r="M24" i="7"/>
  <c r="O24" i="7" s="1"/>
  <c r="Q24" i="7" s="1"/>
  <c r="C21" i="5"/>
  <c r="E21" i="5" s="1"/>
  <c r="G21" i="5" s="1"/>
  <c r="D24" i="5"/>
  <c r="F24" i="5" s="1"/>
  <c r="H24" i="5" s="1"/>
  <c r="C28" i="5"/>
  <c r="E28" i="5" s="1"/>
  <c r="G28" i="5" s="1"/>
  <c r="D25" i="5"/>
  <c r="F25" i="5" s="1"/>
  <c r="H25" i="5" s="1"/>
  <c r="C29" i="5"/>
  <c r="E29" i="5" s="1"/>
  <c r="G29" i="5" s="1"/>
  <c r="H29" i="5" s="1"/>
  <c r="M16" i="7"/>
  <c r="P16" i="7" s="1"/>
  <c r="X22" i="7"/>
  <c r="D22" i="5"/>
  <c r="F22" i="5" s="1"/>
  <c r="H22" i="5" s="1"/>
  <c r="C26" i="5"/>
  <c r="E26" i="5" s="1"/>
  <c r="G26" i="5" s="1"/>
  <c r="AI24" i="7"/>
  <c r="AL24" i="7" s="1"/>
  <c r="AI23" i="7"/>
  <c r="AK23" i="7" s="1"/>
  <c r="AI22" i="7"/>
  <c r="AL22" i="7" s="1"/>
  <c r="AI16" i="7"/>
  <c r="AK16" i="7" s="1"/>
  <c r="AM16" i="7" s="1"/>
  <c r="AI15" i="7"/>
  <c r="X24" i="7"/>
  <c r="AA24" i="7" s="1"/>
  <c r="P23" i="7"/>
  <c r="P24" i="7"/>
  <c r="AA22" i="7"/>
  <c r="O23" i="7"/>
  <c r="Q23" i="7" s="1"/>
  <c r="M22" i="7"/>
  <c r="P22" i="7" s="1"/>
  <c r="X23" i="7"/>
  <c r="AA23" i="7" s="1"/>
  <c r="Z22" i="7"/>
  <c r="M15" i="7"/>
  <c r="O15" i="7" s="1"/>
  <c r="C7" i="5"/>
  <c r="E7" i="5" s="1"/>
  <c r="G7" i="5" s="1"/>
  <c r="F16" i="5"/>
  <c r="C11" i="5"/>
  <c r="E11" i="5" s="1"/>
  <c r="G11" i="5" s="1"/>
  <c r="C15" i="5"/>
  <c r="E15" i="5" s="1"/>
  <c r="G15" i="5" s="1"/>
  <c r="D6" i="5"/>
  <c r="D10" i="5"/>
  <c r="D14" i="5"/>
  <c r="C9" i="5"/>
  <c r="E9" i="5" s="1"/>
  <c r="G9" i="5" s="1"/>
  <c r="C13" i="5"/>
  <c r="E13" i="5" s="1"/>
  <c r="G13" i="5" s="1"/>
  <c r="C6" i="5"/>
  <c r="E6" i="5" s="1"/>
  <c r="G6" i="5" s="1"/>
  <c r="C10" i="5"/>
  <c r="E10" i="5" s="1"/>
  <c r="G10" i="5" s="1"/>
  <c r="C14" i="5"/>
  <c r="E14" i="5" s="1"/>
  <c r="G14" i="5" s="1"/>
  <c r="D9" i="5"/>
  <c r="D13" i="5"/>
  <c r="D7" i="5"/>
  <c r="D11" i="5"/>
  <c r="D15" i="5"/>
  <c r="C8" i="5"/>
  <c r="E8" i="5" s="1"/>
  <c r="G8" i="5" s="1"/>
  <c r="C12" i="5"/>
  <c r="E12" i="5" s="1"/>
  <c r="G12" i="5" s="1"/>
  <c r="C16" i="5"/>
  <c r="E16" i="5" s="1"/>
  <c r="G16" i="5" s="1"/>
  <c r="D8" i="5"/>
  <c r="D12" i="5"/>
  <c r="G15" i="4"/>
  <c r="F15" i="4"/>
  <c r="G13" i="4"/>
  <c r="J13" i="4" s="1"/>
  <c r="F13" i="4"/>
  <c r="G11" i="4"/>
  <c r="F11" i="4"/>
  <c r="G6" i="4"/>
  <c r="F6" i="4"/>
  <c r="G4" i="4"/>
  <c r="J4" i="4" s="1"/>
  <c r="F4" i="4"/>
  <c r="G24" i="3"/>
  <c r="F24" i="3"/>
  <c r="G22" i="3"/>
  <c r="F22" i="3"/>
  <c r="G20" i="3"/>
  <c r="F20" i="3"/>
  <c r="G15" i="3"/>
  <c r="F15" i="3"/>
  <c r="G13" i="3"/>
  <c r="F13" i="3"/>
  <c r="G11" i="3"/>
  <c r="F11" i="3"/>
  <c r="G6" i="3"/>
  <c r="F6" i="3"/>
  <c r="G4" i="3"/>
  <c r="J4" i="3" s="1"/>
  <c r="F4" i="3"/>
  <c r="H4" i="3" s="1"/>
  <c r="AK24" i="7" l="1"/>
  <c r="AM24" i="7" s="1"/>
  <c r="O16" i="7"/>
  <c r="AL23" i="7"/>
  <c r="AM23" i="7" s="1"/>
  <c r="AK22" i="7"/>
  <c r="AM22" i="7" s="1"/>
  <c r="H15" i="4"/>
  <c r="I15" i="4" s="1"/>
  <c r="AI26" i="7"/>
  <c r="AI18" i="7"/>
  <c r="AM18" i="7" s="1"/>
  <c r="Q16" i="7"/>
  <c r="AB22" i="7"/>
  <c r="X26" i="7"/>
  <c r="Z24" i="7"/>
  <c r="AB24" i="7" s="1"/>
  <c r="Z23" i="7"/>
  <c r="AB23" i="7" s="1"/>
  <c r="M26" i="7"/>
  <c r="P15" i="7"/>
  <c r="Q15" i="7" s="1"/>
  <c r="O22" i="7"/>
  <c r="Q22" i="7" s="1"/>
  <c r="M18" i="7"/>
  <c r="F15" i="5"/>
  <c r="H15" i="5" s="1"/>
  <c r="F11" i="5"/>
  <c r="H11" i="5" s="1"/>
  <c r="H16" i="5"/>
  <c r="F7" i="5"/>
  <c r="H7" i="5" s="1"/>
  <c r="F14" i="5"/>
  <c r="H14" i="5" s="1"/>
  <c r="F12" i="5"/>
  <c r="H12" i="5" s="1"/>
  <c r="F13" i="5"/>
  <c r="H13" i="5" s="1"/>
  <c r="F10" i="5"/>
  <c r="H10" i="5" s="1"/>
  <c r="F8" i="5"/>
  <c r="H8" i="5" s="1"/>
  <c r="F9" i="5"/>
  <c r="H9" i="5" s="1"/>
  <c r="F6" i="5"/>
  <c r="H6" i="5" s="1"/>
  <c r="H6" i="4"/>
  <c r="I6" i="4" s="1"/>
  <c r="I4" i="4"/>
  <c r="K4" i="4" s="1"/>
  <c r="I11" i="4"/>
  <c r="J15" i="4"/>
  <c r="K15" i="4" s="1"/>
  <c r="H4" i="4"/>
  <c r="H13" i="4"/>
  <c r="I13" i="4" s="1"/>
  <c r="K13" i="4" s="1"/>
  <c r="H11" i="4"/>
  <c r="J11" i="4" s="1"/>
  <c r="H22" i="3"/>
  <c r="J22" i="3" s="1"/>
  <c r="H20" i="3"/>
  <c r="I20" i="3" s="1"/>
  <c r="H24" i="3"/>
  <c r="J24" i="3" s="1"/>
  <c r="H11" i="3"/>
  <c r="J11" i="3" s="1"/>
  <c r="H15" i="3"/>
  <c r="I15" i="3" s="1"/>
  <c r="H13" i="3"/>
  <c r="I13" i="3" s="1"/>
  <c r="H6" i="3"/>
  <c r="I6" i="3" s="1"/>
  <c r="I4" i="3"/>
  <c r="K4" i="3" s="1"/>
  <c r="AM26" i="7" l="1"/>
  <c r="Q26" i="7"/>
  <c r="AB26" i="7"/>
  <c r="J6" i="4"/>
  <c r="K6" i="4" s="1"/>
  <c r="B2" i="4" s="1"/>
  <c r="J6" i="3"/>
  <c r="K6" i="3" s="1"/>
  <c r="B2" i="3" s="1"/>
  <c r="I11" i="3"/>
  <c r="K11" i="3" s="1"/>
  <c r="Q18" i="7"/>
  <c r="K11" i="4"/>
  <c r="B9" i="4" s="1"/>
  <c r="I24" i="3"/>
  <c r="K24" i="3" s="1"/>
  <c r="I22" i="3"/>
  <c r="K22" i="3" s="1"/>
  <c r="J20" i="3"/>
  <c r="K20" i="3" s="1"/>
  <c r="J15" i="3"/>
  <c r="K15" i="3" s="1"/>
  <c r="J13" i="3"/>
  <c r="K13" i="3" s="1"/>
  <c r="B9" i="3" l="1"/>
  <c r="B18" i="3"/>
</calcChain>
</file>

<file path=xl/sharedStrings.xml><?xml version="1.0" encoding="utf-8"?>
<sst xmlns="http://schemas.openxmlformats.org/spreadsheetml/2006/main" count="374" uniqueCount="54">
  <si>
    <t>ID</t>
  </si>
  <si>
    <t>Homeowner</t>
  </si>
  <si>
    <t>Defaulted</t>
  </si>
  <si>
    <t>Yes</t>
  </si>
  <si>
    <t>Single</t>
  </si>
  <si>
    <t>High</t>
  </si>
  <si>
    <t>No</t>
  </si>
  <si>
    <t>Married</t>
  </si>
  <si>
    <t>Average</t>
  </si>
  <si>
    <t>Low</t>
  </si>
  <si>
    <t>Divorced</t>
  </si>
  <si>
    <t>Annual income</t>
  </si>
  <si>
    <t>Marital Status</t>
  </si>
  <si>
    <t>Split</t>
  </si>
  <si>
    <t>Home Owner</t>
  </si>
  <si>
    <t>Impurity</t>
  </si>
  <si>
    <t>Default</t>
  </si>
  <si>
    <t>Income</t>
  </si>
  <si>
    <t>Count(No)</t>
  </si>
  <si>
    <t>Count(Yes)</t>
  </si>
  <si>
    <t>Total Count</t>
  </si>
  <si>
    <t>Entrop(No)</t>
  </si>
  <si>
    <t>Entropy(Yes)</t>
  </si>
  <si>
    <t>Entropy</t>
  </si>
  <si>
    <t>Income = Average, then Home Owner</t>
  </si>
  <si>
    <t>Income = average, then Marital Status</t>
  </si>
  <si>
    <t>Count '1's</t>
  </si>
  <si>
    <t>p('1')</t>
  </si>
  <si>
    <t>p('0')</t>
  </si>
  <si>
    <t>Number of Digits</t>
  </si>
  <si>
    <t>Count '0's</t>
  </si>
  <si>
    <t>Data</t>
  </si>
  <si>
    <t>-log2(p('1'))</t>
  </si>
  <si>
    <t>-log2(p('0'))</t>
  </si>
  <si>
    <t>Count 0's</t>
  </si>
  <si>
    <t>Num ber of digits</t>
  </si>
  <si>
    <t>Gini Impurity</t>
  </si>
  <si>
    <t>p('1') * 1-p('1')</t>
  </si>
  <si>
    <t>p('0') * 1-p('0')</t>
  </si>
  <si>
    <t>p('1') *( 1-p('1') )</t>
  </si>
  <si>
    <t>p('0') * ( 1-p('0') )</t>
  </si>
  <si>
    <t>Total</t>
  </si>
  <si>
    <t>Num Cases</t>
  </si>
  <si>
    <t>Entropy weighted average =</t>
  </si>
  <si>
    <t>Round 1</t>
  </si>
  <si>
    <t>Round 2 : Assume that 'Annual Income = Average'</t>
  </si>
  <si>
    <t>Count 1</t>
  </si>
  <si>
    <t>Count 0</t>
  </si>
  <si>
    <t>p(x)</t>
  </si>
  <si>
    <t>log(p(x))</t>
  </si>
  <si>
    <t>Number of 1's</t>
  </si>
  <si>
    <t>Entropy Calculation</t>
  </si>
  <si>
    <t>Gini Calculation</t>
  </si>
  <si>
    <t>This sheet was used to generate the graphics in the lecture slides'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</si>
</sst>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0" fillId="4" borderId="16" xfId="0" applyFill="1" applyBorder="1"/>
    <xf numFmtId="0" fontId="0" fillId="4" borderId="19" xfId="0" applyFill="1" applyBorder="1"/>
    <xf numFmtId="0" fontId="0" fillId="5" borderId="21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165" fontId="0" fillId="0" borderId="25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164" fontId="0" fillId="4" borderId="19" xfId="0" applyNumberForma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right" vertical="center"/>
    </xf>
    <xf numFmtId="0" fontId="2" fillId="4" borderId="18" xfId="0" applyFont="1" applyFill="1" applyBorder="1" applyAlignment="1">
      <alignment horizontal="right" vertical="center"/>
    </xf>
    <xf numFmtId="0" fontId="0" fillId="4" borderId="16" xfId="0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6" borderId="22" xfId="0" applyFont="1" applyFill="1" applyBorder="1" applyAlignment="1">
      <alignment vertical="center"/>
    </xf>
    <xf numFmtId="0" fontId="2" fillId="6" borderId="24" xfId="0" applyFont="1" applyFill="1" applyBorder="1" applyAlignment="1">
      <alignment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165" fontId="0" fillId="6" borderId="18" xfId="0" applyNumberFormat="1" applyFill="1" applyBorder="1" applyAlignment="1">
      <alignment horizontal="center" vertical="center"/>
    </xf>
    <xf numFmtId="165" fontId="0" fillId="6" borderId="20" xfId="0" applyNumberFormat="1" applyFill="1" applyBorder="1" applyAlignment="1">
      <alignment horizontal="center" vertical="center"/>
    </xf>
    <xf numFmtId="165" fontId="0" fillId="6" borderId="25" xfId="0" applyNumberForma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right" vertical="center"/>
    </xf>
    <xf numFmtId="164" fontId="0" fillId="4" borderId="0" xfId="0" applyNumberFormat="1" applyFill="1" applyBorder="1" applyAlignment="1">
      <alignment horizontal="center" vertical="center"/>
    </xf>
    <xf numFmtId="0" fontId="0" fillId="4" borderId="0" xfId="0" applyFill="1" applyBorder="1"/>
    <xf numFmtId="165" fontId="0" fillId="0" borderId="21" xfId="0" applyNumberFormat="1" applyBorder="1" applyAlignment="1">
      <alignment horizontal="center" vertical="center"/>
    </xf>
    <xf numFmtId="165" fontId="0" fillId="0" borderId="22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0" fontId="0" fillId="4" borderId="16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0" fillId="0" borderId="30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34" xfId="0" applyBorder="1" applyAlignment="1">
      <alignment horizontal="center"/>
    </xf>
    <xf numFmtId="165" fontId="0" fillId="0" borderId="35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165" fontId="0" fillId="0" borderId="33" xfId="0" applyNumberFormat="1" applyBorder="1" applyAlignment="1">
      <alignment horizontal="center" vertical="center"/>
    </xf>
    <xf numFmtId="165" fontId="0" fillId="0" borderId="37" xfId="0" applyNumberFormat="1" applyBorder="1" applyAlignment="1">
      <alignment horizontal="center" vertical="center"/>
    </xf>
    <xf numFmtId="0" fontId="2" fillId="0" borderId="38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39" xfId="0" quotePrefix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7" borderId="31" xfId="0" applyFont="1" applyFill="1" applyBorder="1" applyAlignment="1">
      <alignment horizontal="center" vertical="center"/>
    </xf>
    <xf numFmtId="0" fontId="5" fillId="7" borderId="32" xfId="0" applyFont="1" applyFill="1" applyBorder="1" applyAlignment="1">
      <alignment horizontal="center" vertical="center"/>
    </xf>
    <xf numFmtId="164" fontId="7" fillId="4" borderId="0" xfId="0" applyNumberFormat="1" applyFont="1" applyFill="1" applyBorder="1" applyAlignment="1">
      <alignment horizontal="center" vertical="center"/>
    </xf>
    <xf numFmtId="0" fontId="0" fillId="4" borderId="17" xfId="0" applyFill="1" applyBorder="1"/>
    <xf numFmtId="0" fontId="0" fillId="4" borderId="20" xfId="0" applyFill="1" applyBorder="1"/>
    <xf numFmtId="0" fontId="0" fillId="4" borderId="22" xfId="0" applyFill="1" applyBorder="1"/>
    <xf numFmtId="0" fontId="0" fillId="0" borderId="41" xfId="0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3" fillId="0" borderId="27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165" fontId="0" fillId="0" borderId="34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36" xfId="0" applyNumberFormat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0" fontId="3" fillId="3" borderId="45" xfId="0" applyFont="1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29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3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 applyAlignment="1">
      <alignment horizontal="center"/>
    </xf>
    <xf numFmtId="0" fontId="0" fillId="0" borderId="27" xfId="0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2" fontId="12" fillId="0" borderId="35" xfId="0" applyNumberFormat="1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3" fillId="0" borderId="34" xfId="0" quotePrefix="1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34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textRotation="90"/>
    </xf>
    <xf numFmtId="0" fontId="4" fillId="2" borderId="11" xfId="0" applyFont="1" applyFill="1" applyBorder="1" applyAlignment="1">
      <alignment horizontal="center" vertical="center" textRotation="90"/>
    </xf>
    <xf numFmtId="0" fontId="4" fillId="2" borderId="12" xfId="0" applyFont="1" applyFill="1" applyBorder="1" applyAlignment="1">
      <alignment horizontal="center" vertical="center" textRotation="90"/>
    </xf>
    <xf numFmtId="0" fontId="12" fillId="0" borderId="38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5" fillId="0" borderId="51" xfId="0" applyFont="1" applyBorder="1" applyAlignment="1">
      <alignment horizontal="center" vertical="center"/>
    </xf>
    <xf numFmtId="0" fontId="15" fillId="0" borderId="52" xfId="0" applyFont="1" applyBorder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4" fillId="2" borderId="47" xfId="0" applyFont="1" applyFill="1" applyBorder="1" applyAlignment="1">
      <alignment horizontal="center" vertical="center"/>
    </xf>
    <xf numFmtId="0" fontId="4" fillId="2" borderId="49" xfId="0" applyFont="1" applyFill="1" applyBorder="1" applyAlignment="1">
      <alignment horizontal="center" vertical="center"/>
    </xf>
    <xf numFmtId="0" fontId="4" fillId="2" borderId="48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8" fillId="8" borderId="21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0" fontId="16" fillId="0" borderId="0" xfId="0" applyFont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'Shannon Entropy'!$H$2</c:f>
              <c:strCache>
                <c:ptCount val="1"/>
                <c:pt idx="0">
                  <c:v>Entropy</c:v>
                </c:pt>
              </c:strCache>
            </c:strRef>
          </c:tx>
          <c:invertIfNegative val="0"/>
          <c:cat>
            <c:numRef>
              <c:f>'Shannon Entropy'!$G$3:$G$13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'Shannon Entropy'!$H$3:$H$13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174016"/>
        <c:axId val="133175936"/>
      </c:barChart>
      <c:catAx>
        <c:axId val="13317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Number of '1's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175936"/>
        <c:crosses val="autoZero"/>
        <c:auto val="1"/>
        <c:lblAlgn val="ctr"/>
        <c:lblOffset val="100"/>
        <c:noMultiLvlLbl val="0"/>
      </c:catAx>
      <c:valAx>
        <c:axId val="13317593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Entropy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174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Gini!$H$3</c:f>
              <c:strCache>
                <c:ptCount val="1"/>
                <c:pt idx="0">
                  <c:v>Gini Impurity</c:v>
                </c:pt>
              </c:strCache>
            </c:strRef>
          </c:tx>
          <c:invertIfNegative val="0"/>
          <c:val>
            <c:numRef>
              <c:f>Gini!$H$4:$H$14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524864"/>
        <c:axId val="43526784"/>
      </c:barChart>
      <c:catAx>
        <c:axId val="4352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Number of '1's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526784"/>
        <c:crosses val="autoZero"/>
        <c:auto val="1"/>
        <c:lblAlgn val="ctr"/>
        <c:lblOffset val="100"/>
        <c:noMultiLvlLbl val="0"/>
      </c:catAx>
      <c:valAx>
        <c:axId val="4352678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Gini Impurity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524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Entropy of 10 digit binary string with 'n' digit 1s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Graphics!$H$5</c:f>
              <c:strCache>
                <c:ptCount val="1"/>
                <c:pt idx="0">
                  <c:v>Entropy</c:v>
                </c:pt>
              </c:strCache>
            </c:strRef>
          </c:tx>
          <c:cat>
            <c:numRef>
              <c:f>Graphics!$B$6:$B$16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Graphics!$H$6:$H$16</c:f>
              <c:numCache>
                <c:formatCode>0.000</c:formatCode>
                <c:ptCount val="11"/>
                <c:pt idx="0">
                  <c:v>0</c:v>
                </c:pt>
                <c:pt idx="1">
                  <c:v>0.46899559358928122</c:v>
                </c:pt>
                <c:pt idx="2">
                  <c:v>0.72192809488736231</c:v>
                </c:pt>
                <c:pt idx="3">
                  <c:v>0.8812908992306927</c:v>
                </c:pt>
                <c:pt idx="4">
                  <c:v>0.97095059445466858</c:v>
                </c:pt>
                <c:pt idx="5">
                  <c:v>1</c:v>
                </c:pt>
                <c:pt idx="6">
                  <c:v>0.97095059445466858</c:v>
                </c:pt>
                <c:pt idx="7">
                  <c:v>0.8812908992306927</c:v>
                </c:pt>
                <c:pt idx="8">
                  <c:v>0.72192809488736231</c:v>
                </c:pt>
                <c:pt idx="9">
                  <c:v>0.46899559358928122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87232"/>
        <c:axId val="137089408"/>
      </c:lineChart>
      <c:catAx>
        <c:axId val="1370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'1's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089408"/>
        <c:crosses val="autoZero"/>
        <c:auto val="1"/>
        <c:lblAlgn val="ctr"/>
        <c:lblOffset val="100"/>
        <c:noMultiLvlLbl val="0"/>
      </c:catAx>
      <c:valAx>
        <c:axId val="13708940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Entropy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37087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Entropy of 10 digit binary string with 'n' digit 1s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Graphics!$H$5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numRef>
              <c:f>Graphics!$B$6:$B$16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Graphics!$H$6:$H$16</c:f>
              <c:numCache>
                <c:formatCode>0.000</c:formatCode>
                <c:ptCount val="11"/>
                <c:pt idx="0">
                  <c:v>0</c:v>
                </c:pt>
                <c:pt idx="1">
                  <c:v>0.46899559358928122</c:v>
                </c:pt>
                <c:pt idx="2">
                  <c:v>0.72192809488736231</c:v>
                </c:pt>
                <c:pt idx="3">
                  <c:v>0.8812908992306927</c:v>
                </c:pt>
                <c:pt idx="4">
                  <c:v>0.97095059445466858</c:v>
                </c:pt>
                <c:pt idx="5">
                  <c:v>1</c:v>
                </c:pt>
                <c:pt idx="6">
                  <c:v>0.97095059445466858</c:v>
                </c:pt>
                <c:pt idx="7">
                  <c:v>0.8812908992306927</c:v>
                </c:pt>
                <c:pt idx="8">
                  <c:v>0.72192809488736231</c:v>
                </c:pt>
                <c:pt idx="9">
                  <c:v>0.46899559358928122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00256"/>
        <c:axId val="136002176"/>
      </c:lineChart>
      <c:catAx>
        <c:axId val="13600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'1's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002176"/>
        <c:crosses val="autoZero"/>
        <c:auto val="1"/>
        <c:lblAlgn val="ctr"/>
        <c:lblOffset val="100"/>
        <c:noMultiLvlLbl val="0"/>
      </c:catAx>
      <c:valAx>
        <c:axId val="13600217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Entropy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36000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Purity Measures for</a:t>
            </a:r>
            <a:r>
              <a:rPr lang="en-US" sz="1200" baseline="0"/>
              <a:t> </a:t>
            </a:r>
            <a:r>
              <a:rPr lang="en-US" sz="1200"/>
              <a:t>10 digit binary string with 'n' digit 1s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Graphics!$H$5</c:f>
              <c:strCache>
                <c:ptCount val="1"/>
                <c:pt idx="0">
                  <c:v>Entropy</c:v>
                </c:pt>
              </c:strCache>
            </c:strRef>
          </c:tx>
          <c:cat>
            <c:numRef>
              <c:f>Graphics!$B$6:$B$16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Graphics!$H$6:$H$16</c:f>
              <c:numCache>
                <c:formatCode>0.000</c:formatCode>
                <c:ptCount val="11"/>
                <c:pt idx="0">
                  <c:v>0</c:v>
                </c:pt>
                <c:pt idx="1">
                  <c:v>0.46899559358928122</c:v>
                </c:pt>
                <c:pt idx="2">
                  <c:v>0.72192809488736231</c:v>
                </c:pt>
                <c:pt idx="3">
                  <c:v>0.8812908992306927</c:v>
                </c:pt>
                <c:pt idx="4">
                  <c:v>0.97095059445466858</c:v>
                </c:pt>
                <c:pt idx="5">
                  <c:v>1</c:v>
                </c:pt>
                <c:pt idx="6">
                  <c:v>0.97095059445466858</c:v>
                </c:pt>
                <c:pt idx="7">
                  <c:v>0.8812908992306927</c:v>
                </c:pt>
                <c:pt idx="8">
                  <c:v>0.72192809488736231</c:v>
                </c:pt>
                <c:pt idx="9">
                  <c:v>0.46899559358928122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Graphics!$H$19</c:f>
              <c:strCache>
                <c:ptCount val="1"/>
                <c:pt idx="0">
                  <c:v>Gini Impurity</c:v>
                </c:pt>
              </c:strCache>
            </c:strRef>
          </c:tx>
          <c:val>
            <c:numRef>
              <c:f>Graphics!$H$20:$H$30</c:f>
              <c:numCache>
                <c:formatCode>General</c:formatCode>
                <c:ptCount val="11"/>
                <c:pt idx="0">
                  <c:v>0</c:v>
                </c:pt>
                <c:pt idx="1">
                  <c:v>0.18</c:v>
                </c:pt>
                <c:pt idx="2">
                  <c:v>0.32</c:v>
                </c:pt>
                <c:pt idx="3">
                  <c:v>0.42000000000000004</c:v>
                </c:pt>
                <c:pt idx="4">
                  <c:v>0.48</c:v>
                </c:pt>
                <c:pt idx="5">
                  <c:v>0.5</c:v>
                </c:pt>
                <c:pt idx="6">
                  <c:v>0.48</c:v>
                </c:pt>
                <c:pt idx="7">
                  <c:v>0.42000000000000004</c:v>
                </c:pt>
                <c:pt idx="8">
                  <c:v>0.32</c:v>
                </c:pt>
                <c:pt idx="9">
                  <c:v>0.18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31232"/>
        <c:axId val="136037504"/>
      </c:lineChart>
      <c:catAx>
        <c:axId val="13603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'1's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037504"/>
        <c:crosses val="autoZero"/>
        <c:auto val="1"/>
        <c:lblAlgn val="ctr"/>
        <c:lblOffset val="100"/>
        <c:noMultiLvlLbl val="0"/>
      </c:catAx>
      <c:valAx>
        <c:axId val="13603750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Entropy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360312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Purity Measures for</a:t>
            </a:r>
            <a:r>
              <a:rPr lang="en-US" sz="1200" baseline="0"/>
              <a:t> </a:t>
            </a:r>
            <a:r>
              <a:rPr lang="en-US" sz="1200"/>
              <a:t>10 digit binary string with 'n' digit 1s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Graphics!$H$5</c:f>
              <c:strCache>
                <c:ptCount val="1"/>
                <c:pt idx="0">
                  <c:v>Entropy</c:v>
                </c:pt>
              </c:strCache>
            </c:strRef>
          </c:tx>
          <c:cat>
            <c:numRef>
              <c:f>Graphics!$B$6:$B$16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Graphics!$H$6:$H$16</c:f>
              <c:numCache>
                <c:formatCode>0.000</c:formatCode>
                <c:ptCount val="11"/>
                <c:pt idx="0">
                  <c:v>0</c:v>
                </c:pt>
                <c:pt idx="1">
                  <c:v>0.46899559358928122</c:v>
                </c:pt>
                <c:pt idx="2">
                  <c:v>0.72192809488736231</c:v>
                </c:pt>
                <c:pt idx="3">
                  <c:v>0.8812908992306927</c:v>
                </c:pt>
                <c:pt idx="4">
                  <c:v>0.97095059445466858</c:v>
                </c:pt>
                <c:pt idx="5">
                  <c:v>1</c:v>
                </c:pt>
                <c:pt idx="6">
                  <c:v>0.97095059445466858</c:v>
                </c:pt>
                <c:pt idx="7">
                  <c:v>0.8812908992306927</c:v>
                </c:pt>
                <c:pt idx="8">
                  <c:v>0.72192809488736231</c:v>
                </c:pt>
                <c:pt idx="9">
                  <c:v>0.46899559358928122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Graphics!$H$19</c:f>
              <c:strCache>
                <c:ptCount val="1"/>
                <c:pt idx="0">
                  <c:v>Gini Impurity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val>
            <c:numRef>
              <c:f>Graphics!$H$20:$H$30</c:f>
              <c:numCache>
                <c:formatCode>General</c:formatCode>
                <c:ptCount val="11"/>
                <c:pt idx="0">
                  <c:v>0</c:v>
                </c:pt>
                <c:pt idx="1">
                  <c:v>0.18</c:v>
                </c:pt>
                <c:pt idx="2">
                  <c:v>0.32</c:v>
                </c:pt>
                <c:pt idx="3">
                  <c:v>0.42000000000000004</c:v>
                </c:pt>
                <c:pt idx="4">
                  <c:v>0.48</c:v>
                </c:pt>
                <c:pt idx="5">
                  <c:v>0.5</c:v>
                </c:pt>
                <c:pt idx="6">
                  <c:v>0.48</c:v>
                </c:pt>
                <c:pt idx="7">
                  <c:v>0.42000000000000004</c:v>
                </c:pt>
                <c:pt idx="8">
                  <c:v>0.32</c:v>
                </c:pt>
                <c:pt idx="9">
                  <c:v>0.18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48064"/>
        <c:axId val="137458432"/>
      </c:lineChart>
      <c:catAx>
        <c:axId val="13744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'1's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458432"/>
        <c:crosses val="autoZero"/>
        <c:auto val="1"/>
        <c:lblAlgn val="ctr"/>
        <c:lblOffset val="100"/>
        <c:noMultiLvlLbl val="0"/>
      </c:catAx>
      <c:valAx>
        <c:axId val="13745843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Entropy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374480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198437</xdr:colOff>
      <xdr:row>0</xdr:row>
      <xdr:rowOff>176212</xdr:rowOff>
    </xdr:from>
    <xdr:to>
      <xdr:col>14</xdr:col>
      <xdr:colOff>136071</xdr:colOff>
      <xdr:row>12</xdr:row>
      <xdr:rowOff>293686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11</xdr:row>
      <xdr:rowOff>27215</xdr:rowOff>
    </xdr:from>
    <xdr:to>
      <xdr:col>4</xdr:col>
      <xdr:colOff>809624</xdr:colOff>
      <xdr:row>15</xdr:row>
      <xdr:rowOff>163285</xdr:rowOff>
    </xdr:to>
    <xdr:sp macro="" textlink="">
      <xdr:nvSpPr>
        <xdr:cNvPr id="3" name="Rectangular Callout 2"/>
        <xdr:cNvSpPr/>
      </xdr:nvSpPr>
      <xdr:spPr>
        <a:xfrm>
          <a:off x="1292679" y="3531054"/>
          <a:ext cx="2435677" cy="1272267"/>
        </a:xfrm>
        <a:prstGeom prst="wedgeRectCallout">
          <a:avLst>
            <a:gd name="adj1" fmla="val 32756"/>
            <a:gd name="adj2" fmla="val -7921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/>
            <a:t>A</a:t>
          </a:r>
          <a:r>
            <a:rPr lang="en-GB" sz="2000" baseline="0"/>
            <a:t> measure of how 'pure' (not mixed up) the data is</a:t>
          </a:r>
          <a:endParaRPr lang="en-GB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129887</xdr:colOff>
      <xdr:row>12</xdr:row>
      <xdr:rowOff>43296</xdr:rowOff>
    </xdr:from>
    <xdr:to>
      <xdr:col>4</xdr:col>
      <xdr:colOff>755814</xdr:colOff>
      <xdr:row>16</xdr:row>
      <xdr:rowOff>77313</xdr:rowOff>
    </xdr:to>
    <xdr:sp macro="" textlink="">
      <xdr:nvSpPr>
        <xdr:cNvPr id="5" name="Rectangular Callout 4"/>
        <xdr:cNvSpPr/>
      </xdr:nvSpPr>
      <xdr:spPr>
        <a:xfrm>
          <a:off x="1714501" y="4156364"/>
          <a:ext cx="2435677" cy="1272267"/>
        </a:xfrm>
        <a:prstGeom prst="wedgeRectCallout">
          <a:avLst>
            <a:gd name="adj1" fmla="val 32756"/>
            <a:gd name="adj2" fmla="val -7921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/>
            <a:t>A</a:t>
          </a:r>
          <a:r>
            <a:rPr lang="en-GB" sz="2000" baseline="0"/>
            <a:t> measure of how 'pure' (not mixed up) the data is</a:t>
          </a:r>
          <a:endParaRPr lang="en-GB" sz="2000"/>
        </a:p>
      </xdr:txBody>
    </xdr:sp>
    <xdr:clientData/>
  </xdr:twoCellAnchor>
  <xdr:twoCellAnchor>
    <xdr:from>
      <xdr:col>11</xdr:col>
      <xdr:colOff>571500</xdr:colOff>
      <xdr:row>2</xdr:row>
      <xdr:rowOff>25976</xdr:rowOff>
    </xdr:from>
    <xdr:to>
      <xdr:col>17</xdr:col>
      <xdr:colOff>21751</xdr:colOff>
      <xdr:row>13</xdr:row>
      <xdr:rowOff>346363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331470</xdr:colOff>
      <xdr:row>0</xdr:row>
      <xdr:rowOff>188595</xdr:rowOff>
    </xdr:from>
    <xdr:to>
      <xdr:col>14</xdr:col>
      <xdr:colOff>251460</xdr:colOff>
      <xdr:row>6</xdr:row>
      <xdr:rowOff>41563</xdr:rowOff>
    </xdr:to>
    <xdr:sp macro="" textlink="">
      <xdr:nvSpPr>
        <xdr:cNvPr id="7" name="Rectangular Callout 6"/>
        <xdr:cNvSpPr/>
      </xdr:nvSpPr>
      <xdr:spPr>
        <a:xfrm>
          <a:off x="9205306" y="188595"/>
          <a:ext cx="1748790" cy="1016750"/>
        </a:xfrm>
        <a:prstGeom prst="wedgeRectCallout">
          <a:avLst>
            <a:gd name="adj1" fmla="val -96459"/>
            <a:gd name="adj2" fmla="val -526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Overall</a:t>
          </a:r>
          <a:r>
            <a:rPr lang="en-GB" sz="1100" baseline="0"/>
            <a:t> impurity is the weighted average of the entropy. Weighted by the number of cases with that entropy</a:t>
          </a:r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4</xdr:row>
      <xdr:rowOff>64770</xdr:rowOff>
    </xdr:from>
    <xdr:to>
      <xdr:col>12</xdr:col>
      <xdr:colOff>327660</xdr:colOff>
      <xdr:row>16</xdr:row>
      <xdr:rowOff>30480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861060</xdr:colOff>
      <xdr:row>4</xdr:row>
      <xdr:rowOff>83820</xdr:rowOff>
    </xdr:from>
    <xdr:to>
      <xdr:col>17</xdr:col>
      <xdr:colOff>899160</xdr:colOff>
      <xdr:row>18</xdr:row>
      <xdr:rowOff>72390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12</xdr:col>
      <xdr:colOff>304800</xdr:colOff>
      <xdr:row>29</xdr:row>
      <xdr:rowOff>186690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830580</xdr:colOff>
      <xdr:row>18</xdr:row>
      <xdr:rowOff>243840</xdr:rowOff>
    </xdr:from>
    <xdr:to>
      <xdr:col>19</xdr:col>
      <xdr:colOff>449580</xdr:colOff>
      <xdr:row>31</xdr:row>
      <xdr:rowOff>121920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Feature" displayName="Feature" ref="A1:E11" totalsRowShown="0" headerRowDxfId="13" dataDxfId="11" headerRowBorderDxfId="12" tableBorderDxfId="10" totalsRowBorderDxfId="9">
  <autoFilter ref="A1:E11"/>
  <tableColumns count="5">
    <tableColumn id="1" name="ID" dataDxfId="8"/>
    <tableColumn id="2" name="Home Owner" dataDxfId="7"/>
    <tableColumn id="3" name="Marital Status" dataDxfId="6"/>
    <tableColumn id="4" name="Income" dataDxfId="5"/>
    <tableColumn id="5" name="Default" dataDxfId="4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"/>
  <sheetViews>
    <sheetView showGridLines="0" zoomScale="120" zoomScaleNormal="120" workbookViewId="0">
      <selection activeCell="O22" sqref="O22"/>
    </sheetView>
  </sheetViews>
  <sheetFormatPr defaultRowHeight="15" x14ac:dyDescent="0.25"/>
  <cols>
    <col min="2" max="2" width="11.7109375" bestFit="1" customWidth="1"/>
    <col min="3" max="3" width="12.85546875" bestFit="1" customWidth="1"/>
    <col min="4" max="4" width="14" bestFit="1" customWidth="1"/>
    <col min="5" max="5" width="9.42578125" customWidth="1"/>
    <col min="6" max="6" width="13.7109375" bestFit="1" customWidth="1"/>
    <col min="7" max="7" width="9.42578125" customWidth="1"/>
    <col min="8" max="8" width="5.42578125" customWidth="1"/>
    <col min="9" max="9" width="6.85546875" customWidth="1"/>
    <col min="12" max="12" width="2.7109375" customWidth="1"/>
    <col min="14" max="14" width="12.28515625" customWidth="1"/>
    <col min="17" max="17" width="2.85546875" customWidth="1"/>
    <col min="19" max="19" width="11" customWidth="1"/>
  </cols>
  <sheetData>
    <row r="1" spans="1:30" ht="20.45" customHeight="1" x14ac:dyDescent="0.3">
      <c r="A1" s="4" t="s">
        <v>0</v>
      </c>
      <c r="B1" s="4" t="s">
        <v>14</v>
      </c>
      <c r="C1" s="4" t="s">
        <v>12</v>
      </c>
      <c r="D1" s="4" t="s">
        <v>17</v>
      </c>
      <c r="E1" s="4" t="s">
        <v>16</v>
      </c>
    </row>
    <row r="2" spans="1:30" ht="20.45" customHeight="1" x14ac:dyDescent="0.3">
      <c r="A2" s="2">
        <v>1</v>
      </c>
      <c r="B2" s="2" t="s">
        <v>3</v>
      </c>
      <c r="C2" s="2" t="s">
        <v>4</v>
      </c>
      <c r="D2" s="2" t="s">
        <v>5</v>
      </c>
      <c r="E2" s="2" t="s">
        <v>6</v>
      </c>
      <c r="AA2">
        <f>IF(E2="Yes",1,0)</f>
        <v>0</v>
      </c>
    </row>
    <row r="3" spans="1:30" ht="20.45" customHeight="1" x14ac:dyDescent="0.3">
      <c r="A3" s="2">
        <v>2</v>
      </c>
      <c r="B3" s="2" t="s">
        <v>6</v>
      </c>
      <c r="C3" s="2" t="s">
        <v>7</v>
      </c>
      <c r="D3" s="2" t="s">
        <v>8</v>
      </c>
      <c r="E3" s="2" t="s">
        <v>6</v>
      </c>
      <c r="AA3">
        <f t="shared" ref="AA3:AA11" si="0">IF(E3="Yes",1,0)</f>
        <v>0</v>
      </c>
    </row>
    <row r="4" spans="1:30" ht="20.45" customHeight="1" x14ac:dyDescent="0.3">
      <c r="A4" s="2">
        <v>3</v>
      </c>
      <c r="B4" s="2" t="s">
        <v>6</v>
      </c>
      <c r="C4" s="2" t="s">
        <v>4</v>
      </c>
      <c r="D4" s="2" t="s">
        <v>9</v>
      </c>
      <c r="E4" s="2" t="s">
        <v>6</v>
      </c>
      <c r="AA4">
        <f t="shared" si="0"/>
        <v>0</v>
      </c>
    </row>
    <row r="5" spans="1:30" s="3" customFormat="1" ht="20.45" customHeight="1" x14ac:dyDescent="0.3">
      <c r="A5" s="2">
        <v>4</v>
      </c>
      <c r="B5" s="2" t="s">
        <v>3</v>
      </c>
      <c r="C5" s="2" t="s">
        <v>7</v>
      </c>
      <c r="D5" s="2" t="s">
        <v>5</v>
      </c>
      <c r="E5" s="2" t="s">
        <v>6</v>
      </c>
      <c r="AA5">
        <f t="shared" si="0"/>
        <v>0</v>
      </c>
    </row>
    <row r="6" spans="1:30" ht="20.45" customHeight="1" x14ac:dyDescent="0.3">
      <c r="A6" s="2">
        <v>5</v>
      </c>
      <c r="B6" s="2" t="s">
        <v>6</v>
      </c>
      <c r="C6" s="2" t="s">
        <v>10</v>
      </c>
      <c r="D6" s="2" t="s">
        <v>8</v>
      </c>
      <c r="E6" s="2" t="s">
        <v>3</v>
      </c>
      <c r="AA6">
        <f t="shared" si="0"/>
        <v>1</v>
      </c>
    </row>
    <row r="7" spans="1:30" ht="20.45" customHeight="1" x14ac:dyDescent="0.3">
      <c r="A7" s="2">
        <v>6</v>
      </c>
      <c r="B7" s="2" t="s">
        <v>6</v>
      </c>
      <c r="C7" s="2" t="s">
        <v>7</v>
      </c>
      <c r="D7" s="2" t="s">
        <v>9</v>
      </c>
      <c r="E7" s="2" t="s">
        <v>6</v>
      </c>
      <c r="AA7">
        <f t="shared" si="0"/>
        <v>0</v>
      </c>
    </row>
    <row r="8" spans="1:30" ht="20.45" customHeight="1" x14ac:dyDescent="0.3">
      <c r="A8" s="2">
        <v>7</v>
      </c>
      <c r="B8" s="2" t="s">
        <v>3</v>
      </c>
      <c r="C8" s="2" t="s">
        <v>10</v>
      </c>
      <c r="D8" s="2" t="s">
        <v>5</v>
      </c>
      <c r="E8" s="2" t="s">
        <v>6</v>
      </c>
      <c r="AA8">
        <f t="shared" si="0"/>
        <v>0</v>
      </c>
    </row>
    <row r="9" spans="1:30" ht="20.45" customHeight="1" x14ac:dyDescent="0.3">
      <c r="A9" s="2">
        <v>8</v>
      </c>
      <c r="B9" s="2" t="s">
        <v>6</v>
      </c>
      <c r="C9" s="2" t="s">
        <v>4</v>
      </c>
      <c r="D9" s="2" t="s">
        <v>8</v>
      </c>
      <c r="E9" s="2" t="s">
        <v>3</v>
      </c>
      <c r="AA9">
        <f t="shared" si="0"/>
        <v>1</v>
      </c>
    </row>
    <row r="10" spans="1:30" ht="20.45" customHeight="1" x14ac:dyDescent="0.3">
      <c r="A10" s="2">
        <v>9</v>
      </c>
      <c r="B10" s="2" t="s">
        <v>6</v>
      </c>
      <c r="C10" s="2" t="s">
        <v>7</v>
      </c>
      <c r="D10" s="2" t="s">
        <v>9</v>
      </c>
      <c r="E10" s="2" t="s">
        <v>6</v>
      </c>
      <c r="AA10">
        <f t="shared" si="0"/>
        <v>0</v>
      </c>
    </row>
    <row r="11" spans="1:30" ht="20.45" customHeight="1" x14ac:dyDescent="0.3">
      <c r="A11" s="2">
        <v>10</v>
      </c>
      <c r="B11" s="2" t="s">
        <v>6</v>
      </c>
      <c r="C11" s="2" t="s">
        <v>4</v>
      </c>
      <c r="D11" s="2" t="s">
        <v>8</v>
      </c>
      <c r="E11" s="2" t="s">
        <v>3</v>
      </c>
      <c r="AA11">
        <f t="shared" si="0"/>
        <v>1</v>
      </c>
    </row>
    <row r="12" spans="1:30" thickBot="1" x14ac:dyDescent="0.35">
      <c r="AB12" t="s">
        <v>48</v>
      </c>
      <c r="AC12" t="s">
        <v>49</v>
      </c>
    </row>
    <row r="13" spans="1:30" ht="20.45" customHeight="1" thickBot="1" x14ac:dyDescent="0.35">
      <c r="D13" s="127" t="s">
        <v>23</v>
      </c>
      <c r="E13" s="126">
        <f>-SUM(AD13:AD14)</f>
        <v>0.8812908992306927</v>
      </c>
      <c r="H13" s="5"/>
      <c r="I13" s="5"/>
      <c r="J13" s="149" t="s">
        <v>2</v>
      </c>
      <c r="K13" s="150"/>
      <c r="M13" s="5"/>
      <c r="N13" s="5"/>
      <c r="O13" s="149" t="s">
        <v>2</v>
      </c>
      <c r="P13" s="150"/>
      <c r="R13" s="5"/>
      <c r="S13" s="5"/>
      <c r="T13" s="149" t="s">
        <v>2</v>
      </c>
      <c r="U13" s="150"/>
      <c r="Z13" t="s">
        <v>46</v>
      </c>
      <c r="AA13">
        <f>COUNTIF(AA2:AA11,1)</f>
        <v>3</v>
      </c>
      <c r="AB13">
        <f>AA13/COUNT(AA2:AA11)</f>
        <v>0.3</v>
      </c>
      <c r="AC13">
        <f>LOG(AB13,2)</f>
        <v>-1.7369655941662063</v>
      </c>
      <c r="AD13">
        <f>AB13*AC13</f>
        <v>-0.52108967824986185</v>
      </c>
    </row>
    <row r="14" spans="1:30" ht="23.45" customHeight="1" thickBot="1" x14ac:dyDescent="0.35">
      <c r="H14" s="5"/>
      <c r="I14" s="5"/>
      <c r="J14" s="6" t="s">
        <v>3</v>
      </c>
      <c r="K14" s="7" t="s">
        <v>6</v>
      </c>
      <c r="M14" s="5"/>
      <c r="N14" s="5"/>
      <c r="O14" s="6" t="s">
        <v>3</v>
      </c>
      <c r="P14" s="7" t="s">
        <v>6</v>
      </c>
      <c r="R14" s="5"/>
      <c r="S14" s="5"/>
      <c r="T14" s="6" t="s">
        <v>3</v>
      </c>
      <c r="U14" s="7" t="s">
        <v>6</v>
      </c>
      <c r="Z14" t="s">
        <v>47</v>
      </c>
      <c r="AA14">
        <f>COUNTIF(AA2:AA11,0)</f>
        <v>7</v>
      </c>
      <c r="AB14">
        <f>AA14/COUNT(AA2:AA11)</f>
        <v>0.7</v>
      </c>
      <c r="AC14">
        <f>LOG(AB14,2)</f>
        <v>-0.51457317282975834</v>
      </c>
      <c r="AD14">
        <f>AB14*AC14</f>
        <v>-0.36020122098083079</v>
      </c>
    </row>
    <row r="15" spans="1:30" ht="38.450000000000003" customHeight="1" x14ac:dyDescent="0.25">
      <c r="H15" s="151" t="s">
        <v>1</v>
      </c>
      <c r="I15" s="12" t="s">
        <v>3</v>
      </c>
      <c r="J15" s="8">
        <v>0</v>
      </c>
      <c r="K15" s="9">
        <v>3</v>
      </c>
      <c r="M15" s="151" t="s">
        <v>12</v>
      </c>
      <c r="N15" s="12" t="s">
        <v>4</v>
      </c>
      <c r="O15" s="8">
        <v>2</v>
      </c>
      <c r="P15" s="9">
        <v>2</v>
      </c>
      <c r="R15" s="151" t="s">
        <v>11</v>
      </c>
      <c r="S15" s="12" t="s">
        <v>5</v>
      </c>
      <c r="T15" s="8">
        <v>0</v>
      </c>
      <c r="U15" s="9">
        <v>3</v>
      </c>
    </row>
    <row r="16" spans="1:30" ht="38.450000000000003" customHeight="1" thickBot="1" x14ac:dyDescent="0.3">
      <c r="H16" s="152"/>
      <c r="I16" s="13" t="s">
        <v>6</v>
      </c>
      <c r="J16" s="10">
        <v>3</v>
      </c>
      <c r="K16" s="11">
        <v>4</v>
      </c>
      <c r="M16" s="153"/>
      <c r="N16" s="14" t="s">
        <v>7</v>
      </c>
      <c r="O16" s="15">
        <v>0</v>
      </c>
      <c r="P16" s="16">
        <v>4</v>
      </c>
      <c r="R16" s="153"/>
      <c r="S16" s="14" t="s">
        <v>8</v>
      </c>
      <c r="T16" s="15">
        <v>3</v>
      </c>
      <c r="U16" s="16">
        <v>1</v>
      </c>
    </row>
    <row r="17" spans="13:21" ht="38.450000000000003" customHeight="1" thickBot="1" x14ac:dyDescent="0.3">
      <c r="M17" s="152"/>
      <c r="N17" s="13" t="s">
        <v>10</v>
      </c>
      <c r="O17" s="10">
        <v>1</v>
      </c>
      <c r="P17" s="11">
        <v>1</v>
      </c>
      <c r="R17" s="152"/>
      <c r="S17" s="13" t="s">
        <v>9</v>
      </c>
      <c r="T17" s="10">
        <v>0</v>
      </c>
      <c r="U17" s="11">
        <v>3</v>
      </c>
    </row>
    <row r="19" spans="13:21" ht="20.45" customHeight="1" x14ac:dyDescent="0.25"/>
    <row r="21" spans="13:21" ht="34.15" customHeight="1" x14ac:dyDescent="0.25"/>
    <row r="22" spans="13:21" ht="34.15" customHeight="1" x14ac:dyDescent="0.25"/>
    <row r="23" spans="13:21" ht="34.15" customHeight="1" x14ac:dyDescent="0.25"/>
  </sheetData>
  <mergeCells count="6">
    <mergeCell ref="J13:K13"/>
    <mergeCell ref="H15:H16"/>
    <mergeCell ref="O13:P13"/>
    <mergeCell ref="M15:M17"/>
    <mergeCell ref="T13:U13"/>
    <mergeCell ref="R15:R17"/>
  </mergeCells>
  <conditionalFormatting sqref="D13">
    <cfRule type="cellIs" dxfId="3" priority="1" operator="equal">
      <formula>"No"</formula>
    </cfRule>
    <cfRule type="cellIs" dxfId="2" priority="2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2"/>
  <sheetViews>
    <sheetView showGridLines="0" zoomScale="120" zoomScaleNormal="120" workbookViewId="0">
      <selection activeCell="C5" sqref="C5"/>
    </sheetView>
  </sheetViews>
  <sheetFormatPr defaultRowHeight="15" x14ac:dyDescent="0.25"/>
  <cols>
    <col min="1" max="1" width="4.5703125" customWidth="1"/>
    <col min="2" max="2" width="11.28515625" customWidth="1"/>
    <col min="3" max="3" width="3.42578125" customWidth="1"/>
    <col min="4" max="4" width="24.42578125" customWidth="1"/>
    <col min="5" max="5" width="12.28515625" customWidth="1"/>
    <col min="6" max="6" width="4.140625" customWidth="1"/>
    <col min="7" max="7" width="14.28515625" customWidth="1"/>
    <col min="8" max="8" width="30.42578125" customWidth="1"/>
    <col min="9" max="13" width="14.28515625" customWidth="1"/>
  </cols>
  <sheetData>
    <row r="1" spans="2:23" ht="15.75" thickBot="1" x14ac:dyDescent="0.3">
      <c r="W1">
        <v>0</v>
      </c>
    </row>
    <row r="2" spans="2:23" ht="24" customHeight="1" thickBot="1" x14ac:dyDescent="0.3">
      <c r="B2" s="128" t="s">
        <v>31</v>
      </c>
      <c r="D2" s="154" t="s">
        <v>51</v>
      </c>
      <c r="E2" s="155"/>
      <c r="G2" s="130" t="s">
        <v>50</v>
      </c>
      <c r="H2" s="131" t="s">
        <v>23</v>
      </c>
      <c r="W2">
        <v>1</v>
      </c>
    </row>
    <row r="3" spans="2:23" ht="26.45" customHeight="1" x14ac:dyDescent="0.25">
      <c r="B3" s="92">
        <v>0</v>
      </c>
      <c r="D3" s="139" t="s">
        <v>29</v>
      </c>
      <c r="E3" s="136">
        <f>COUNT(B3:B12)</f>
        <v>10</v>
      </c>
      <c r="G3" s="132">
        <v>0</v>
      </c>
      <c r="H3" s="133">
        <v>0</v>
      </c>
    </row>
    <row r="4" spans="2:23" ht="26.45" customHeight="1" x14ac:dyDescent="0.25">
      <c r="B4" s="92">
        <v>0</v>
      </c>
      <c r="D4" s="140" t="s">
        <v>26</v>
      </c>
      <c r="E4" s="137">
        <f>COUNTIF(B3:B12,"=1")</f>
        <v>0</v>
      </c>
      <c r="G4" s="134">
        <v>1</v>
      </c>
      <c r="H4" s="135">
        <v>0</v>
      </c>
    </row>
    <row r="5" spans="2:23" ht="26.45" customHeight="1" x14ac:dyDescent="0.25">
      <c r="B5" s="92">
        <v>0</v>
      </c>
      <c r="D5" s="140" t="s">
        <v>30</v>
      </c>
      <c r="E5" s="137">
        <f>COUNTIF(B3:B12,"=0")</f>
        <v>10</v>
      </c>
      <c r="G5" s="134">
        <v>2</v>
      </c>
      <c r="H5" s="135">
        <v>0</v>
      </c>
    </row>
    <row r="6" spans="2:23" ht="26.45" customHeight="1" x14ac:dyDescent="0.25">
      <c r="B6" s="92">
        <v>0</v>
      </c>
      <c r="D6" s="140" t="s">
        <v>27</v>
      </c>
      <c r="E6" s="137">
        <f>E4/E3</f>
        <v>0</v>
      </c>
      <c r="G6" s="134">
        <v>3</v>
      </c>
      <c r="H6" s="135">
        <v>0</v>
      </c>
    </row>
    <row r="7" spans="2:23" ht="26.45" customHeight="1" x14ac:dyDescent="0.25">
      <c r="B7" s="92">
        <v>0</v>
      </c>
      <c r="D7" s="140" t="s">
        <v>28</v>
      </c>
      <c r="E7" s="137">
        <f>E5/E3</f>
        <v>1</v>
      </c>
      <c r="G7" s="134">
        <v>4</v>
      </c>
      <c r="H7" s="135">
        <v>0</v>
      </c>
    </row>
    <row r="8" spans="2:23" ht="26.45" customHeight="1" x14ac:dyDescent="0.25">
      <c r="B8" s="92">
        <v>0</v>
      </c>
      <c r="D8" s="141" t="s">
        <v>32</v>
      </c>
      <c r="E8" s="138">
        <f>IFERROR(-LOG(E6,2),0)</f>
        <v>0</v>
      </c>
      <c r="G8" s="134">
        <v>5</v>
      </c>
      <c r="H8" s="135">
        <v>0</v>
      </c>
    </row>
    <row r="9" spans="2:23" ht="26.45" customHeight="1" x14ac:dyDescent="0.25">
      <c r="B9" s="92">
        <v>0</v>
      </c>
      <c r="D9" s="141" t="s">
        <v>33</v>
      </c>
      <c r="E9" s="138">
        <f>IFERROR(-LOG(E7,2),0)</f>
        <v>0</v>
      </c>
      <c r="G9" s="134">
        <v>6</v>
      </c>
      <c r="H9" s="135">
        <v>0</v>
      </c>
    </row>
    <row r="10" spans="2:23" ht="26.45" customHeight="1" thickBot="1" x14ac:dyDescent="0.3">
      <c r="B10" s="92">
        <v>0</v>
      </c>
      <c r="D10" s="142" t="s">
        <v>23</v>
      </c>
      <c r="E10" s="129">
        <f>((E6*E8)+(E7*E9))</f>
        <v>0</v>
      </c>
      <c r="G10" s="134">
        <v>7</v>
      </c>
      <c r="H10" s="135">
        <v>0</v>
      </c>
    </row>
    <row r="11" spans="2:23" ht="26.45" customHeight="1" x14ac:dyDescent="0.25">
      <c r="B11" s="92">
        <v>0</v>
      </c>
      <c r="G11" s="134">
        <v>8</v>
      </c>
      <c r="H11" s="135">
        <v>0</v>
      </c>
    </row>
    <row r="12" spans="2:23" ht="26.45" customHeight="1" thickBot="1" x14ac:dyDescent="0.3">
      <c r="B12" s="93">
        <v>0</v>
      </c>
      <c r="G12" s="134">
        <v>9</v>
      </c>
      <c r="H12" s="135">
        <v>0</v>
      </c>
    </row>
    <row r="13" spans="2:23" ht="24" customHeight="1" thickBot="1" x14ac:dyDescent="0.3">
      <c r="C13" s="1"/>
      <c r="G13" s="90">
        <v>10</v>
      </c>
      <c r="H13" s="91">
        <v>0</v>
      </c>
    </row>
    <row r="14" spans="2:23" ht="24" customHeight="1" x14ac:dyDescent="0.25">
      <c r="C14" s="1"/>
    </row>
    <row r="15" spans="2:23" x14ac:dyDescent="0.25">
      <c r="E15" s="1"/>
    </row>
    <row r="17" ht="21.6" customHeight="1" x14ac:dyDescent="0.25"/>
    <row r="18" ht="21.6" customHeight="1" x14ac:dyDescent="0.25"/>
    <row r="19" ht="21.6" customHeight="1" x14ac:dyDescent="0.25"/>
    <row r="20" ht="21.6" customHeight="1" x14ac:dyDescent="0.25"/>
    <row r="21" ht="21.6" customHeight="1" x14ac:dyDescent="0.25"/>
    <row r="22" ht="21.6" customHeight="1" x14ac:dyDescent="0.25"/>
  </sheetData>
  <mergeCells count="1">
    <mergeCell ref="D2:E2"/>
  </mergeCells>
  <conditionalFormatting sqref="H3:H13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{759D86BF-D9B9-44E9-AE4F-A61007B88A80}</x14:id>
        </ext>
      </extLst>
    </cfRule>
  </conditionalFormatting>
  <conditionalFormatting sqref="B3:B12">
    <cfRule type="colorScale" priority="1">
      <colorScale>
        <cfvo type="num" val="0"/>
        <cfvo type="percentile" val="50"/>
        <cfvo type="num" val="1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B3:B12">
      <formula1>$W$1:$W$2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9D86BF-D9B9-44E9-AE4F-A61007B88A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H3:H13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3"/>
  <sheetViews>
    <sheetView showGridLines="0" zoomScale="130" zoomScaleNormal="130" workbookViewId="0">
      <selection activeCell="F16" sqref="F16"/>
    </sheetView>
  </sheetViews>
  <sheetFormatPr defaultRowHeight="15" x14ac:dyDescent="0.25"/>
  <cols>
    <col min="2" max="2" width="11.28515625" customWidth="1"/>
    <col min="3" max="3" width="3.42578125" customWidth="1"/>
    <col min="4" max="4" width="27.140625" customWidth="1"/>
    <col min="5" max="6" width="12.28515625" customWidth="1"/>
    <col min="7" max="7" width="18.7109375" customWidth="1"/>
    <col min="8" max="8" width="18.5703125" customWidth="1"/>
    <col min="9" max="10" width="12.28515625" hidden="1" customWidth="1"/>
    <col min="11" max="11" width="11.28515625" hidden="1" customWidth="1"/>
    <col min="12" max="12" width="15.140625" customWidth="1"/>
    <col min="13" max="13" width="15.5703125" customWidth="1"/>
    <col min="14" max="20" width="14.28515625" customWidth="1"/>
  </cols>
  <sheetData>
    <row r="2" spans="2:30" ht="15.75" thickBot="1" x14ac:dyDescent="0.3">
      <c r="AD2">
        <v>0</v>
      </c>
    </row>
    <row r="3" spans="2:30" ht="29.25" customHeight="1" thickBot="1" x14ac:dyDescent="0.3">
      <c r="B3" s="143" t="s">
        <v>31</v>
      </c>
      <c r="D3" s="156" t="s">
        <v>52</v>
      </c>
      <c r="E3" s="157"/>
      <c r="G3" s="130" t="s">
        <v>50</v>
      </c>
      <c r="H3" s="131" t="s">
        <v>36</v>
      </c>
      <c r="AD3">
        <v>1</v>
      </c>
    </row>
    <row r="4" spans="2:30" ht="29.25" customHeight="1" x14ac:dyDescent="0.25">
      <c r="B4" s="92">
        <v>0</v>
      </c>
      <c r="D4" s="146" t="s">
        <v>29</v>
      </c>
      <c r="E4" s="144">
        <f>COUNT(B4:B13)</f>
        <v>10</v>
      </c>
      <c r="G4" s="132">
        <v>0</v>
      </c>
      <c r="H4" s="133"/>
    </row>
    <row r="5" spans="2:30" ht="29.25" customHeight="1" x14ac:dyDescent="0.25">
      <c r="B5" s="92">
        <v>0</v>
      </c>
      <c r="D5" s="140" t="s">
        <v>26</v>
      </c>
      <c r="E5" s="135">
        <f>COUNTIF(B4:B13,"=1")</f>
        <v>0</v>
      </c>
      <c r="G5" s="134">
        <v>1</v>
      </c>
      <c r="H5" s="135"/>
    </row>
    <row r="6" spans="2:30" ht="29.25" customHeight="1" x14ac:dyDescent="0.25">
      <c r="B6" s="92">
        <v>0</v>
      </c>
      <c r="D6" s="140" t="s">
        <v>30</v>
      </c>
      <c r="E6" s="135">
        <f>COUNTIF(B4:B13,"=0")</f>
        <v>10</v>
      </c>
      <c r="G6" s="134">
        <v>2</v>
      </c>
      <c r="H6" s="135"/>
    </row>
    <row r="7" spans="2:30" ht="29.25" customHeight="1" x14ac:dyDescent="0.25">
      <c r="B7" s="92">
        <v>0</v>
      </c>
      <c r="D7" s="140" t="s">
        <v>27</v>
      </c>
      <c r="E7" s="135">
        <f>E5/E4</f>
        <v>0</v>
      </c>
      <c r="G7" s="134">
        <v>3</v>
      </c>
      <c r="H7" s="135"/>
    </row>
    <row r="8" spans="2:30" ht="29.25" customHeight="1" x14ac:dyDescent="0.25">
      <c r="B8" s="92">
        <v>0</v>
      </c>
      <c r="D8" s="140" t="s">
        <v>28</v>
      </c>
      <c r="E8" s="135">
        <f>E6/E4</f>
        <v>1</v>
      </c>
      <c r="G8" s="134">
        <v>4</v>
      </c>
      <c r="H8" s="135"/>
    </row>
    <row r="9" spans="2:30" ht="29.25" customHeight="1" x14ac:dyDescent="0.25">
      <c r="B9" s="92">
        <v>0</v>
      </c>
      <c r="D9" s="147" t="s">
        <v>39</v>
      </c>
      <c r="E9" s="135">
        <f>E7*(1-E7)</f>
        <v>0</v>
      </c>
      <c r="G9" s="134">
        <v>5</v>
      </c>
      <c r="H9" s="135"/>
    </row>
    <row r="10" spans="2:30" ht="29.25" customHeight="1" x14ac:dyDescent="0.25">
      <c r="B10" s="92">
        <v>0</v>
      </c>
      <c r="D10" s="147" t="s">
        <v>40</v>
      </c>
      <c r="E10" s="135">
        <f>E8*(1-E8)</f>
        <v>0</v>
      </c>
      <c r="G10" s="134">
        <v>6</v>
      </c>
      <c r="H10" s="135"/>
    </row>
    <row r="11" spans="2:30" ht="29.25" customHeight="1" thickBot="1" x14ac:dyDescent="0.3">
      <c r="B11" s="92">
        <v>0</v>
      </c>
      <c r="D11" s="148" t="s">
        <v>36</v>
      </c>
      <c r="E11" s="145">
        <f>E9+E10</f>
        <v>0</v>
      </c>
      <c r="G11" s="134">
        <v>7</v>
      </c>
      <c r="H11" s="135"/>
    </row>
    <row r="12" spans="2:30" ht="29.25" customHeight="1" x14ac:dyDescent="0.25">
      <c r="B12" s="92">
        <v>0</v>
      </c>
      <c r="G12" s="134">
        <v>8</v>
      </c>
      <c r="H12" s="135"/>
    </row>
    <row r="13" spans="2:30" ht="29.25" customHeight="1" thickBot="1" x14ac:dyDescent="0.3">
      <c r="B13" s="93">
        <v>0</v>
      </c>
      <c r="G13" s="134">
        <v>9</v>
      </c>
      <c r="H13" s="135"/>
    </row>
    <row r="14" spans="2:30" ht="29.25" customHeight="1" thickBot="1" x14ac:dyDescent="0.3">
      <c r="C14" s="1"/>
      <c r="G14" s="90">
        <v>10</v>
      </c>
      <c r="H14" s="91"/>
    </row>
    <row r="15" spans="2:30" ht="24" customHeight="1" x14ac:dyDescent="0.25">
      <c r="C15" s="1"/>
    </row>
    <row r="16" spans="2:30" x14ac:dyDescent="0.25">
      <c r="E16" s="1"/>
    </row>
    <row r="18" ht="21.6" customHeight="1" x14ac:dyDescent="0.25"/>
    <row r="19" ht="21.6" customHeight="1" x14ac:dyDescent="0.25"/>
    <row r="20" ht="21.6" customHeight="1" x14ac:dyDescent="0.25"/>
    <row r="21" ht="21.6" customHeight="1" x14ac:dyDescent="0.25"/>
    <row r="22" ht="21.6" customHeight="1" x14ac:dyDescent="0.25"/>
    <row r="23" ht="21.6" customHeight="1" x14ac:dyDescent="0.25"/>
  </sheetData>
  <mergeCells count="1">
    <mergeCell ref="D3:E3"/>
  </mergeCells>
  <conditionalFormatting sqref="H4:H1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{3487ADCE-C87A-47C8-883E-CAF9D5FFAABE}</x14:id>
        </ext>
      </extLst>
    </cfRule>
  </conditionalFormatting>
  <conditionalFormatting sqref="B4:B13">
    <cfRule type="colorScale" priority="1">
      <colorScale>
        <cfvo type="num" val="0"/>
        <cfvo type="percentile" val="50"/>
        <cfvo type="num" val="1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B4:B13">
      <formula1>$AD$2:$AD$3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87ADCE-C87A-47C8-883E-CAF9D5FFAAB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H4:H14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3"/>
  <sheetViews>
    <sheetView showGridLines="0" tabSelected="1" zoomScaleNormal="100" workbookViewId="0">
      <selection activeCell="K16" sqref="K16"/>
    </sheetView>
  </sheetViews>
  <sheetFormatPr defaultRowHeight="15" x14ac:dyDescent="0.25"/>
  <cols>
    <col min="2" max="2" width="13.7109375" customWidth="1"/>
    <col min="3" max="3" width="14.42578125" customWidth="1"/>
    <col min="4" max="4" width="14" bestFit="1" customWidth="1"/>
    <col min="5" max="5" width="12.7109375" customWidth="1"/>
    <col min="6" max="6" width="13.7109375" bestFit="1" customWidth="1"/>
    <col min="7" max="7" width="9.42578125" customWidth="1"/>
    <col min="8" max="8" width="5.42578125" customWidth="1"/>
    <col min="9" max="9" width="11.140625" customWidth="1"/>
    <col min="12" max="12" width="2.7109375" customWidth="1"/>
    <col min="13" max="13" width="10.28515625" customWidth="1"/>
    <col min="14" max="14" width="3.28515625" customWidth="1"/>
    <col min="15" max="15" width="12.5703125" customWidth="1"/>
    <col min="16" max="17" width="12.28515625" customWidth="1"/>
    <col min="18" max="18" width="4.28515625" customWidth="1"/>
    <col min="20" max="20" width="11" customWidth="1"/>
    <col min="31" max="31" width="10.5703125" customWidth="1"/>
    <col min="37" max="38" width="12.28515625" customWidth="1"/>
    <col min="39" max="39" width="11.140625" customWidth="1"/>
  </cols>
  <sheetData>
    <row r="1" spans="1:39" ht="20.45" customHeight="1" x14ac:dyDescent="0.3">
      <c r="A1" s="99" t="s">
        <v>0</v>
      </c>
      <c r="B1" s="100" t="s">
        <v>14</v>
      </c>
      <c r="C1" s="100" t="s">
        <v>12</v>
      </c>
      <c r="D1" s="100" t="s">
        <v>17</v>
      </c>
      <c r="E1" s="101" t="s">
        <v>16</v>
      </c>
    </row>
    <row r="2" spans="1:39" ht="20.45" customHeight="1" x14ac:dyDescent="0.3">
      <c r="A2" s="69">
        <v>1</v>
      </c>
      <c r="B2" s="2" t="s">
        <v>3</v>
      </c>
      <c r="C2" s="2" t="s">
        <v>4</v>
      </c>
      <c r="D2" s="2" t="s">
        <v>5</v>
      </c>
      <c r="E2" s="98" t="s">
        <v>6</v>
      </c>
    </row>
    <row r="3" spans="1:39" ht="20.45" customHeight="1" x14ac:dyDescent="0.3">
      <c r="A3" s="69">
        <v>2</v>
      </c>
      <c r="B3" s="2" t="s">
        <v>6</v>
      </c>
      <c r="C3" s="2" t="s">
        <v>7</v>
      </c>
      <c r="D3" s="2" t="s">
        <v>8</v>
      </c>
      <c r="E3" s="98" t="s">
        <v>6</v>
      </c>
    </row>
    <row r="4" spans="1:39" ht="20.45" customHeight="1" x14ac:dyDescent="0.3">
      <c r="A4" s="69">
        <v>3</v>
      </c>
      <c r="B4" s="2" t="s">
        <v>6</v>
      </c>
      <c r="C4" s="2" t="s">
        <v>4</v>
      </c>
      <c r="D4" s="2" t="s">
        <v>9</v>
      </c>
      <c r="E4" s="98" t="s">
        <v>6</v>
      </c>
    </row>
    <row r="5" spans="1:39" s="3" customFormat="1" ht="20.45" customHeight="1" x14ac:dyDescent="0.3">
      <c r="A5" s="69">
        <v>4</v>
      </c>
      <c r="B5" s="2" t="s">
        <v>3</v>
      </c>
      <c r="C5" s="2" t="s">
        <v>7</v>
      </c>
      <c r="D5" s="2" t="s">
        <v>5</v>
      </c>
      <c r="E5" s="98" t="s">
        <v>6</v>
      </c>
    </row>
    <row r="6" spans="1:39" ht="20.45" customHeight="1" x14ac:dyDescent="0.3">
      <c r="A6" s="69">
        <v>5</v>
      </c>
      <c r="B6" s="2" t="s">
        <v>6</v>
      </c>
      <c r="C6" s="2" t="s">
        <v>10</v>
      </c>
      <c r="D6" s="2" t="s">
        <v>8</v>
      </c>
      <c r="E6" s="98" t="s">
        <v>3</v>
      </c>
    </row>
    <row r="7" spans="1:39" ht="20.45" customHeight="1" x14ac:dyDescent="0.3">
      <c r="A7" s="69">
        <v>6</v>
      </c>
      <c r="B7" s="2" t="s">
        <v>6</v>
      </c>
      <c r="C7" s="2" t="s">
        <v>7</v>
      </c>
      <c r="D7" s="2" t="s">
        <v>9</v>
      </c>
      <c r="E7" s="98" t="s">
        <v>6</v>
      </c>
    </row>
    <row r="8" spans="1:39" ht="20.45" customHeight="1" x14ac:dyDescent="0.3">
      <c r="A8" s="69">
        <v>7</v>
      </c>
      <c r="B8" s="2" t="s">
        <v>3</v>
      </c>
      <c r="C8" s="2" t="s">
        <v>10</v>
      </c>
      <c r="D8" s="2" t="s">
        <v>5</v>
      </c>
      <c r="E8" s="98" t="s">
        <v>6</v>
      </c>
    </row>
    <row r="9" spans="1:39" ht="20.45" customHeight="1" x14ac:dyDescent="0.3">
      <c r="A9" s="69">
        <v>8</v>
      </c>
      <c r="B9" s="2" t="s">
        <v>6</v>
      </c>
      <c r="C9" s="2" t="s">
        <v>4</v>
      </c>
      <c r="D9" s="2" t="s">
        <v>8</v>
      </c>
      <c r="E9" s="98" t="s">
        <v>3</v>
      </c>
    </row>
    <row r="10" spans="1:39" ht="20.45" customHeight="1" x14ac:dyDescent="0.4">
      <c r="A10" s="69">
        <v>9</v>
      </c>
      <c r="B10" s="2" t="s">
        <v>6</v>
      </c>
      <c r="C10" s="2" t="s">
        <v>7</v>
      </c>
      <c r="D10" s="2" t="s">
        <v>9</v>
      </c>
      <c r="E10" s="98" t="s">
        <v>6</v>
      </c>
      <c r="H10" s="163" t="s">
        <v>44</v>
      </c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D10" s="158" t="s">
        <v>45</v>
      </c>
      <c r="AE10" s="158"/>
      <c r="AF10" s="158"/>
      <c r="AG10" s="158"/>
      <c r="AH10" s="158"/>
      <c r="AI10" s="158"/>
      <c r="AJ10" s="158"/>
      <c r="AK10" s="158"/>
      <c r="AL10" s="158"/>
      <c r="AM10" s="158"/>
    </row>
    <row r="11" spans="1:39" ht="20.45" customHeight="1" x14ac:dyDescent="0.3">
      <c r="A11" s="102">
        <v>10</v>
      </c>
      <c r="B11" s="103" t="s">
        <v>6</v>
      </c>
      <c r="C11" s="103" t="s">
        <v>4</v>
      </c>
      <c r="D11" s="103" t="s">
        <v>8</v>
      </c>
      <c r="E11" s="104" t="s">
        <v>3</v>
      </c>
    </row>
    <row r="12" spans="1:39" ht="16.149999999999999" customHeight="1" thickBot="1" x14ac:dyDescent="0.35"/>
    <row r="13" spans="1:39" ht="18" customHeight="1" thickBot="1" x14ac:dyDescent="0.35">
      <c r="H13" s="5"/>
      <c r="I13" s="5"/>
      <c r="J13" s="149" t="s">
        <v>2</v>
      </c>
      <c r="K13" s="150"/>
      <c r="O13" s="159" t="s">
        <v>23</v>
      </c>
      <c r="P13" s="160"/>
      <c r="Q13" s="161"/>
      <c r="AD13" s="5"/>
      <c r="AE13" s="5"/>
      <c r="AF13" s="149" t="s">
        <v>2</v>
      </c>
      <c r="AG13" s="150"/>
      <c r="AK13" s="159" t="s">
        <v>23</v>
      </c>
      <c r="AL13" s="160"/>
      <c r="AM13" s="161"/>
    </row>
    <row r="14" spans="1:39" ht="34.15" customHeight="1" thickBot="1" x14ac:dyDescent="0.35">
      <c r="H14" s="5"/>
      <c r="I14" s="5"/>
      <c r="J14" s="6" t="s">
        <v>3</v>
      </c>
      <c r="K14" s="7" t="s">
        <v>6</v>
      </c>
      <c r="M14" s="116" t="s">
        <v>42</v>
      </c>
      <c r="O14" s="10" t="s">
        <v>3</v>
      </c>
      <c r="P14" s="111" t="s">
        <v>6</v>
      </c>
      <c r="Q14" s="11" t="s">
        <v>41</v>
      </c>
      <c r="AD14" s="5"/>
      <c r="AE14" s="5"/>
      <c r="AF14" s="6" t="s">
        <v>3</v>
      </c>
      <c r="AG14" s="7" t="s">
        <v>6</v>
      </c>
      <c r="AI14" s="116" t="s">
        <v>42</v>
      </c>
      <c r="AK14" s="10" t="s">
        <v>3</v>
      </c>
      <c r="AL14" s="111" t="s">
        <v>6</v>
      </c>
      <c r="AM14" s="11" t="s">
        <v>41</v>
      </c>
    </row>
    <row r="15" spans="1:39" ht="34.15" customHeight="1" x14ac:dyDescent="0.25">
      <c r="H15" s="151" t="s">
        <v>1</v>
      </c>
      <c r="I15" s="12" t="s">
        <v>3</v>
      </c>
      <c r="J15" s="8">
        <f>COUNTIFS(Feature[Home Owner],"=Yes",Feature[Default],"=Yes")</f>
        <v>0</v>
      </c>
      <c r="K15" s="9">
        <f>COUNTIFS(Feature[Home Owner],"=Yes",Feature[Default],"=No")</f>
        <v>3</v>
      </c>
      <c r="M15" s="115">
        <f>SUM(J15:K15)</f>
        <v>3</v>
      </c>
      <c r="N15" s="107"/>
      <c r="O15" s="110">
        <f>-IFERROR((J15/$M15)*LOG(J15/$M15,2),0)</f>
        <v>0</v>
      </c>
      <c r="P15" s="82">
        <f>-IFERROR((K15/$M15)*LOG(K15/$M15,2),0)</f>
        <v>0</v>
      </c>
      <c r="Q15" s="83">
        <f>SUM(O15:P15)</f>
        <v>0</v>
      </c>
      <c r="AD15" s="151" t="s">
        <v>1</v>
      </c>
      <c r="AE15" s="12" t="s">
        <v>3</v>
      </c>
      <c r="AF15" s="8">
        <f>COUNTIFS(Feature[Income],"=Average",Feature[Home Owner],"=Yes",Feature[Default],"=Yes")</f>
        <v>0</v>
      </c>
      <c r="AG15" s="9">
        <f>COUNTIFS(Feature[Income],"=Average",Feature[Home Owner],"=Yes",Feature[Default],"=No")</f>
        <v>0</v>
      </c>
      <c r="AI15" s="115">
        <f>SUM(AF15:AG15)</f>
        <v>0</v>
      </c>
      <c r="AJ15" s="107"/>
      <c r="AK15" s="110">
        <f>-IFERROR((AF15/$AI15)*LOG(AF15/$AI15,2),0)</f>
        <v>0</v>
      </c>
      <c r="AL15" s="82">
        <f>-IFERROR((AG15/$AI15)*LOG(AG15/$AI15,2),0)</f>
        <v>0</v>
      </c>
      <c r="AM15" s="83">
        <f>SUM(AK15:AL15)</f>
        <v>0</v>
      </c>
    </row>
    <row r="16" spans="1:39" ht="34.15" customHeight="1" thickBot="1" x14ac:dyDescent="0.3">
      <c r="H16" s="152"/>
      <c r="I16" s="13" t="s">
        <v>6</v>
      </c>
      <c r="J16" s="10">
        <f>COUNTIFS(Feature[Home Owner],"=No",Feature[Default],"=Yes")</f>
        <v>3</v>
      </c>
      <c r="K16" s="11">
        <f>COUNTIFS(Feature[Home Owner],"=No",Feature[Default],"=No")</f>
        <v>4</v>
      </c>
      <c r="M16" s="114">
        <f>SUM(J16:K16)</f>
        <v>7</v>
      </c>
      <c r="N16" s="107"/>
      <c r="O16" s="109">
        <f>-IFERROR((J16/$M16)*LOG(J16/$M16,2),0)</f>
        <v>0.52388246628704915</v>
      </c>
      <c r="P16" s="72">
        <f>-IFERROR((K16/$M16)*LOG(K16/$M16,2),0)</f>
        <v>0.46134566974720242</v>
      </c>
      <c r="Q16" s="73">
        <f>SUM(O16:P16)</f>
        <v>0.98522813603425163</v>
      </c>
      <c r="AD16" s="152"/>
      <c r="AE16" s="13" t="s">
        <v>6</v>
      </c>
      <c r="AF16" s="10">
        <f>COUNTIFS(Feature[Income],"=Average",Feature[Home Owner],"=No",Feature[Default],"=Yes")</f>
        <v>3</v>
      </c>
      <c r="AG16" s="11">
        <f>COUNTIFS(Feature[Income],"=Average",Feature[Home Owner],"=No",Feature[Default],"=No")</f>
        <v>1</v>
      </c>
      <c r="AI16" s="114">
        <f>SUM(AF16:AG16)</f>
        <v>4</v>
      </c>
      <c r="AJ16" s="107"/>
      <c r="AK16" s="109">
        <f>-IFERROR((AF16/$AI16)*LOG(AF16/$AI16,2),0)</f>
        <v>0.31127812445913283</v>
      </c>
      <c r="AL16" s="72">
        <f>-IFERROR((AG16/$AI16)*LOG(AG16/$AI16,2),0)</f>
        <v>0.5</v>
      </c>
      <c r="AM16" s="73">
        <f>SUM(AK16:AL16)</f>
        <v>0.81127812445913283</v>
      </c>
    </row>
    <row r="17" spans="8:39" ht="14.45" customHeight="1" x14ac:dyDescent="0.25"/>
    <row r="18" spans="8:39" ht="19.5" thickBot="1" x14ac:dyDescent="0.35">
      <c r="L18" s="106"/>
      <c r="M18" s="105">
        <f t="shared" ref="M18" si="0">SUM(M15:M16)</f>
        <v>10</v>
      </c>
      <c r="N18" s="112"/>
      <c r="O18" s="162" t="s">
        <v>43</v>
      </c>
      <c r="P18" s="162"/>
      <c r="Q18" s="121">
        <f>(M15*Q15+M16*Q16)/M18</f>
        <v>0.68965969522397619</v>
      </c>
      <c r="AH18" s="106"/>
      <c r="AI18" s="105">
        <f t="shared" ref="AI18" si="1">SUM(AI15:AI16)</f>
        <v>4</v>
      </c>
      <c r="AJ18" s="112"/>
      <c r="AK18" s="162" t="s">
        <v>43</v>
      </c>
      <c r="AL18" s="162"/>
      <c r="AM18" s="121">
        <f>(AI15*AM15+AI16*AM16)/AI18</f>
        <v>0.81127812445913283</v>
      </c>
    </row>
    <row r="19" spans="8:39" ht="24" customHeight="1" thickBot="1" x14ac:dyDescent="0.3"/>
    <row r="20" spans="8:39" ht="16.5" thickBot="1" x14ac:dyDescent="0.3">
      <c r="H20" s="5"/>
      <c r="I20" s="5"/>
      <c r="J20" s="149" t="s">
        <v>2</v>
      </c>
      <c r="K20" s="150"/>
      <c r="O20" s="159" t="s">
        <v>23</v>
      </c>
      <c r="P20" s="160"/>
      <c r="Q20" s="161"/>
      <c r="S20" s="5"/>
      <c r="T20" s="5"/>
      <c r="U20" s="159" t="s">
        <v>2</v>
      </c>
      <c r="V20" s="161"/>
      <c r="Z20" s="159" t="s">
        <v>23</v>
      </c>
      <c r="AA20" s="160"/>
      <c r="AB20" s="161"/>
      <c r="AD20" s="5"/>
      <c r="AE20" s="5"/>
      <c r="AF20" s="149" t="s">
        <v>2</v>
      </c>
      <c r="AG20" s="150"/>
      <c r="AK20" s="159" t="s">
        <v>23</v>
      </c>
      <c r="AL20" s="160"/>
      <c r="AM20" s="161"/>
    </row>
    <row r="21" spans="8:39" ht="38.25" thickBot="1" x14ac:dyDescent="0.3">
      <c r="H21" s="5"/>
      <c r="I21" s="5"/>
      <c r="J21" s="6" t="s">
        <v>3</v>
      </c>
      <c r="K21" s="7" t="s">
        <v>6</v>
      </c>
      <c r="M21" s="116" t="s">
        <v>42</v>
      </c>
      <c r="O21" s="6" t="s">
        <v>3</v>
      </c>
      <c r="P21" s="117" t="s">
        <v>6</v>
      </c>
      <c r="Q21" s="7" t="s">
        <v>41</v>
      </c>
      <c r="S21" s="5"/>
      <c r="T21" s="5"/>
      <c r="U21" s="6" t="s">
        <v>3</v>
      </c>
      <c r="V21" s="7" t="s">
        <v>6</v>
      </c>
      <c r="X21" s="116" t="s">
        <v>42</v>
      </c>
      <c r="Z21" s="6" t="s">
        <v>3</v>
      </c>
      <c r="AA21" s="117" t="s">
        <v>6</v>
      </c>
      <c r="AB21" s="7" t="s">
        <v>41</v>
      </c>
      <c r="AD21" s="5"/>
      <c r="AE21" s="5"/>
      <c r="AF21" s="6" t="s">
        <v>3</v>
      </c>
      <c r="AG21" s="7" t="s">
        <v>6</v>
      </c>
      <c r="AI21" s="116" t="s">
        <v>42</v>
      </c>
      <c r="AK21" s="6" t="s">
        <v>3</v>
      </c>
      <c r="AL21" s="117" t="s">
        <v>6</v>
      </c>
      <c r="AM21" s="7" t="s">
        <v>41</v>
      </c>
    </row>
    <row r="22" spans="8:39" ht="37.15" customHeight="1" x14ac:dyDescent="0.25">
      <c r="H22" s="151" t="s">
        <v>12</v>
      </c>
      <c r="I22" s="12" t="s">
        <v>4</v>
      </c>
      <c r="J22" s="8">
        <f>COUNTIFS(Feature[Marital Status],"=Single",Feature[Default],"=Yes")</f>
        <v>2</v>
      </c>
      <c r="K22" s="9">
        <f>COUNTIFS(Feature[Marital Status],"=Single",Feature[Default],"=No")</f>
        <v>2</v>
      </c>
      <c r="M22" s="115">
        <f>SUM(J22:K22)</f>
        <v>4</v>
      </c>
      <c r="O22" s="118">
        <f t="shared" ref="O22:P24" si="2">-IFERROR((J22/$M22)*LOG(J22/$M22,2),0)</f>
        <v>0.5</v>
      </c>
      <c r="P22" s="119">
        <f t="shared" si="2"/>
        <v>0.5</v>
      </c>
      <c r="Q22" s="120">
        <f>SUM(O22:P22)</f>
        <v>1</v>
      </c>
      <c r="S22" s="151" t="s">
        <v>11</v>
      </c>
      <c r="T22" s="12" t="s">
        <v>5</v>
      </c>
      <c r="U22" s="8">
        <f>COUNTIFS(Feature[Income],"=High",Feature[Default],"=Yes")</f>
        <v>0</v>
      </c>
      <c r="V22" s="9">
        <f>COUNTIFS(Feature[Income],"=High",Feature[Default],"=No")</f>
        <v>3</v>
      </c>
      <c r="X22" s="115">
        <f>SUM(U22:V22)</f>
        <v>3</v>
      </c>
      <c r="Z22" s="118">
        <f t="shared" ref="Z22:AA24" si="3">-IFERROR((U22/$X22)*LOG(U22/$X22,2),0)</f>
        <v>0</v>
      </c>
      <c r="AA22" s="119">
        <f t="shared" si="3"/>
        <v>0</v>
      </c>
      <c r="AB22" s="120">
        <f>SUM(Z22:AA22)</f>
        <v>0</v>
      </c>
      <c r="AD22" s="151" t="s">
        <v>12</v>
      </c>
      <c r="AE22" s="12" t="s">
        <v>4</v>
      </c>
      <c r="AF22" s="8">
        <f>COUNTIFS(Feature[Income],"=Average",Feature[Marital Status],"=Single",Feature[Default],"=Yes")</f>
        <v>2</v>
      </c>
      <c r="AG22" s="9">
        <f>COUNTIFS(Feature[Income],"=Average",Feature[Marital Status],"=Single",Feature[Default],"=No")</f>
        <v>0</v>
      </c>
      <c r="AI22" s="115">
        <f>SUM(AF22:AG22)</f>
        <v>2</v>
      </c>
      <c r="AK22" s="118">
        <f t="shared" ref="AK22:AL24" si="4">-IFERROR((AF22/$AI22)*LOG(AF22/$AI22,2),0)</f>
        <v>0</v>
      </c>
      <c r="AL22" s="119">
        <f t="shared" si="4"/>
        <v>0</v>
      </c>
      <c r="AM22" s="120">
        <f>SUM(AK22:AL22)</f>
        <v>0</v>
      </c>
    </row>
    <row r="23" spans="8:39" ht="37.15" customHeight="1" x14ac:dyDescent="0.25">
      <c r="H23" s="153"/>
      <c r="I23" s="14" t="s">
        <v>7</v>
      </c>
      <c r="J23" s="15">
        <f>COUNTIFS(Feature[Marital Status],"=Married",Feature[Default],"=Yes")</f>
        <v>0</v>
      </c>
      <c r="K23" s="16">
        <f>COUNTIFS(Feature[Marital Status],"=Married",Feature[Default],"=No")</f>
        <v>4</v>
      </c>
      <c r="M23" s="113">
        <f>SUM(J23:K23)</f>
        <v>4</v>
      </c>
      <c r="O23" s="108">
        <f t="shared" si="2"/>
        <v>0</v>
      </c>
      <c r="P23" s="68">
        <f t="shared" si="2"/>
        <v>0</v>
      </c>
      <c r="Q23" s="76">
        <f>SUM(O23:P23)</f>
        <v>0</v>
      </c>
      <c r="S23" s="153"/>
      <c r="T23" s="14" t="s">
        <v>8</v>
      </c>
      <c r="U23" s="15">
        <f>COUNTIFS(Feature[Income],"=Average",Feature[Default],"=Yes")</f>
        <v>3</v>
      </c>
      <c r="V23" s="16">
        <f>COUNTIFS(Feature[Income],"=Average",Feature[Default],"=No")</f>
        <v>1</v>
      </c>
      <c r="X23" s="113">
        <f>SUM(U23:V23)</f>
        <v>4</v>
      </c>
      <c r="Z23" s="108">
        <f t="shared" si="3"/>
        <v>0.31127812445913283</v>
      </c>
      <c r="AA23" s="68">
        <f t="shared" si="3"/>
        <v>0.5</v>
      </c>
      <c r="AB23" s="76">
        <f>SUM(Z23:AA23)</f>
        <v>0.81127812445913283</v>
      </c>
      <c r="AD23" s="153"/>
      <c r="AE23" s="14" t="s">
        <v>7</v>
      </c>
      <c r="AF23" s="15">
        <f>COUNTIFS(Feature[Income],"=Average",Feature[Marital Status],"=Married",Feature[Default],"=Yes")</f>
        <v>0</v>
      </c>
      <c r="AG23" s="16">
        <f>COUNTIFS(Feature[Income],"=Average",Feature[Marital Status],"=Married",Feature[Default],"=No")</f>
        <v>1</v>
      </c>
      <c r="AI23" s="113">
        <f>SUM(AF23:AG23)</f>
        <v>1</v>
      </c>
      <c r="AK23" s="108">
        <f t="shared" si="4"/>
        <v>0</v>
      </c>
      <c r="AL23" s="68">
        <f t="shared" si="4"/>
        <v>0</v>
      </c>
      <c r="AM23" s="76">
        <f>SUM(AK23:AL23)</f>
        <v>0</v>
      </c>
    </row>
    <row r="24" spans="8:39" ht="37.15" customHeight="1" thickBot="1" x14ac:dyDescent="0.3">
      <c r="H24" s="152"/>
      <c r="I24" s="13" t="s">
        <v>10</v>
      </c>
      <c r="J24" s="10">
        <f>COUNTIFS(Feature[Marital Status],"=Divorced",Feature[Default],"=Yes")</f>
        <v>1</v>
      </c>
      <c r="K24" s="11">
        <f>COUNTIFS(Feature[Marital Status],"=Divorced",Feature[Default],"=No")</f>
        <v>1</v>
      </c>
      <c r="M24" s="114">
        <f>SUM(J24:K24)</f>
        <v>2</v>
      </c>
      <c r="O24" s="109">
        <f t="shared" si="2"/>
        <v>0.5</v>
      </c>
      <c r="P24" s="72">
        <f t="shared" si="2"/>
        <v>0.5</v>
      </c>
      <c r="Q24" s="73">
        <f>SUM(O24:P24)</f>
        <v>1</v>
      </c>
      <c r="S24" s="152"/>
      <c r="T24" s="13" t="s">
        <v>9</v>
      </c>
      <c r="U24" s="10">
        <f>COUNTIFS(Feature[Income],"=Low",Feature[Default],"=Yes")</f>
        <v>0</v>
      </c>
      <c r="V24" s="11">
        <f>COUNTIFS(Feature[Income],"=Low",Feature[Default],"=No")</f>
        <v>3</v>
      </c>
      <c r="X24" s="114">
        <f>SUM(U24:V24)</f>
        <v>3</v>
      </c>
      <c r="Z24" s="109">
        <f t="shared" si="3"/>
        <v>0</v>
      </c>
      <c r="AA24" s="72">
        <f t="shared" si="3"/>
        <v>0</v>
      </c>
      <c r="AB24" s="73">
        <f>SUM(Z24:AA24)</f>
        <v>0</v>
      </c>
      <c r="AD24" s="152"/>
      <c r="AE24" s="13" t="s">
        <v>10</v>
      </c>
      <c r="AF24" s="10">
        <f>COUNTIFS(Feature[Income],"=Average",Feature[Marital Status],"=Divorced",Feature[Default],"=Yes")</f>
        <v>1</v>
      </c>
      <c r="AG24" s="11">
        <f>COUNTIFS(Feature[Income],"=Average",Feature[Marital Status],"=Divorced",Feature[Default],"=No")</f>
        <v>0</v>
      </c>
      <c r="AI24" s="114">
        <f>SUM(AF24:AG24)</f>
        <v>1</v>
      </c>
      <c r="AK24" s="109">
        <f t="shared" si="4"/>
        <v>0</v>
      </c>
      <c r="AL24" s="72">
        <f t="shared" si="4"/>
        <v>0</v>
      </c>
      <c r="AM24" s="73">
        <f>SUM(AK24:AL24)</f>
        <v>0</v>
      </c>
    </row>
    <row r="26" spans="8:39" ht="19.5" thickBot="1" x14ac:dyDescent="0.35">
      <c r="M26" s="105">
        <f>SUM(M22:M24)</f>
        <v>10</v>
      </c>
      <c r="O26" s="162" t="s">
        <v>43</v>
      </c>
      <c r="P26" s="162"/>
      <c r="Q26" s="121">
        <f>(M22*Q22+M23*Q23+M24*Q24)/M26</f>
        <v>0.6</v>
      </c>
      <c r="X26" s="105">
        <f>SUM(X22:X24)</f>
        <v>10</v>
      </c>
      <c r="Z26" s="162" t="s">
        <v>43</v>
      </c>
      <c r="AA26" s="162"/>
      <c r="AB26" s="122">
        <f>(X22*AB22+X23*AB23+X24*AB24)/X26</f>
        <v>0.32451124978365314</v>
      </c>
      <c r="AI26" s="105">
        <f>SUM(AI22:AI24)</f>
        <v>4</v>
      </c>
      <c r="AK26" s="162" t="s">
        <v>43</v>
      </c>
      <c r="AL26" s="162"/>
      <c r="AM26" s="121">
        <f>(AI22*AM22+AI23*AM23+AI24*AM24)/AI26</f>
        <v>0</v>
      </c>
    </row>
    <row r="31" spans="8:39" ht="34.9" customHeight="1" x14ac:dyDescent="0.25"/>
    <row r="32" spans="8:39" ht="34.9" customHeight="1" x14ac:dyDescent="0.25"/>
    <row r="33" ht="34.9" customHeight="1" x14ac:dyDescent="0.25"/>
  </sheetData>
  <mergeCells count="22">
    <mergeCell ref="H10:AB10"/>
    <mergeCell ref="S22:S24"/>
    <mergeCell ref="U20:V20"/>
    <mergeCell ref="J13:K13"/>
    <mergeCell ref="J20:K20"/>
    <mergeCell ref="H15:H16"/>
    <mergeCell ref="H22:H24"/>
    <mergeCell ref="O13:Q13"/>
    <mergeCell ref="O18:P18"/>
    <mergeCell ref="O20:Q20"/>
    <mergeCell ref="O26:P26"/>
    <mergeCell ref="Z20:AB20"/>
    <mergeCell ref="Z26:AA26"/>
    <mergeCell ref="AD22:AD24"/>
    <mergeCell ref="AK26:AL26"/>
    <mergeCell ref="AF20:AG20"/>
    <mergeCell ref="AK20:AM20"/>
    <mergeCell ref="AD10:AM10"/>
    <mergeCell ref="AF13:AG13"/>
    <mergeCell ref="AK13:AM13"/>
    <mergeCell ref="AD15:AD16"/>
    <mergeCell ref="AK18:AL18"/>
  </mergeCells>
  <conditionalFormatting sqref="C2:D11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showGridLines="0" zoomScale="110" zoomScaleNormal="110" workbookViewId="0">
      <selection activeCell="I11" sqref="I11"/>
    </sheetView>
  </sheetViews>
  <sheetFormatPr defaultRowHeight="15" x14ac:dyDescent="0.25"/>
  <cols>
    <col min="2" max="4" width="14" customWidth="1"/>
    <col min="5" max="5" width="8.85546875" customWidth="1"/>
    <col min="6" max="8" width="11.28515625" customWidth="1"/>
    <col min="9" max="10" width="11.42578125" customWidth="1"/>
    <col min="11" max="11" width="13" customWidth="1"/>
  </cols>
  <sheetData>
    <row r="1" spans="1:11" ht="15" customHeight="1" x14ac:dyDescent="0.3">
      <c r="A1" s="44" t="s">
        <v>13</v>
      </c>
      <c r="B1" s="46" t="s">
        <v>14</v>
      </c>
      <c r="C1" s="17"/>
      <c r="D1" s="17"/>
      <c r="E1" s="17"/>
      <c r="F1" s="17"/>
      <c r="G1" s="17"/>
      <c r="H1" s="17"/>
      <c r="I1" s="17"/>
      <c r="J1" s="17"/>
      <c r="K1" s="95"/>
    </row>
    <row r="2" spans="1:11" ht="15" customHeight="1" thickBot="1" x14ac:dyDescent="0.35">
      <c r="A2" s="45" t="s">
        <v>15</v>
      </c>
      <c r="B2" s="43">
        <f>SUMPRODUCT(H4:H6,K4:K6)/SUM(H4:H6)</f>
        <v>0.68965969522397619</v>
      </c>
      <c r="C2" s="18"/>
      <c r="D2" s="18"/>
      <c r="E2" s="18"/>
      <c r="F2" s="18"/>
      <c r="G2" s="18"/>
      <c r="H2" s="18"/>
      <c r="I2" s="18"/>
      <c r="J2" s="18"/>
      <c r="K2" s="96"/>
    </row>
    <row r="3" spans="1:11" ht="15" customHeight="1" x14ac:dyDescent="0.3">
      <c r="A3" s="32" t="s">
        <v>16</v>
      </c>
      <c r="B3" s="33" t="s">
        <v>14</v>
      </c>
      <c r="C3" s="33" t="s">
        <v>12</v>
      </c>
      <c r="D3" s="33" t="s">
        <v>17</v>
      </c>
      <c r="E3" s="34" t="s">
        <v>16</v>
      </c>
      <c r="F3" s="32" t="s">
        <v>18</v>
      </c>
      <c r="G3" s="33" t="s">
        <v>19</v>
      </c>
      <c r="H3" s="34" t="s">
        <v>20</v>
      </c>
      <c r="I3" s="32" t="s">
        <v>21</v>
      </c>
      <c r="J3" s="34" t="s">
        <v>22</v>
      </c>
      <c r="K3" s="35" t="s">
        <v>23</v>
      </c>
    </row>
    <row r="4" spans="1:11" ht="15" customHeight="1" x14ac:dyDescent="0.3">
      <c r="A4" s="19" t="s">
        <v>6</v>
      </c>
      <c r="B4" s="20" t="s">
        <v>3</v>
      </c>
      <c r="C4" s="20"/>
      <c r="D4" s="20"/>
      <c r="E4" s="21" t="s">
        <v>3</v>
      </c>
      <c r="F4" s="19">
        <f>DCOUNT(Data!$A$1:$E$11,"ID",'Split 1'!A3:D4)</f>
        <v>3</v>
      </c>
      <c r="G4" s="20">
        <f>DCOUNT(Data!$A$1:$E$11,"ID",'Split 1'!B3:E4)</f>
        <v>0</v>
      </c>
      <c r="H4" s="21">
        <f>SUM(F4:G4)</f>
        <v>3</v>
      </c>
      <c r="I4" s="19">
        <f>IF(F4=0,0,(F4/$H4)*LOG(F4/$H4,2))</f>
        <v>0</v>
      </c>
      <c r="J4" s="21">
        <f>IF(G4=0,0,(G4/$H4)*LOG(G4/$H4,2))</f>
        <v>0</v>
      </c>
      <c r="K4" s="22">
        <f>-SUM(I4:J4)</f>
        <v>0</v>
      </c>
    </row>
    <row r="5" spans="1:11" ht="15" customHeight="1" x14ac:dyDescent="0.3">
      <c r="A5" s="36" t="s">
        <v>16</v>
      </c>
      <c r="B5" s="37" t="s">
        <v>14</v>
      </c>
      <c r="C5" s="37" t="s">
        <v>12</v>
      </c>
      <c r="D5" s="37" t="s">
        <v>17</v>
      </c>
      <c r="E5" s="38" t="s">
        <v>16</v>
      </c>
      <c r="F5" s="39"/>
      <c r="G5" s="40"/>
      <c r="H5" s="41"/>
      <c r="I5" s="39"/>
      <c r="J5" s="41"/>
      <c r="K5" s="42"/>
    </row>
    <row r="6" spans="1:11" ht="15" customHeight="1" thickBot="1" x14ac:dyDescent="0.35">
      <c r="A6" s="23" t="s">
        <v>6</v>
      </c>
      <c r="B6" s="24" t="s">
        <v>6</v>
      </c>
      <c r="C6" s="24"/>
      <c r="D6" s="24"/>
      <c r="E6" s="25" t="s">
        <v>3</v>
      </c>
      <c r="F6" s="23">
        <f>DCOUNT(Data!$A$1:$E$11,"ID",'Split 1'!A5:D6)</f>
        <v>4</v>
      </c>
      <c r="G6" s="24">
        <f>DCOUNT(Data!$A$1:$E$11,"ID",'Split 1'!B5:E6)</f>
        <v>3</v>
      </c>
      <c r="H6" s="25">
        <f>SUM(F6:G6)</f>
        <v>7</v>
      </c>
      <c r="I6" s="26">
        <f>IF(F6=0,0,(F6/$H6)*LOG(F6/$H6,2))</f>
        <v>-0.46134566974720242</v>
      </c>
      <c r="J6" s="27">
        <f>IF(G6=0,0,(G6/$H6)*LOG(G6/$H6,2))</f>
        <v>-0.52388246628704915</v>
      </c>
      <c r="K6" s="28">
        <f>-SUM(I6:J6)</f>
        <v>0.98522813603425163</v>
      </c>
    </row>
    <row r="7" spans="1:11" ht="15" customHeight="1" thickBot="1" x14ac:dyDescent="0.35"/>
    <row r="8" spans="1:11" ht="15" customHeight="1" x14ac:dyDescent="0.3">
      <c r="A8" s="44" t="s">
        <v>13</v>
      </c>
      <c r="B8" s="46" t="s">
        <v>12</v>
      </c>
      <c r="C8" s="17"/>
      <c r="D8" s="17"/>
      <c r="E8" s="17"/>
      <c r="F8" s="17"/>
      <c r="G8" s="17"/>
      <c r="H8" s="17"/>
      <c r="I8" s="17"/>
      <c r="J8" s="17"/>
      <c r="K8" s="95"/>
    </row>
    <row r="9" spans="1:11" ht="15" customHeight="1" thickBot="1" x14ac:dyDescent="0.35">
      <c r="A9" s="60" t="s">
        <v>15</v>
      </c>
      <c r="B9" s="61">
        <f>SUMPRODUCT(H11:H15,K11:K15)/SUM(H11:H15)</f>
        <v>0.6</v>
      </c>
      <c r="C9" s="62"/>
      <c r="D9" s="62"/>
      <c r="E9" s="62"/>
      <c r="F9" s="62"/>
      <c r="G9" s="62"/>
      <c r="H9" s="62"/>
      <c r="I9" s="62"/>
      <c r="J9" s="62"/>
      <c r="K9" s="97"/>
    </row>
    <row r="10" spans="1:11" ht="15" customHeight="1" x14ac:dyDescent="0.3">
      <c r="A10" s="32" t="s">
        <v>16</v>
      </c>
      <c r="B10" s="33" t="s">
        <v>14</v>
      </c>
      <c r="C10" s="33" t="s">
        <v>12</v>
      </c>
      <c r="D10" s="33" t="s">
        <v>17</v>
      </c>
      <c r="E10" s="34" t="s">
        <v>16</v>
      </c>
      <c r="F10" s="32" t="s">
        <v>18</v>
      </c>
      <c r="G10" s="33" t="s">
        <v>19</v>
      </c>
      <c r="H10" s="34" t="s">
        <v>20</v>
      </c>
      <c r="I10" s="32" t="s">
        <v>21</v>
      </c>
      <c r="J10" s="34" t="s">
        <v>22</v>
      </c>
      <c r="K10" s="35" t="s">
        <v>23</v>
      </c>
    </row>
    <row r="11" spans="1:11" ht="15" customHeight="1" x14ac:dyDescent="0.3">
      <c r="A11" s="19" t="s">
        <v>6</v>
      </c>
      <c r="B11" s="20"/>
      <c r="C11" s="20" t="s">
        <v>4</v>
      </c>
      <c r="D11" s="20"/>
      <c r="E11" s="21" t="s">
        <v>3</v>
      </c>
      <c r="F11" s="19">
        <f>DCOUNT(Data!$A$1:$E$11,"ID",'Split 1'!A10:D11)</f>
        <v>2</v>
      </c>
      <c r="G11" s="20">
        <f>DCOUNT(Data!$A$1:$E$11,"ID",'Split 1'!B10:E11)</f>
        <v>2</v>
      </c>
      <c r="H11" s="21">
        <f>SUM(F11:G11)</f>
        <v>4</v>
      </c>
      <c r="I11" s="19">
        <f>IF(F11=0,0,(F11/$H11)*LOG(F11/$H11,2))</f>
        <v>-0.5</v>
      </c>
      <c r="J11" s="21">
        <f>IF(G11=0,0,(G11/$H11)*LOG(G11/$H11,2))</f>
        <v>-0.5</v>
      </c>
      <c r="K11" s="22">
        <f>-SUM(I11:J11)</f>
        <v>1</v>
      </c>
    </row>
    <row r="12" spans="1:11" ht="15" customHeight="1" x14ac:dyDescent="0.3">
      <c r="A12" s="36" t="s">
        <v>16</v>
      </c>
      <c r="B12" s="37" t="s">
        <v>14</v>
      </c>
      <c r="C12" s="37" t="s">
        <v>12</v>
      </c>
      <c r="D12" s="37" t="s">
        <v>17</v>
      </c>
      <c r="E12" s="38" t="s">
        <v>16</v>
      </c>
      <c r="F12" s="39"/>
      <c r="G12" s="40"/>
      <c r="H12" s="41"/>
      <c r="I12" s="39"/>
      <c r="J12" s="41"/>
      <c r="K12" s="42"/>
    </row>
    <row r="13" spans="1:11" ht="15" customHeight="1" x14ac:dyDescent="0.3">
      <c r="A13" s="29" t="s">
        <v>6</v>
      </c>
      <c r="B13" s="30"/>
      <c r="C13" s="30" t="s">
        <v>7</v>
      </c>
      <c r="D13" s="30"/>
      <c r="E13" s="31" t="s">
        <v>3</v>
      </c>
      <c r="F13" s="29">
        <f>DCOUNT(Data!$A$1:$E$11,"ID",'Split 1'!A12:D13)</f>
        <v>4</v>
      </c>
      <c r="G13" s="30">
        <f>DCOUNT(Data!$A$1:$E$11,"ID",'Split 1'!B12:E13)</f>
        <v>0</v>
      </c>
      <c r="H13" s="31">
        <f>SUM(F13:G13)</f>
        <v>4</v>
      </c>
      <c r="I13" s="63">
        <f>IF(F13=0,0,(F13/$H13)*LOG(F13/$H13,2))</f>
        <v>0</v>
      </c>
      <c r="J13" s="64">
        <f>IF(G13=0,0,(G13/$H13)*LOG(G13/$H13,2))</f>
        <v>0</v>
      </c>
      <c r="K13" s="65">
        <f>-SUM(I13:J13)</f>
        <v>0</v>
      </c>
    </row>
    <row r="14" spans="1:11" ht="15" customHeight="1" x14ac:dyDescent="0.3">
      <c r="A14" s="47" t="s">
        <v>16</v>
      </c>
      <c r="B14" s="48" t="s">
        <v>14</v>
      </c>
      <c r="C14" s="48" t="s">
        <v>12</v>
      </c>
      <c r="D14" s="48" t="s">
        <v>17</v>
      </c>
      <c r="E14" s="49" t="s">
        <v>16</v>
      </c>
      <c r="F14" s="50"/>
      <c r="G14" s="51"/>
      <c r="H14" s="52"/>
      <c r="I14" s="50"/>
      <c r="J14" s="52"/>
      <c r="K14" s="53"/>
    </row>
    <row r="15" spans="1:11" ht="15" customHeight="1" thickBot="1" x14ac:dyDescent="0.35">
      <c r="A15" s="54" t="s">
        <v>6</v>
      </c>
      <c r="B15" s="55"/>
      <c r="C15" s="55" t="s">
        <v>10</v>
      </c>
      <c r="D15" s="55"/>
      <c r="E15" s="56" t="s">
        <v>3</v>
      </c>
      <c r="F15" s="54">
        <f>DCOUNT(Data!$A$1:$E$11,"ID",'Split 1'!A14:D15)</f>
        <v>1</v>
      </c>
      <c r="G15" s="55">
        <f>DCOUNT(Data!$A$1:$E$11,"ID",'Split 1'!B14:E15)</f>
        <v>1</v>
      </c>
      <c r="H15" s="56">
        <f>SUM(F15:G15)</f>
        <v>2</v>
      </c>
      <c r="I15" s="57">
        <f>IF(F15=0,0,(F15/$H15)*LOG(F15/$H15,2))</f>
        <v>-0.5</v>
      </c>
      <c r="J15" s="58">
        <f>IF(G15=0,0,(G15/$H15)*LOG(G15/$H15,2))</f>
        <v>-0.5</v>
      </c>
      <c r="K15" s="59">
        <f>-SUM(I15:J15)</f>
        <v>1</v>
      </c>
    </row>
    <row r="16" spans="1:11" ht="15" customHeight="1" thickBot="1" x14ac:dyDescent="0.35"/>
    <row r="17" spans="1:11" ht="15" customHeight="1" x14ac:dyDescent="0.3">
      <c r="A17" s="44" t="s">
        <v>13</v>
      </c>
      <c r="B17" s="46" t="s">
        <v>17</v>
      </c>
      <c r="C17" s="17"/>
      <c r="D17" s="17"/>
      <c r="E17" s="17"/>
      <c r="F17" s="17"/>
      <c r="G17" s="17"/>
      <c r="H17" s="17"/>
      <c r="I17" s="17"/>
      <c r="J17" s="17"/>
      <c r="K17" s="95"/>
    </row>
    <row r="18" spans="1:11" ht="15" customHeight="1" thickBot="1" x14ac:dyDescent="0.35">
      <c r="A18" s="60" t="s">
        <v>15</v>
      </c>
      <c r="B18" s="94">
        <f>SUMPRODUCT(H20:H24,K20:K24)/SUM(H20:H24)</f>
        <v>0.32451124978365314</v>
      </c>
      <c r="C18" s="62"/>
      <c r="D18" s="62"/>
      <c r="E18" s="62"/>
      <c r="F18" s="62"/>
      <c r="G18" s="62"/>
      <c r="H18" s="62"/>
      <c r="I18" s="62"/>
      <c r="J18" s="62"/>
      <c r="K18" s="97"/>
    </row>
    <row r="19" spans="1:11" ht="15" customHeight="1" x14ac:dyDescent="0.3">
      <c r="A19" s="32" t="s">
        <v>16</v>
      </c>
      <c r="B19" s="33" t="s">
        <v>14</v>
      </c>
      <c r="C19" s="33" t="s">
        <v>12</v>
      </c>
      <c r="D19" s="33" t="s">
        <v>17</v>
      </c>
      <c r="E19" s="34" t="s">
        <v>16</v>
      </c>
      <c r="F19" s="32" t="s">
        <v>18</v>
      </c>
      <c r="G19" s="33" t="s">
        <v>19</v>
      </c>
      <c r="H19" s="34" t="s">
        <v>20</v>
      </c>
      <c r="I19" s="32" t="s">
        <v>21</v>
      </c>
      <c r="J19" s="34" t="s">
        <v>22</v>
      </c>
      <c r="K19" s="35" t="s">
        <v>23</v>
      </c>
    </row>
    <row r="20" spans="1:11" ht="15" customHeight="1" x14ac:dyDescent="0.3">
      <c r="A20" s="19" t="s">
        <v>6</v>
      </c>
      <c r="B20" s="20"/>
      <c r="C20" s="20"/>
      <c r="D20" s="20" t="s">
        <v>9</v>
      </c>
      <c r="E20" s="21" t="s">
        <v>3</v>
      </c>
      <c r="F20" s="19">
        <f>DCOUNT(Data!$A$1:$E$11,"ID",'Split 1'!A19:D20)</f>
        <v>3</v>
      </c>
      <c r="G20" s="20">
        <f>DCOUNT(Data!$A$1:$E$11,"ID",'Split 1'!B19:E20)</f>
        <v>0</v>
      </c>
      <c r="H20" s="21">
        <f>SUM(F20:G20)</f>
        <v>3</v>
      </c>
      <c r="I20" s="19">
        <f>IF(F20=0,0,(F20/$H20)*LOG(F20/$H20,2))</f>
        <v>0</v>
      </c>
      <c r="J20" s="21">
        <f>IF(G20=0,0,(G20/$H20)*LOG(G20/$H20,2))</f>
        <v>0</v>
      </c>
      <c r="K20" s="22">
        <f>-SUM(I20:J20)</f>
        <v>0</v>
      </c>
    </row>
    <row r="21" spans="1:11" ht="15" customHeight="1" x14ac:dyDescent="0.3">
      <c r="A21" s="36" t="s">
        <v>16</v>
      </c>
      <c r="B21" s="37" t="s">
        <v>14</v>
      </c>
      <c r="C21" s="37" t="s">
        <v>12</v>
      </c>
      <c r="D21" s="37" t="s">
        <v>17</v>
      </c>
      <c r="E21" s="38" t="s">
        <v>16</v>
      </c>
      <c r="F21" s="39"/>
      <c r="G21" s="40"/>
      <c r="H21" s="41"/>
      <c r="I21" s="39"/>
      <c r="J21" s="41"/>
      <c r="K21" s="42"/>
    </row>
    <row r="22" spans="1:11" ht="15" customHeight="1" x14ac:dyDescent="0.3">
      <c r="A22" s="29" t="s">
        <v>6</v>
      </c>
      <c r="B22" s="30"/>
      <c r="C22" s="30"/>
      <c r="D22" s="30" t="s">
        <v>8</v>
      </c>
      <c r="E22" s="31" t="s">
        <v>3</v>
      </c>
      <c r="F22" s="29">
        <f>DCOUNT(Data!$A$1:$E$11,"ID",'Split 1'!A21:D22)</f>
        <v>1</v>
      </c>
      <c r="G22" s="30">
        <f>DCOUNT(Data!$A$1:$E$11,"ID",'Split 1'!B21:E22)</f>
        <v>3</v>
      </c>
      <c r="H22" s="31">
        <f>SUM(F22:G22)</f>
        <v>4</v>
      </c>
      <c r="I22" s="63">
        <f>IF(F22=0,0,(F22/$H22)*LOG(F22/$H22,2))</f>
        <v>-0.5</v>
      </c>
      <c r="J22" s="64">
        <f>IF(G22=0,0,(G22/$H22)*LOG(G22/$H22,2))</f>
        <v>-0.31127812445913283</v>
      </c>
      <c r="K22" s="65">
        <f>-SUM(I22:J22)</f>
        <v>0.81127812445913283</v>
      </c>
    </row>
    <row r="23" spans="1:11" ht="15" customHeight="1" x14ac:dyDescent="0.3">
      <c r="A23" s="47" t="s">
        <v>16</v>
      </c>
      <c r="B23" s="48" t="s">
        <v>14</v>
      </c>
      <c r="C23" s="48" t="s">
        <v>12</v>
      </c>
      <c r="D23" s="48" t="s">
        <v>17</v>
      </c>
      <c r="E23" s="49" t="s">
        <v>16</v>
      </c>
      <c r="F23" s="50"/>
      <c r="G23" s="51"/>
      <c r="H23" s="52"/>
      <c r="I23" s="50"/>
      <c r="J23" s="52"/>
      <c r="K23" s="53"/>
    </row>
    <row r="24" spans="1:11" ht="15" customHeight="1" thickBot="1" x14ac:dyDescent="0.3">
      <c r="A24" s="54" t="s">
        <v>6</v>
      </c>
      <c r="B24" s="55"/>
      <c r="C24" s="55"/>
      <c r="D24" s="55" t="s">
        <v>5</v>
      </c>
      <c r="E24" s="56" t="s">
        <v>3</v>
      </c>
      <c r="F24" s="54">
        <f>DCOUNT(Data!$A$1:$E$11,"ID",'Split 1'!A23:D24)</f>
        <v>3</v>
      </c>
      <c r="G24" s="55">
        <f>DCOUNT(Data!$A$1:$E$11,"ID",'Split 1'!B23:E24)</f>
        <v>0</v>
      </c>
      <c r="H24" s="56">
        <f>SUM(F24:G24)</f>
        <v>3</v>
      </c>
      <c r="I24" s="57">
        <f>IF(F24=0,0,(F24/$H24)*LOG(F24/$H24,2))</f>
        <v>0</v>
      </c>
      <c r="J24" s="58">
        <f>IF(G24=0,0,(G24/$H24)*LOG(G24/$H24,2))</f>
        <v>0</v>
      </c>
      <c r="K24" s="59">
        <f>-SUM(I24:J24)</f>
        <v>0</v>
      </c>
    </row>
    <row r="26" spans="1:11" x14ac:dyDescent="0.25">
      <c r="K26" s="124"/>
    </row>
    <row r="28" spans="1:11" x14ac:dyDescent="0.25">
      <c r="B28" s="123"/>
      <c r="D28" s="125"/>
    </row>
    <row r="29" spans="1:11" x14ac:dyDescent="0.25">
      <c r="B29" s="123"/>
      <c r="D29" s="125"/>
    </row>
    <row r="30" spans="1:11" x14ac:dyDescent="0.25">
      <c r="B30" s="123"/>
      <c r="D30" s="125"/>
    </row>
    <row r="32" spans="1:11" x14ac:dyDescent="0.25">
      <c r="D32" s="1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C18" sqref="C18"/>
    </sheetView>
  </sheetViews>
  <sheetFormatPr defaultRowHeight="15" x14ac:dyDescent="0.25"/>
  <cols>
    <col min="2" max="4" width="14" customWidth="1"/>
    <col min="5" max="5" width="8.85546875" customWidth="1"/>
    <col min="6" max="8" width="11.28515625" customWidth="1"/>
    <col min="9" max="11" width="11.42578125" customWidth="1"/>
  </cols>
  <sheetData>
    <row r="1" spans="1:11" ht="21" customHeight="1" x14ac:dyDescent="0.3">
      <c r="A1" s="44" t="s">
        <v>13</v>
      </c>
      <c r="B1" s="66" t="s">
        <v>24</v>
      </c>
      <c r="C1" s="17"/>
      <c r="D1" s="17"/>
      <c r="E1" s="17"/>
      <c r="F1" s="17"/>
      <c r="G1" s="17"/>
      <c r="H1" s="17"/>
      <c r="I1" s="17"/>
      <c r="J1" s="17"/>
      <c r="K1" s="17"/>
    </row>
    <row r="2" spans="1:11" ht="21" customHeight="1" thickBot="1" x14ac:dyDescent="0.35">
      <c r="A2" s="45" t="s">
        <v>15</v>
      </c>
      <c r="B2" s="43">
        <f>SUMPRODUCT(H4:H6,K4:K6)/SUM(H4:H6)</f>
        <v>0.81127812445913283</v>
      </c>
      <c r="C2" s="18"/>
      <c r="D2" s="18"/>
      <c r="E2" s="18"/>
      <c r="F2" s="18"/>
      <c r="G2" s="18"/>
      <c r="H2" s="18"/>
      <c r="I2" s="18"/>
      <c r="J2" s="18"/>
      <c r="K2" s="18"/>
    </row>
    <row r="3" spans="1:11" ht="26.45" customHeight="1" x14ac:dyDescent="0.3">
      <c r="A3" s="32" t="s">
        <v>16</v>
      </c>
      <c r="B3" s="33" t="s">
        <v>14</v>
      </c>
      <c r="C3" s="33" t="s">
        <v>12</v>
      </c>
      <c r="D3" s="33" t="s">
        <v>17</v>
      </c>
      <c r="E3" s="34" t="s">
        <v>16</v>
      </c>
      <c r="F3" s="32" t="s">
        <v>18</v>
      </c>
      <c r="G3" s="33" t="s">
        <v>19</v>
      </c>
      <c r="H3" s="34" t="s">
        <v>20</v>
      </c>
      <c r="I3" s="32" t="s">
        <v>21</v>
      </c>
      <c r="J3" s="34" t="s">
        <v>22</v>
      </c>
      <c r="K3" s="35" t="s">
        <v>23</v>
      </c>
    </row>
    <row r="4" spans="1:11" ht="26.45" customHeight="1" x14ac:dyDescent="0.3">
      <c r="A4" s="19" t="s">
        <v>6</v>
      </c>
      <c r="B4" s="20" t="s">
        <v>3</v>
      </c>
      <c r="C4" s="20"/>
      <c r="D4" s="20" t="s">
        <v>8</v>
      </c>
      <c r="E4" s="21" t="s">
        <v>3</v>
      </c>
      <c r="F4" s="19">
        <f>DCOUNT(Data!$A$1:$E$11,"ID",'Split 2'!A3:D4)</f>
        <v>0</v>
      </c>
      <c r="G4" s="20">
        <f>DCOUNT(Data!$A$1:$E$11,"ID",'Split 2'!B3:E4)</f>
        <v>0</v>
      </c>
      <c r="H4" s="21">
        <f>SUM(F4:G4)</f>
        <v>0</v>
      </c>
      <c r="I4" s="19">
        <f>IF(F4=0,0,(F4/$H4)*LOG(F4/$H4,2))</f>
        <v>0</v>
      </c>
      <c r="J4" s="21">
        <f>IF(G4=0,0,(G4/$H4)*LOG(G4/$H4,2))</f>
        <v>0</v>
      </c>
      <c r="K4" s="22">
        <f>-SUM(I4:J4)</f>
        <v>0</v>
      </c>
    </row>
    <row r="5" spans="1:11" ht="26.45" customHeight="1" x14ac:dyDescent="0.3">
      <c r="A5" s="36" t="s">
        <v>16</v>
      </c>
      <c r="B5" s="37" t="s">
        <v>14</v>
      </c>
      <c r="C5" s="37" t="s">
        <v>12</v>
      </c>
      <c r="D5" s="37" t="s">
        <v>17</v>
      </c>
      <c r="E5" s="38" t="s">
        <v>16</v>
      </c>
      <c r="F5" s="39"/>
      <c r="G5" s="40"/>
      <c r="H5" s="41"/>
      <c r="I5" s="39"/>
      <c r="J5" s="41"/>
      <c r="K5" s="42"/>
    </row>
    <row r="6" spans="1:11" ht="26.45" customHeight="1" thickBot="1" x14ac:dyDescent="0.35">
      <c r="A6" s="23" t="s">
        <v>6</v>
      </c>
      <c r="B6" s="24" t="s">
        <v>6</v>
      </c>
      <c r="C6" s="24"/>
      <c r="D6" s="24" t="s">
        <v>8</v>
      </c>
      <c r="E6" s="25" t="s">
        <v>3</v>
      </c>
      <c r="F6" s="23">
        <f>DCOUNT(Data!$A$1:$E$11,"ID",'Split 2'!A5:D6)</f>
        <v>1</v>
      </c>
      <c r="G6" s="24">
        <f>DCOUNT(Data!$A$1:$E$11,"ID",'Split 2'!B5:E6)</f>
        <v>3</v>
      </c>
      <c r="H6" s="25">
        <f>SUM(F6:G6)</f>
        <v>4</v>
      </c>
      <c r="I6" s="26">
        <f>IF(F6=0,0,(F6/$H6)*LOG(F6/$H6,2))</f>
        <v>-0.5</v>
      </c>
      <c r="J6" s="27">
        <f>IF(G6=0,0,(G6/$H6)*LOG(G6/$H6,2))</f>
        <v>-0.31127812445913283</v>
      </c>
      <c r="K6" s="28">
        <f>-SUM(I6:J6)</f>
        <v>0.81127812445913283</v>
      </c>
    </row>
    <row r="7" spans="1:11" thickBot="1" x14ac:dyDescent="0.35"/>
    <row r="8" spans="1:11" ht="24.6" customHeight="1" x14ac:dyDescent="0.3">
      <c r="A8" s="44" t="s">
        <v>13</v>
      </c>
      <c r="B8" s="66" t="s">
        <v>25</v>
      </c>
      <c r="C8" s="17"/>
      <c r="D8" s="17"/>
      <c r="E8" s="17"/>
      <c r="F8" s="17"/>
      <c r="G8" s="17"/>
      <c r="H8" s="17"/>
      <c r="I8" s="17"/>
      <c r="J8" s="17"/>
      <c r="K8" s="17"/>
    </row>
    <row r="9" spans="1:11" ht="24.6" customHeight="1" thickBot="1" x14ac:dyDescent="0.35">
      <c r="A9" s="60" t="s">
        <v>15</v>
      </c>
      <c r="B9" s="94">
        <f>SUMPRODUCT(H11:H15,K11:K15)/SUM(H11:H15)</f>
        <v>0</v>
      </c>
      <c r="C9" s="62"/>
      <c r="D9" s="62"/>
      <c r="E9" s="62"/>
      <c r="F9" s="62"/>
      <c r="G9" s="62"/>
      <c r="H9" s="62"/>
      <c r="I9" s="62"/>
      <c r="J9" s="62"/>
      <c r="K9" s="62"/>
    </row>
    <row r="10" spans="1:11" ht="23.45" customHeight="1" x14ac:dyDescent="0.3">
      <c r="A10" s="32" t="s">
        <v>16</v>
      </c>
      <c r="B10" s="33" t="s">
        <v>14</v>
      </c>
      <c r="C10" s="33" t="s">
        <v>12</v>
      </c>
      <c r="D10" s="33" t="s">
        <v>17</v>
      </c>
      <c r="E10" s="34" t="s">
        <v>16</v>
      </c>
      <c r="F10" s="32" t="s">
        <v>18</v>
      </c>
      <c r="G10" s="33" t="s">
        <v>19</v>
      </c>
      <c r="H10" s="34" t="s">
        <v>20</v>
      </c>
      <c r="I10" s="32" t="s">
        <v>21</v>
      </c>
      <c r="J10" s="34" t="s">
        <v>22</v>
      </c>
      <c r="K10" s="35" t="s">
        <v>23</v>
      </c>
    </row>
    <row r="11" spans="1:11" ht="23.45" customHeight="1" x14ac:dyDescent="0.3">
      <c r="A11" s="19" t="s">
        <v>6</v>
      </c>
      <c r="B11" s="20"/>
      <c r="C11" s="20" t="s">
        <v>4</v>
      </c>
      <c r="D11" s="20" t="s">
        <v>8</v>
      </c>
      <c r="E11" s="21" t="s">
        <v>3</v>
      </c>
      <c r="F11" s="19">
        <f>DCOUNT(Data!$A$1:$E$11,"ID",'Split 2'!A10:D11)</f>
        <v>0</v>
      </c>
      <c r="G11" s="20">
        <f>DCOUNT(Data!$A$1:$E$11,"ID",'Split 2'!B10:E11)</f>
        <v>2</v>
      </c>
      <c r="H11" s="21">
        <f>SUM(F11:G11)</f>
        <v>2</v>
      </c>
      <c r="I11" s="19">
        <f>IF(F11=0,0,(F11/$H11)*LOG(F11/$H11,2))</f>
        <v>0</v>
      </c>
      <c r="J11" s="21">
        <f>IF(G11=0,0,(G11/$H11)*LOG(G11/$H11,2))</f>
        <v>0</v>
      </c>
      <c r="K11" s="22">
        <f>-SUM(I11:J11)</f>
        <v>0</v>
      </c>
    </row>
    <row r="12" spans="1:11" ht="23.45" customHeight="1" x14ac:dyDescent="0.3">
      <c r="A12" s="36" t="s">
        <v>16</v>
      </c>
      <c r="B12" s="37" t="s">
        <v>14</v>
      </c>
      <c r="C12" s="37" t="s">
        <v>12</v>
      </c>
      <c r="D12" s="37" t="s">
        <v>17</v>
      </c>
      <c r="E12" s="38" t="s">
        <v>16</v>
      </c>
      <c r="F12" s="39"/>
      <c r="G12" s="40"/>
      <c r="H12" s="41"/>
      <c r="I12" s="39"/>
      <c r="J12" s="41"/>
      <c r="K12" s="42"/>
    </row>
    <row r="13" spans="1:11" ht="23.45" customHeight="1" x14ac:dyDescent="0.3">
      <c r="A13" s="29" t="s">
        <v>6</v>
      </c>
      <c r="B13" s="30"/>
      <c r="C13" s="30" t="s">
        <v>7</v>
      </c>
      <c r="D13" s="30" t="s">
        <v>8</v>
      </c>
      <c r="E13" s="31" t="s">
        <v>3</v>
      </c>
      <c r="F13" s="29">
        <f>DCOUNT(Data!$A$1:$E$11,"ID",'Split 2'!A12:D13)</f>
        <v>1</v>
      </c>
      <c r="G13" s="30">
        <f>DCOUNT(Data!$A$1:$E$11,"ID",'Split 2'!B12:E13)</f>
        <v>0</v>
      </c>
      <c r="H13" s="31">
        <f>SUM(F13:G13)</f>
        <v>1</v>
      </c>
      <c r="I13" s="63">
        <f>IF(F13=0,0,(F13/$H13)*LOG(F13/$H13,2))</f>
        <v>0</v>
      </c>
      <c r="J13" s="64">
        <f>IF(G13=0,0,(G13/$H13)*LOG(G13/$H13,2))</f>
        <v>0</v>
      </c>
      <c r="K13" s="65">
        <f>-SUM(I13:J13)</f>
        <v>0</v>
      </c>
    </row>
    <row r="14" spans="1:11" ht="23.45" customHeight="1" x14ac:dyDescent="0.3">
      <c r="A14" s="47" t="s">
        <v>16</v>
      </c>
      <c r="B14" s="48" t="s">
        <v>14</v>
      </c>
      <c r="C14" s="48" t="s">
        <v>12</v>
      </c>
      <c r="D14" s="48" t="s">
        <v>17</v>
      </c>
      <c r="E14" s="49" t="s">
        <v>16</v>
      </c>
      <c r="F14" s="50"/>
      <c r="G14" s="51"/>
      <c r="H14" s="52"/>
      <c r="I14" s="50"/>
      <c r="J14" s="52"/>
      <c r="K14" s="53"/>
    </row>
    <row r="15" spans="1:11" ht="23.45" customHeight="1" thickBot="1" x14ac:dyDescent="0.35">
      <c r="A15" s="54" t="s">
        <v>6</v>
      </c>
      <c r="B15" s="55"/>
      <c r="C15" s="55" t="s">
        <v>10</v>
      </c>
      <c r="D15" s="55" t="s">
        <v>8</v>
      </c>
      <c r="E15" s="56" t="s">
        <v>3</v>
      </c>
      <c r="F15" s="54">
        <f>DCOUNT(Data!$A$1:$E$11,"ID",'Split 2'!A14:D15)</f>
        <v>0</v>
      </c>
      <c r="G15" s="55">
        <f>DCOUNT(Data!$A$1:$E$11,"ID",'Split 2'!B14:E15)</f>
        <v>1</v>
      </c>
      <c r="H15" s="56">
        <f>SUM(F15:G15)</f>
        <v>1</v>
      </c>
      <c r="I15" s="57">
        <f>IF(F15=0,0,(F15/$H15)*LOG(F15/$H15,2))</f>
        <v>0</v>
      </c>
      <c r="J15" s="58">
        <f>IF(G15=0,0,(G15/$H15)*LOG(G15/$H15,2))</f>
        <v>0</v>
      </c>
      <c r="K15" s="59">
        <f>-SUM(I15:J15)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0"/>
  <sheetViews>
    <sheetView showGridLines="0" workbookViewId="0">
      <selection activeCell="C2" sqref="C2"/>
    </sheetView>
  </sheetViews>
  <sheetFormatPr defaultRowHeight="15" x14ac:dyDescent="0.25"/>
  <cols>
    <col min="1" max="1" width="3.42578125" customWidth="1"/>
    <col min="2" max="8" width="12.28515625" customWidth="1"/>
    <col min="9" max="9" width="11.28515625" customWidth="1"/>
    <col min="10" max="10" width="9.140625" customWidth="1"/>
    <col min="11" max="18" width="14.28515625" customWidth="1"/>
  </cols>
  <sheetData>
    <row r="2" spans="2:8" ht="23.25" x14ac:dyDescent="0.35">
      <c r="C2" s="165" t="s">
        <v>53</v>
      </c>
    </row>
    <row r="4" spans="2:8" ht="21.6" customHeight="1" thickBot="1" x14ac:dyDescent="0.3">
      <c r="B4" s="74" t="s">
        <v>35</v>
      </c>
      <c r="C4" s="74"/>
      <c r="D4" s="74">
        <f>MAX(B6:B16)</f>
        <v>10</v>
      </c>
    </row>
    <row r="5" spans="2:8" ht="20.45" customHeight="1" thickBot="1" x14ac:dyDescent="0.35">
      <c r="B5" s="84" t="s">
        <v>26</v>
      </c>
      <c r="C5" s="85" t="s">
        <v>34</v>
      </c>
      <c r="D5" s="85" t="s">
        <v>27</v>
      </c>
      <c r="E5" s="85" t="s">
        <v>28</v>
      </c>
      <c r="F5" s="86" t="s">
        <v>32</v>
      </c>
      <c r="G5" s="86" t="s">
        <v>33</v>
      </c>
      <c r="H5" s="87" t="s">
        <v>23</v>
      </c>
    </row>
    <row r="6" spans="2:8" ht="20.45" customHeight="1" x14ac:dyDescent="0.3">
      <c r="B6" s="79">
        <v>0</v>
      </c>
      <c r="C6" s="80">
        <f t="shared" ref="C6:C16" si="0">$D$4-B6</f>
        <v>10</v>
      </c>
      <c r="D6" s="81">
        <f t="shared" ref="D6:D16" si="1">B6/$D$4</f>
        <v>0</v>
      </c>
      <c r="E6" s="81">
        <f t="shared" ref="E6:E16" si="2">C6/$D$4</f>
        <v>1</v>
      </c>
      <c r="F6" s="82">
        <f>IFERROR(-LOG(D6,2),0)</f>
        <v>0</v>
      </c>
      <c r="G6" s="82">
        <f>IFERROR(-LOG(E6,2),0)</f>
        <v>0</v>
      </c>
      <c r="H6" s="83">
        <f>((D6*F6)+(E6*G6))</f>
        <v>0</v>
      </c>
    </row>
    <row r="7" spans="2:8" ht="20.45" customHeight="1" x14ac:dyDescent="0.3">
      <c r="B7" s="75">
        <v>1</v>
      </c>
      <c r="C7" s="67">
        <f t="shared" si="0"/>
        <v>9</v>
      </c>
      <c r="D7" s="2">
        <f t="shared" si="1"/>
        <v>0.1</v>
      </c>
      <c r="E7" s="2">
        <f t="shared" si="2"/>
        <v>0.9</v>
      </c>
      <c r="F7" s="68">
        <f t="shared" ref="F7:G16" si="3">IFERROR(-LOG(D7,2),0)</f>
        <v>3.3219280948873622</v>
      </c>
      <c r="G7" s="68">
        <f t="shared" si="3"/>
        <v>0.15200309344504997</v>
      </c>
      <c r="H7" s="76">
        <f t="shared" ref="H7:H16" si="4">((D7*F7)+(E7*G7))</f>
        <v>0.46899559358928122</v>
      </c>
    </row>
    <row r="8" spans="2:8" ht="20.45" customHeight="1" x14ac:dyDescent="0.3">
      <c r="B8" s="75">
        <v>2</v>
      </c>
      <c r="C8" s="67">
        <f t="shared" si="0"/>
        <v>8</v>
      </c>
      <c r="D8" s="2">
        <f t="shared" si="1"/>
        <v>0.2</v>
      </c>
      <c r="E8" s="2">
        <f t="shared" si="2"/>
        <v>0.8</v>
      </c>
      <c r="F8" s="68">
        <f t="shared" si="3"/>
        <v>2.3219280948873622</v>
      </c>
      <c r="G8" s="68">
        <f t="shared" si="3"/>
        <v>0.32192809488736229</v>
      </c>
      <c r="H8" s="76">
        <f t="shared" si="4"/>
        <v>0.72192809488736231</v>
      </c>
    </row>
    <row r="9" spans="2:8" ht="20.45" customHeight="1" x14ac:dyDescent="0.3">
      <c r="B9" s="75">
        <v>3</v>
      </c>
      <c r="C9" s="67">
        <f t="shared" si="0"/>
        <v>7</v>
      </c>
      <c r="D9" s="2">
        <f t="shared" si="1"/>
        <v>0.3</v>
      </c>
      <c r="E9" s="2">
        <f t="shared" si="2"/>
        <v>0.7</v>
      </c>
      <c r="F9" s="68">
        <f t="shared" si="3"/>
        <v>1.7369655941662063</v>
      </c>
      <c r="G9" s="68">
        <f t="shared" si="3"/>
        <v>0.51457317282975834</v>
      </c>
      <c r="H9" s="76">
        <f t="shared" si="4"/>
        <v>0.8812908992306927</v>
      </c>
    </row>
    <row r="10" spans="2:8" ht="20.45" customHeight="1" x14ac:dyDescent="0.3">
      <c r="B10" s="75">
        <v>4</v>
      </c>
      <c r="C10" s="67">
        <f t="shared" si="0"/>
        <v>6</v>
      </c>
      <c r="D10" s="2">
        <f t="shared" si="1"/>
        <v>0.4</v>
      </c>
      <c r="E10" s="2">
        <f t="shared" si="2"/>
        <v>0.6</v>
      </c>
      <c r="F10" s="68">
        <f t="shared" si="3"/>
        <v>1.3219280948873622</v>
      </c>
      <c r="G10" s="68">
        <f t="shared" si="3"/>
        <v>0.73696559416620622</v>
      </c>
      <c r="H10" s="76">
        <f t="shared" si="4"/>
        <v>0.97095059445466858</v>
      </c>
    </row>
    <row r="11" spans="2:8" ht="20.45" customHeight="1" x14ac:dyDescent="0.3">
      <c r="B11" s="75">
        <v>5</v>
      </c>
      <c r="C11" s="67">
        <f t="shared" si="0"/>
        <v>5</v>
      </c>
      <c r="D11" s="2">
        <f t="shared" si="1"/>
        <v>0.5</v>
      </c>
      <c r="E11" s="2">
        <f t="shared" si="2"/>
        <v>0.5</v>
      </c>
      <c r="F11" s="68">
        <f t="shared" si="3"/>
        <v>1</v>
      </c>
      <c r="G11" s="68">
        <f t="shared" si="3"/>
        <v>1</v>
      </c>
      <c r="H11" s="76">
        <f t="shared" si="4"/>
        <v>1</v>
      </c>
    </row>
    <row r="12" spans="2:8" ht="20.45" customHeight="1" x14ac:dyDescent="0.3">
      <c r="B12" s="75">
        <v>6</v>
      </c>
      <c r="C12" s="67">
        <f t="shared" si="0"/>
        <v>4</v>
      </c>
      <c r="D12" s="2">
        <f t="shared" si="1"/>
        <v>0.6</v>
      </c>
      <c r="E12" s="2">
        <f t="shared" si="2"/>
        <v>0.4</v>
      </c>
      <c r="F12" s="68">
        <f t="shared" si="3"/>
        <v>0.73696559416620622</v>
      </c>
      <c r="G12" s="68">
        <f t="shared" si="3"/>
        <v>1.3219280948873622</v>
      </c>
      <c r="H12" s="76">
        <f t="shared" si="4"/>
        <v>0.97095059445466858</v>
      </c>
    </row>
    <row r="13" spans="2:8" ht="20.45" customHeight="1" x14ac:dyDescent="0.3">
      <c r="B13" s="75">
        <v>7</v>
      </c>
      <c r="C13" s="67">
        <f t="shared" si="0"/>
        <v>3</v>
      </c>
      <c r="D13" s="2">
        <f t="shared" si="1"/>
        <v>0.7</v>
      </c>
      <c r="E13" s="2">
        <f t="shared" si="2"/>
        <v>0.3</v>
      </c>
      <c r="F13" s="68">
        <f t="shared" si="3"/>
        <v>0.51457317282975834</v>
      </c>
      <c r="G13" s="68">
        <f t="shared" si="3"/>
        <v>1.7369655941662063</v>
      </c>
      <c r="H13" s="76">
        <f t="shared" si="4"/>
        <v>0.8812908992306927</v>
      </c>
    </row>
    <row r="14" spans="2:8" ht="20.45" customHeight="1" x14ac:dyDescent="0.3">
      <c r="B14" s="75">
        <v>8</v>
      </c>
      <c r="C14" s="67">
        <f t="shared" si="0"/>
        <v>2</v>
      </c>
      <c r="D14" s="2">
        <f t="shared" si="1"/>
        <v>0.8</v>
      </c>
      <c r="E14" s="2">
        <f t="shared" si="2"/>
        <v>0.2</v>
      </c>
      <c r="F14" s="68">
        <f t="shared" si="3"/>
        <v>0.32192809488736229</v>
      </c>
      <c r="G14" s="68">
        <f t="shared" si="3"/>
        <v>2.3219280948873622</v>
      </c>
      <c r="H14" s="76">
        <f t="shared" si="4"/>
        <v>0.72192809488736231</v>
      </c>
    </row>
    <row r="15" spans="2:8" ht="20.45" customHeight="1" x14ac:dyDescent="0.3">
      <c r="B15" s="75">
        <v>9</v>
      </c>
      <c r="C15" s="67">
        <f t="shared" si="0"/>
        <v>1</v>
      </c>
      <c r="D15" s="2">
        <f t="shared" si="1"/>
        <v>0.9</v>
      </c>
      <c r="E15" s="2">
        <f t="shared" si="2"/>
        <v>0.1</v>
      </c>
      <c r="F15" s="68">
        <f t="shared" si="3"/>
        <v>0.15200309344504997</v>
      </c>
      <c r="G15" s="68">
        <f t="shared" si="3"/>
        <v>3.3219280948873622</v>
      </c>
      <c r="H15" s="76">
        <f t="shared" si="4"/>
        <v>0.46899559358928122</v>
      </c>
    </row>
    <row r="16" spans="2:8" ht="20.45" customHeight="1" thickBot="1" x14ac:dyDescent="0.35">
      <c r="B16" s="77">
        <v>10</v>
      </c>
      <c r="C16" s="78">
        <f t="shared" si="0"/>
        <v>0</v>
      </c>
      <c r="D16" s="70">
        <f t="shared" si="1"/>
        <v>1</v>
      </c>
      <c r="E16" s="70">
        <f t="shared" si="2"/>
        <v>0</v>
      </c>
      <c r="F16" s="72">
        <f t="shared" si="3"/>
        <v>0</v>
      </c>
      <c r="G16" s="72">
        <f t="shared" si="3"/>
        <v>0</v>
      </c>
      <c r="H16" s="73">
        <f t="shared" si="4"/>
        <v>0</v>
      </c>
    </row>
    <row r="18" spans="2:8" thickBot="1" x14ac:dyDescent="0.35">
      <c r="C18" s="1"/>
    </row>
    <row r="19" spans="2:8" ht="29.45" thickBot="1" x14ac:dyDescent="0.35">
      <c r="B19" s="84" t="s">
        <v>26</v>
      </c>
      <c r="C19" s="85" t="s">
        <v>34</v>
      </c>
      <c r="D19" s="85" t="s">
        <v>27</v>
      </c>
      <c r="E19" s="85" t="s">
        <v>28</v>
      </c>
      <c r="F19" s="89" t="s">
        <v>37</v>
      </c>
      <c r="G19" s="89" t="s">
        <v>38</v>
      </c>
      <c r="H19" s="88" t="s">
        <v>36</v>
      </c>
    </row>
    <row r="20" spans="2:8" ht="19.899999999999999" customHeight="1" thickBot="1" x14ac:dyDescent="0.35">
      <c r="B20" s="79">
        <v>0</v>
      </c>
      <c r="C20" s="80">
        <f t="shared" ref="C20:C30" si="5">$D$4-B20</f>
        <v>10</v>
      </c>
      <c r="D20" s="81">
        <f t="shared" ref="D20:D30" si="6">B20/$D$4</f>
        <v>0</v>
      </c>
      <c r="E20" s="81">
        <f t="shared" ref="E20:E30" si="7">C20/$D$4</f>
        <v>1</v>
      </c>
      <c r="F20" s="70">
        <f>D20*(1-D20)</f>
        <v>0</v>
      </c>
      <c r="G20" s="70">
        <f>E20*(1-E20)</f>
        <v>0</v>
      </c>
      <c r="H20" s="71">
        <f>F20+G20</f>
        <v>0</v>
      </c>
    </row>
    <row r="21" spans="2:8" ht="19.899999999999999" customHeight="1" thickBot="1" x14ac:dyDescent="0.35">
      <c r="B21" s="75">
        <v>1</v>
      </c>
      <c r="C21" s="67">
        <f t="shared" si="5"/>
        <v>9</v>
      </c>
      <c r="D21" s="2">
        <f t="shared" si="6"/>
        <v>0.1</v>
      </c>
      <c r="E21" s="2">
        <f t="shared" si="7"/>
        <v>0.9</v>
      </c>
      <c r="F21" s="70">
        <f t="shared" ref="F21:F30" si="8">D21*(1-D21)</f>
        <v>9.0000000000000011E-2</v>
      </c>
      <c r="G21" s="70">
        <f t="shared" ref="G21:G30" si="9">E21*(1-E21)</f>
        <v>8.9999999999999983E-2</v>
      </c>
      <c r="H21" s="71">
        <f t="shared" ref="H21:H30" si="10">F21+G21</f>
        <v>0.18</v>
      </c>
    </row>
    <row r="22" spans="2:8" ht="19.899999999999999" customHeight="1" thickBot="1" x14ac:dyDescent="0.35">
      <c r="B22" s="75">
        <v>2</v>
      </c>
      <c r="C22" s="67">
        <f t="shared" si="5"/>
        <v>8</v>
      </c>
      <c r="D22" s="2">
        <f t="shared" si="6"/>
        <v>0.2</v>
      </c>
      <c r="E22" s="2">
        <f t="shared" si="7"/>
        <v>0.8</v>
      </c>
      <c r="F22" s="70">
        <f t="shared" si="8"/>
        <v>0.16000000000000003</v>
      </c>
      <c r="G22" s="70">
        <f t="shared" si="9"/>
        <v>0.15999999999999998</v>
      </c>
      <c r="H22" s="71">
        <f t="shared" si="10"/>
        <v>0.32</v>
      </c>
    </row>
    <row r="23" spans="2:8" ht="19.899999999999999" customHeight="1" thickBot="1" x14ac:dyDescent="0.3">
      <c r="B23" s="75">
        <v>3</v>
      </c>
      <c r="C23" s="67">
        <f t="shared" si="5"/>
        <v>7</v>
      </c>
      <c r="D23" s="2">
        <f t="shared" si="6"/>
        <v>0.3</v>
      </c>
      <c r="E23" s="2">
        <f t="shared" si="7"/>
        <v>0.7</v>
      </c>
      <c r="F23" s="70">
        <f t="shared" si="8"/>
        <v>0.21</v>
      </c>
      <c r="G23" s="70">
        <f t="shared" si="9"/>
        <v>0.21000000000000002</v>
      </c>
      <c r="H23" s="71">
        <f t="shared" si="10"/>
        <v>0.42000000000000004</v>
      </c>
    </row>
    <row r="24" spans="2:8" ht="19.899999999999999" customHeight="1" thickBot="1" x14ac:dyDescent="0.3">
      <c r="B24" s="75">
        <v>4</v>
      </c>
      <c r="C24" s="67">
        <f t="shared" si="5"/>
        <v>6</v>
      </c>
      <c r="D24" s="2">
        <f t="shared" si="6"/>
        <v>0.4</v>
      </c>
      <c r="E24" s="2">
        <f t="shared" si="7"/>
        <v>0.6</v>
      </c>
      <c r="F24" s="70">
        <f t="shared" si="8"/>
        <v>0.24</v>
      </c>
      <c r="G24" s="70">
        <f t="shared" si="9"/>
        <v>0.24</v>
      </c>
      <c r="H24" s="71">
        <f t="shared" si="10"/>
        <v>0.48</v>
      </c>
    </row>
    <row r="25" spans="2:8" ht="19.899999999999999" customHeight="1" thickBot="1" x14ac:dyDescent="0.3">
      <c r="B25" s="75">
        <v>5</v>
      </c>
      <c r="C25" s="67">
        <f t="shared" si="5"/>
        <v>5</v>
      </c>
      <c r="D25" s="2">
        <f t="shared" si="6"/>
        <v>0.5</v>
      </c>
      <c r="E25" s="2">
        <f t="shared" si="7"/>
        <v>0.5</v>
      </c>
      <c r="F25" s="70">
        <f t="shared" si="8"/>
        <v>0.25</v>
      </c>
      <c r="G25" s="70">
        <f t="shared" si="9"/>
        <v>0.25</v>
      </c>
      <c r="H25" s="71">
        <f t="shared" si="10"/>
        <v>0.5</v>
      </c>
    </row>
    <row r="26" spans="2:8" ht="19.899999999999999" customHeight="1" thickBot="1" x14ac:dyDescent="0.3">
      <c r="B26" s="75">
        <v>6</v>
      </c>
      <c r="C26" s="67">
        <f t="shared" si="5"/>
        <v>4</v>
      </c>
      <c r="D26" s="2">
        <f t="shared" si="6"/>
        <v>0.6</v>
      </c>
      <c r="E26" s="2">
        <f t="shared" si="7"/>
        <v>0.4</v>
      </c>
      <c r="F26" s="70">
        <f t="shared" si="8"/>
        <v>0.24</v>
      </c>
      <c r="G26" s="70">
        <f t="shared" si="9"/>
        <v>0.24</v>
      </c>
      <c r="H26" s="71">
        <f t="shared" si="10"/>
        <v>0.48</v>
      </c>
    </row>
    <row r="27" spans="2:8" ht="19.899999999999999" customHeight="1" thickBot="1" x14ac:dyDescent="0.3">
      <c r="B27" s="75">
        <v>7</v>
      </c>
      <c r="C27" s="67">
        <f t="shared" si="5"/>
        <v>3</v>
      </c>
      <c r="D27" s="2">
        <f t="shared" si="6"/>
        <v>0.7</v>
      </c>
      <c r="E27" s="2">
        <f t="shared" si="7"/>
        <v>0.3</v>
      </c>
      <c r="F27" s="70">
        <f t="shared" si="8"/>
        <v>0.21000000000000002</v>
      </c>
      <c r="G27" s="70">
        <f t="shared" si="9"/>
        <v>0.21</v>
      </c>
      <c r="H27" s="71">
        <f t="shared" si="10"/>
        <v>0.42000000000000004</v>
      </c>
    </row>
    <row r="28" spans="2:8" ht="19.899999999999999" customHeight="1" thickBot="1" x14ac:dyDescent="0.3">
      <c r="B28" s="75">
        <v>8</v>
      </c>
      <c r="C28" s="67">
        <f t="shared" si="5"/>
        <v>2</v>
      </c>
      <c r="D28" s="2">
        <f t="shared" si="6"/>
        <v>0.8</v>
      </c>
      <c r="E28" s="2">
        <f t="shared" si="7"/>
        <v>0.2</v>
      </c>
      <c r="F28" s="70">
        <f t="shared" si="8"/>
        <v>0.15999999999999998</v>
      </c>
      <c r="G28" s="70">
        <f t="shared" si="9"/>
        <v>0.16000000000000003</v>
      </c>
      <c r="H28" s="71">
        <f t="shared" si="10"/>
        <v>0.32</v>
      </c>
    </row>
    <row r="29" spans="2:8" ht="19.899999999999999" customHeight="1" thickBot="1" x14ac:dyDescent="0.3">
      <c r="B29" s="75">
        <v>9</v>
      </c>
      <c r="C29" s="67">
        <f t="shared" si="5"/>
        <v>1</v>
      </c>
      <c r="D29" s="2">
        <f t="shared" si="6"/>
        <v>0.9</v>
      </c>
      <c r="E29" s="2">
        <f t="shared" si="7"/>
        <v>0.1</v>
      </c>
      <c r="F29" s="70">
        <f t="shared" si="8"/>
        <v>8.9999999999999983E-2</v>
      </c>
      <c r="G29" s="70">
        <f t="shared" si="9"/>
        <v>9.0000000000000011E-2</v>
      </c>
      <c r="H29" s="71">
        <f t="shared" si="10"/>
        <v>0.18</v>
      </c>
    </row>
    <row r="30" spans="2:8" ht="19.899999999999999" customHeight="1" thickBot="1" x14ac:dyDescent="0.3">
      <c r="B30" s="77">
        <v>10</v>
      </c>
      <c r="C30" s="78">
        <f t="shared" si="5"/>
        <v>0</v>
      </c>
      <c r="D30" s="70">
        <f t="shared" si="6"/>
        <v>1</v>
      </c>
      <c r="E30" s="70">
        <f t="shared" si="7"/>
        <v>0</v>
      </c>
      <c r="F30" s="70">
        <f t="shared" si="8"/>
        <v>0</v>
      </c>
      <c r="G30" s="70">
        <f t="shared" si="9"/>
        <v>0</v>
      </c>
      <c r="H30" s="71">
        <f t="shared" si="10"/>
        <v>0</v>
      </c>
    </row>
  </sheetData>
  <conditionalFormatting sqref="H6:H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G1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{78FF9173-948E-40AE-957D-5C6B74CCCEE6}</x14:id>
        </ext>
      </extLst>
    </cfRule>
  </conditionalFormatting>
  <conditionalFormatting sqref="H20:H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:G3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{6A4EEAE7-7C12-4E9F-BF10-C331058598EC}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FF9173-948E-40AE-957D-5C6B74CCCE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F6:G16</xm:sqref>
        </x14:conditionalFormatting>
        <x14:conditionalFormatting xmlns:xm="http://schemas.microsoft.com/office/excel/2006/main">
          <x14:cfRule type="dataBar" id="{6A4EEAE7-7C12-4E9F-BF10-C331058598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F20:G30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Shannon Entropy</vt:lpstr>
      <vt:lpstr>Gini</vt:lpstr>
      <vt:lpstr>Algorithm</vt:lpstr>
      <vt:lpstr>Split 1</vt:lpstr>
      <vt:lpstr>Split 2</vt:lpstr>
      <vt:lpstr>Graphics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Collins</dc:creator>
  <cp:lastModifiedBy>Rob Collins</cp:lastModifiedBy>
  <dcterms:created xsi:type="dcterms:W3CDTF">2020-01-04T13:03:13Z</dcterms:created>
  <dcterms:modified xsi:type="dcterms:W3CDTF">2022-01-23T05:24:56Z</dcterms:modified>
</cp:coreProperties>
</file>