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6.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7.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8.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okand\Desktop\Mali Tablolar Analizi\"/>
    </mc:Choice>
  </mc:AlternateContent>
  <xr:revisionPtr revIDLastSave="0" documentId="13_ncr:1_{3D58EA8E-747A-4078-A5E0-0F1F29493E68}" xr6:coauthVersionLast="47" xr6:coauthVersionMax="47" xr10:uidLastSave="{00000000-0000-0000-0000-000000000000}"/>
  <bookViews>
    <workbookView xWindow="-120" yWindow="-120" windowWidth="20730" windowHeight="11160" firstSheet="12" activeTab="15" xr2:uid="{00000000-000D-0000-FFFF-FFFF00000000}"/>
  </bookViews>
  <sheets>
    <sheet name="Froto" sheetId="1" r:id="rId1"/>
    <sheet name="Toaso" sheetId="2" r:id="rId2"/>
    <sheet name="Dikey Analiz" sheetId="3" r:id="rId3"/>
    <sheet name="Yatay Analiz" sheetId="4" r:id="rId4"/>
    <sheet name="Trend Analizi" sheetId="5" r:id="rId5"/>
    <sheet name="Çeyreklik Veriler" sheetId="7" r:id="rId6"/>
    <sheet name="Yıllıklandırılmış Veriler" sheetId="8" r:id="rId7"/>
    <sheet name="Likitide ve Kaldıraç Oranları" sheetId="6" r:id="rId8"/>
    <sheet name="Faliyet Oranları" sheetId="9" r:id="rId9"/>
    <sheet name="Karlılık Oranları" sheetId="10" r:id="rId10"/>
    <sheet name="Büyüme Oranları" sheetId="11" r:id="rId11"/>
    <sheet name="Finansal Performansın Ölçümü" sheetId="12" r:id="rId12"/>
    <sheet name="Maliyet Etkinliği" sheetId="17" r:id="rId13"/>
    <sheet name="Dupond Analizi" sheetId="13" r:id="rId14"/>
    <sheet name="Nakit Akış Analizi" sheetId="14" r:id="rId15"/>
    <sheet name="Değerleme" sheetId="15" r:id="rId16"/>
    <sheet name="Fiyatlar" sheetId="16" r:id="rId17"/>
  </sheets>
  <definedNames>
    <definedName name="_xlnm._FilterDatabase" localSheetId="16" hidden="1">Fiyatlar!$A$1:$C$1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0" i="17" l="1"/>
  <c r="D20" i="17"/>
  <c r="E20" i="17"/>
  <c r="F20" i="17"/>
  <c r="G20" i="17"/>
  <c r="H20" i="17"/>
  <c r="I20" i="17"/>
  <c r="J20" i="17"/>
  <c r="K20" i="17"/>
  <c r="L20" i="17"/>
  <c r="M20" i="17"/>
  <c r="N20" i="17"/>
  <c r="O20" i="17"/>
  <c r="P20" i="17"/>
  <c r="Q20" i="17"/>
  <c r="B20" i="17"/>
  <c r="C19" i="17"/>
  <c r="D19" i="17"/>
  <c r="E19" i="17"/>
  <c r="F19" i="17"/>
  <c r="G19" i="17"/>
  <c r="H19" i="17"/>
  <c r="I19" i="17"/>
  <c r="J19" i="17"/>
  <c r="K19" i="17"/>
  <c r="L19" i="17"/>
  <c r="M19" i="17"/>
  <c r="N19" i="17"/>
  <c r="O19" i="17"/>
  <c r="P19" i="17"/>
  <c r="Q19" i="17"/>
  <c r="B19" i="17"/>
  <c r="C18" i="17"/>
  <c r="D18" i="17"/>
  <c r="E18" i="17"/>
  <c r="F18" i="17"/>
  <c r="G18" i="17"/>
  <c r="H18" i="17"/>
  <c r="I18" i="17"/>
  <c r="J18" i="17"/>
  <c r="K18" i="17"/>
  <c r="L18" i="17"/>
  <c r="M18" i="17"/>
  <c r="N18" i="17"/>
  <c r="O18" i="17"/>
  <c r="P18" i="17"/>
  <c r="Q18" i="17"/>
  <c r="B18" i="17"/>
  <c r="C17" i="17"/>
  <c r="D17" i="17"/>
  <c r="E17" i="17"/>
  <c r="F17" i="17"/>
  <c r="G17" i="17"/>
  <c r="H17" i="17"/>
  <c r="I17" i="17"/>
  <c r="J17" i="17"/>
  <c r="K17" i="17"/>
  <c r="L17" i="17"/>
  <c r="M17" i="17"/>
  <c r="N17" i="17"/>
  <c r="O17" i="17"/>
  <c r="P17" i="17"/>
  <c r="Q17" i="17"/>
  <c r="B17" i="17"/>
  <c r="C16" i="17"/>
  <c r="D16" i="17"/>
  <c r="E16" i="17"/>
  <c r="F16" i="17"/>
  <c r="G16" i="17"/>
  <c r="H16" i="17"/>
  <c r="I16" i="17"/>
  <c r="J16" i="17"/>
  <c r="K16" i="17"/>
  <c r="L16" i="17"/>
  <c r="M16" i="17"/>
  <c r="N16" i="17"/>
  <c r="O16" i="17"/>
  <c r="P16" i="17"/>
  <c r="Q16" i="17"/>
  <c r="B16" i="17"/>
  <c r="C15" i="17"/>
  <c r="D15" i="17"/>
  <c r="E15" i="17"/>
  <c r="F15" i="17"/>
  <c r="G15" i="17"/>
  <c r="H15" i="17"/>
  <c r="I15" i="17"/>
  <c r="J15" i="17"/>
  <c r="K15" i="17"/>
  <c r="L15" i="17"/>
  <c r="M15" i="17"/>
  <c r="N15" i="17"/>
  <c r="O15" i="17"/>
  <c r="P15" i="17"/>
  <c r="Q15" i="17"/>
  <c r="B15" i="17"/>
  <c r="C14" i="17"/>
  <c r="D14" i="17"/>
  <c r="E14" i="17"/>
  <c r="F14" i="17"/>
  <c r="G14" i="17"/>
  <c r="H14" i="17"/>
  <c r="I14" i="17"/>
  <c r="J14" i="17"/>
  <c r="K14" i="17"/>
  <c r="L14" i="17"/>
  <c r="M14" i="17"/>
  <c r="N14" i="17"/>
  <c r="O14" i="17"/>
  <c r="P14" i="17"/>
  <c r="Q14" i="17"/>
  <c r="B14" i="17"/>
  <c r="C13" i="17"/>
  <c r="D13" i="17"/>
  <c r="E13" i="17"/>
  <c r="F13" i="17"/>
  <c r="G13" i="17"/>
  <c r="H13" i="17"/>
  <c r="I13" i="17"/>
  <c r="J13" i="17"/>
  <c r="K13" i="17"/>
  <c r="L13" i="17"/>
  <c r="M13" i="17"/>
  <c r="N13" i="17"/>
  <c r="O13" i="17"/>
  <c r="P13" i="17"/>
  <c r="Q13" i="17"/>
  <c r="B13" i="17"/>
  <c r="C12" i="17"/>
  <c r="D12" i="17"/>
  <c r="E12" i="17"/>
  <c r="F12" i="17"/>
  <c r="G12" i="17"/>
  <c r="H12" i="17"/>
  <c r="I12" i="17"/>
  <c r="J12" i="17"/>
  <c r="K12" i="17"/>
  <c r="L12" i="17"/>
  <c r="M12" i="17"/>
  <c r="N12" i="17"/>
  <c r="O12" i="17"/>
  <c r="P12" i="17"/>
  <c r="Q12" i="17"/>
  <c r="B12" i="17"/>
  <c r="C11" i="17"/>
  <c r="D11" i="17"/>
  <c r="E11" i="17"/>
  <c r="F11" i="17"/>
  <c r="G11" i="17"/>
  <c r="H11" i="17"/>
  <c r="I11" i="17"/>
  <c r="J11" i="17"/>
  <c r="K11" i="17"/>
  <c r="L11" i="17"/>
  <c r="M11" i="17"/>
  <c r="N11" i="17"/>
  <c r="O11" i="17"/>
  <c r="P11" i="17"/>
  <c r="Q11" i="17"/>
  <c r="C10" i="17"/>
  <c r="D10" i="17"/>
  <c r="E10" i="17"/>
  <c r="F10" i="17"/>
  <c r="G10" i="17"/>
  <c r="H10" i="17"/>
  <c r="I10" i="17"/>
  <c r="J10" i="17"/>
  <c r="K10" i="17"/>
  <c r="L10" i="17"/>
  <c r="M10" i="17"/>
  <c r="N10" i="17"/>
  <c r="O10" i="17"/>
  <c r="P10" i="17"/>
  <c r="Q10" i="17"/>
  <c r="C9" i="17"/>
  <c r="D9" i="17"/>
  <c r="E9" i="17"/>
  <c r="F9" i="17"/>
  <c r="G9" i="17"/>
  <c r="H9" i="17"/>
  <c r="I9" i="17"/>
  <c r="J9" i="17"/>
  <c r="K9" i="17"/>
  <c r="L9" i="17"/>
  <c r="M9" i="17"/>
  <c r="N9" i="17"/>
  <c r="O9" i="17"/>
  <c r="P9" i="17"/>
  <c r="Q9" i="17"/>
  <c r="C8" i="17"/>
  <c r="D8" i="17"/>
  <c r="E8" i="17"/>
  <c r="F8" i="17"/>
  <c r="G8" i="17"/>
  <c r="H8" i="17"/>
  <c r="I8" i="17"/>
  <c r="J8" i="17"/>
  <c r="K8" i="17"/>
  <c r="L8" i="17"/>
  <c r="M8" i="17"/>
  <c r="N8" i="17"/>
  <c r="O8" i="17"/>
  <c r="P8" i="17"/>
  <c r="Q8" i="17"/>
  <c r="B11" i="17"/>
  <c r="B10" i="17"/>
  <c r="B9" i="17"/>
  <c r="B8" i="17"/>
  <c r="C7" i="17"/>
  <c r="D7" i="17"/>
  <c r="E7" i="17"/>
  <c r="F7" i="17"/>
  <c r="G7" i="17"/>
  <c r="H7" i="17"/>
  <c r="I7" i="17"/>
  <c r="J7" i="17"/>
  <c r="K7" i="17"/>
  <c r="L7" i="17"/>
  <c r="M7" i="17"/>
  <c r="N7" i="17"/>
  <c r="O7" i="17"/>
  <c r="P7" i="17"/>
  <c r="Q7" i="17"/>
  <c r="B7" i="17"/>
  <c r="C6" i="17"/>
  <c r="D6" i="17"/>
  <c r="E6" i="17"/>
  <c r="F6" i="17"/>
  <c r="G6" i="17"/>
  <c r="H6" i="17"/>
  <c r="I6" i="17"/>
  <c r="J6" i="17"/>
  <c r="K6" i="17"/>
  <c r="L6" i="17"/>
  <c r="M6" i="17"/>
  <c r="N6" i="17"/>
  <c r="O6" i="17"/>
  <c r="P6" i="17"/>
  <c r="Q6" i="17"/>
  <c r="B6" i="17"/>
  <c r="C5" i="17"/>
  <c r="D5" i="17"/>
  <c r="E5" i="17"/>
  <c r="F5" i="17"/>
  <c r="G5" i="17"/>
  <c r="H5" i="17"/>
  <c r="I5" i="17"/>
  <c r="J5" i="17"/>
  <c r="K5" i="17"/>
  <c r="L5" i="17"/>
  <c r="M5" i="17"/>
  <c r="N5" i="17"/>
  <c r="O5" i="17"/>
  <c r="P5" i="17"/>
  <c r="Q5" i="17"/>
  <c r="B5" i="17"/>
  <c r="Q4" i="17"/>
  <c r="P4" i="17"/>
  <c r="O4" i="17"/>
  <c r="N4" i="17"/>
  <c r="M4" i="17"/>
  <c r="L4" i="17"/>
  <c r="K4" i="17"/>
  <c r="J4" i="17"/>
  <c r="I4" i="17"/>
  <c r="H4" i="17"/>
  <c r="G4" i="17"/>
  <c r="F4" i="17"/>
  <c r="E4" i="17"/>
  <c r="D4" i="17"/>
  <c r="C4" i="17"/>
  <c r="B4" i="17"/>
  <c r="C105" i="15"/>
  <c r="D105" i="15"/>
  <c r="E105" i="15"/>
  <c r="F105" i="15"/>
  <c r="G105" i="15"/>
  <c r="H105" i="15"/>
  <c r="I105" i="15"/>
  <c r="J105" i="15"/>
  <c r="K105" i="15"/>
  <c r="L105" i="15"/>
  <c r="M105" i="15"/>
  <c r="N105" i="15"/>
  <c r="O105" i="15"/>
  <c r="P105" i="15"/>
  <c r="Q105" i="15"/>
  <c r="B105" i="15"/>
  <c r="C10" i="15"/>
  <c r="D10" i="15"/>
  <c r="E10" i="15"/>
  <c r="F10" i="15"/>
  <c r="G10" i="15"/>
  <c r="H10" i="15"/>
  <c r="I10" i="15"/>
  <c r="J10" i="15"/>
  <c r="K10" i="15"/>
  <c r="L10" i="15"/>
  <c r="M10" i="15"/>
  <c r="N10" i="15"/>
  <c r="O10" i="15"/>
  <c r="P10" i="15"/>
  <c r="Q10" i="15"/>
  <c r="R10" i="15"/>
  <c r="B10" i="15"/>
  <c r="F13" i="15"/>
  <c r="J13" i="15"/>
  <c r="N13" i="15"/>
  <c r="R13" i="15"/>
  <c r="Q88" i="15"/>
  <c r="Q91" i="15" s="1"/>
  <c r="P88" i="15"/>
  <c r="O88" i="15"/>
  <c r="O91" i="15" s="1"/>
  <c r="N88" i="15"/>
  <c r="N91" i="15" s="1"/>
  <c r="M88" i="15"/>
  <c r="M91" i="15" s="1"/>
  <c r="L88" i="15"/>
  <c r="K88" i="15"/>
  <c r="K91" i="15" s="1"/>
  <c r="J88" i="15"/>
  <c r="J91" i="15" s="1"/>
  <c r="I88" i="15"/>
  <c r="I91" i="15" s="1"/>
  <c r="H88" i="15"/>
  <c r="G88" i="15"/>
  <c r="G91" i="15" s="1"/>
  <c r="F88" i="15"/>
  <c r="F91" i="15" s="1"/>
  <c r="E88" i="15"/>
  <c r="E91" i="15" s="1"/>
  <c r="D88" i="15"/>
  <c r="C88" i="15"/>
  <c r="C91" i="15" s="1"/>
  <c r="B88" i="15"/>
  <c r="B91" i="15" s="1"/>
  <c r="R4" i="15"/>
  <c r="R5" i="15" s="1"/>
  <c r="O62" i="15" s="1"/>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2" i="16"/>
  <c r="Q4" i="15"/>
  <c r="Q6" i="15" s="1"/>
  <c r="R6" i="15" s="1"/>
  <c r="P4" i="15"/>
  <c r="P11" i="15" s="1"/>
  <c r="O4" i="15"/>
  <c r="O31" i="15" s="1"/>
  <c r="N4" i="15"/>
  <c r="N8" i="15" s="1"/>
  <c r="M4" i="15"/>
  <c r="M11" i="15" s="1"/>
  <c r="L4" i="15"/>
  <c r="L11" i="15" s="1"/>
  <c r="K4" i="15"/>
  <c r="K31" i="15" s="1"/>
  <c r="J4" i="15"/>
  <c r="J8" i="15" s="1"/>
  <c r="I4" i="15"/>
  <c r="I31" i="15" s="1"/>
  <c r="H4" i="15"/>
  <c r="H11" i="15" s="1"/>
  <c r="G4" i="15"/>
  <c r="G31" i="15" s="1"/>
  <c r="F4" i="15"/>
  <c r="F8" i="15" s="1"/>
  <c r="E4" i="15"/>
  <c r="E11" i="15" s="1"/>
  <c r="D4" i="15"/>
  <c r="D11" i="15" s="1"/>
  <c r="C4" i="15"/>
  <c r="C31" i="15" s="1"/>
  <c r="B4" i="15"/>
  <c r="B8" i="15" s="1"/>
  <c r="C36" i="14"/>
  <c r="D36" i="14"/>
  <c r="B36" i="14"/>
  <c r="C29" i="14"/>
  <c r="D29" i="14"/>
  <c r="B29" i="14"/>
  <c r="C35" i="14"/>
  <c r="D35" i="14"/>
  <c r="B35" i="14"/>
  <c r="C28" i="14"/>
  <c r="D28" i="14"/>
  <c r="B28" i="14"/>
  <c r="C34" i="14"/>
  <c r="D34" i="14"/>
  <c r="B34" i="14"/>
  <c r="C33" i="14"/>
  <c r="D33" i="14"/>
  <c r="B33" i="14"/>
  <c r="C32" i="14"/>
  <c r="D32" i="14"/>
  <c r="B32" i="14"/>
  <c r="D22" i="14"/>
  <c r="D23" i="14"/>
  <c r="D24" i="14"/>
  <c r="D25" i="14"/>
  <c r="D26" i="14"/>
  <c r="D27" i="14"/>
  <c r="C22" i="14"/>
  <c r="C23" i="14"/>
  <c r="C24" i="14"/>
  <c r="C25" i="14"/>
  <c r="C26" i="14"/>
  <c r="C27" i="14"/>
  <c r="C21" i="14"/>
  <c r="D21" i="14"/>
  <c r="B22" i="14"/>
  <c r="B23" i="14"/>
  <c r="B24" i="14"/>
  <c r="B25" i="14"/>
  <c r="B26" i="14"/>
  <c r="B27" i="14"/>
  <c r="B21" i="14"/>
  <c r="E15" i="14"/>
  <c r="D15" i="14"/>
  <c r="C15" i="14"/>
  <c r="C14" i="14"/>
  <c r="E14" i="14"/>
  <c r="D14" i="14"/>
  <c r="C13" i="14"/>
  <c r="E13" i="14"/>
  <c r="D13" i="14"/>
  <c r="D4" i="14"/>
  <c r="D5" i="14"/>
  <c r="D6" i="14"/>
  <c r="D7" i="14"/>
  <c r="D8" i="14"/>
  <c r="C4" i="14"/>
  <c r="C5" i="14"/>
  <c r="C6" i="14"/>
  <c r="C7" i="14"/>
  <c r="C8" i="14"/>
  <c r="C3" i="14"/>
  <c r="D3" i="14"/>
  <c r="B4" i="14"/>
  <c r="B5" i="14"/>
  <c r="B6" i="14"/>
  <c r="B7" i="14"/>
  <c r="B8" i="14"/>
  <c r="B3" i="14"/>
  <c r="G18" i="13"/>
  <c r="H18" i="13"/>
  <c r="I18" i="13"/>
  <c r="J18" i="13"/>
  <c r="K18" i="13"/>
  <c r="L18" i="13"/>
  <c r="M18" i="13"/>
  <c r="N18" i="13"/>
  <c r="O18" i="13"/>
  <c r="P18" i="13"/>
  <c r="Q18" i="13"/>
  <c r="G17" i="13"/>
  <c r="H17" i="13"/>
  <c r="I17" i="13"/>
  <c r="J17" i="13"/>
  <c r="K17" i="13"/>
  <c r="L17" i="13"/>
  <c r="M17" i="13"/>
  <c r="N17" i="13"/>
  <c r="O17" i="13"/>
  <c r="P17" i="13"/>
  <c r="Q17" i="13"/>
  <c r="G16" i="13"/>
  <c r="H16" i="13"/>
  <c r="I16" i="13"/>
  <c r="J16" i="13"/>
  <c r="K16" i="13"/>
  <c r="L16" i="13"/>
  <c r="M16" i="13"/>
  <c r="N16" i="13"/>
  <c r="O16" i="13"/>
  <c r="P16" i="13"/>
  <c r="Q16" i="13"/>
  <c r="G15" i="13"/>
  <c r="H15" i="13"/>
  <c r="I15" i="13"/>
  <c r="J15" i="13"/>
  <c r="K15" i="13"/>
  <c r="L15" i="13"/>
  <c r="M15" i="13"/>
  <c r="N15" i="13"/>
  <c r="O15" i="13"/>
  <c r="P15" i="13"/>
  <c r="Q15" i="13"/>
  <c r="F15" i="13"/>
  <c r="F16" i="13"/>
  <c r="F17" i="13"/>
  <c r="F18" i="13"/>
  <c r="G14" i="13"/>
  <c r="H14" i="13"/>
  <c r="I14" i="13"/>
  <c r="J14" i="13"/>
  <c r="K14" i="13"/>
  <c r="L14" i="13"/>
  <c r="M14" i="13"/>
  <c r="N14" i="13"/>
  <c r="O14" i="13"/>
  <c r="P14" i="13"/>
  <c r="Q14" i="13"/>
  <c r="F14" i="13"/>
  <c r="C13" i="13"/>
  <c r="D13" i="13"/>
  <c r="E13" i="13"/>
  <c r="F13" i="13"/>
  <c r="G13" i="13"/>
  <c r="H13" i="13"/>
  <c r="I13" i="13"/>
  <c r="J13" i="13"/>
  <c r="K13" i="13"/>
  <c r="L13" i="13"/>
  <c r="M13" i="13"/>
  <c r="N13" i="13"/>
  <c r="O13" i="13"/>
  <c r="P13" i="13"/>
  <c r="Q13" i="13"/>
  <c r="B13" i="13"/>
  <c r="C12" i="13"/>
  <c r="D12" i="13"/>
  <c r="E12" i="13"/>
  <c r="F12" i="13"/>
  <c r="G12" i="13"/>
  <c r="H12" i="13"/>
  <c r="I12" i="13"/>
  <c r="J12" i="13"/>
  <c r="K12" i="13"/>
  <c r="L12" i="13"/>
  <c r="M12" i="13"/>
  <c r="N12" i="13"/>
  <c r="O12" i="13"/>
  <c r="P12" i="13"/>
  <c r="Q12" i="13"/>
  <c r="B12" i="13"/>
  <c r="C11" i="13"/>
  <c r="D11" i="13"/>
  <c r="E11" i="13"/>
  <c r="F11" i="13"/>
  <c r="G11" i="13"/>
  <c r="H11" i="13"/>
  <c r="I11" i="13"/>
  <c r="J11" i="13"/>
  <c r="K11" i="13"/>
  <c r="L11" i="13"/>
  <c r="M11" i="13"/>
  <c r="N11" i="13"/>
  <c r="O11" i="13"/>
  <c r="P11" i="13"/>
  <c r="Q11" i="13"/>
  <c r="B11" i="13"/>
  <c r="C10" i="13"/>
  <c r="D10" i="13"/>
  <c r="E10" i="13"/>
  <c r="F10" i="13"/>
  <c r="G10" i="13"/>
  <c r="H10" i="13"/>
  <c r="I10" i="13"/>
  <c r="J10" i="13"/>
  <c r="K10" i="13"/>
  <c r="L10" i="13"/>
  <c r="M10" i="13"/>
  <c r="N10" i="13"/>
  <c r="O10" i="13"/>
  <c r="P10" i="13"/>
  <c r="Q10" i="13"/>
  <c r="B10" i="13"/>
  <c r="C9" i="13"/>
  <c r="D9" i="13"/>
  <c r="E9" i="13"/>
  <c r="F9" i="13"/>
  <c r="G9" i="13"/>
  <c r="H9" i="13"/>
  <c r="I9" i="13"/>
  <c r="J9" i="13"/>
  <c r="K9" i="13"/>
  <c r="L9" i="13"/>
  <c r="M9" i="13"/>
  <c r="N9" i="13"/>
  <c r="O9" i="13"/>
  <c r="P9" i="13"/>
  <c r="Q9" i="13"/>
  <c r="B9" i="13"/>
  <c r="C8" i="13"/>
  <c r="D8" i="13"/>
  <c r="E8" i="13"/>
  <c r="F8" i="13"/>
  <c r="G8" i="13"/>
  <c r="H8" i="13"/>
  <c r="I8" i="13"/>
  <c r="J8" i="13"/>
  <c r="K8" i="13"/>
  <c r="L8" i="13"/>
  <c r="M8" i="13"/>
  <c r="N8" i="13"/>
  <c r="O8" i="13"/>
  <c r="P8" i="13"/>
  <c r="Q8" i="13"/>
  <c r="C7" i="13"/>
  <c r="D7" i="13"/>
  <c r="E7" i="13"/>
  <c r="F7" i="13"/>
  <c r="G7" i="13"/>
  <c r="H7" i="13"/>
  <c r="I7" i="13"/>
  <c r="J7" i="13"/>
  <c r="K7" i="13"/>
  <c r="L7" i="13"/>
  <c r="M7" i="13"/>
  <c r="N7" i="13"/>
  <c r="O7" i="13"/>
  <c r="P7" i="13"/>
  <c r="Q7" i="13"/>
  <c r="C6" i="13"/>
  <c r="D6" i="13"/>
  <c r="E6" i="13"/>
  <c r="F6" i="13"/>
  <c r="G6" i="13"/>
  <c r="H6" i="13"/>
  <c r="I6" i="13"/>
  <c r="J6" i="13"/>
  <c r="K6" i="13"/>
  <c r="L6" i="13"/>
  <c r="M6" i="13"/>
  <c r="N6" i="13"/>
  <c r="O6" i="13"/>
  <c r="P6" i="13"/>
  <c r="Q6" i="13"/>
  <c r="B8" i="13"/>
  <c r="B7" i="13"/>
  <c r="B6" i="13"/>
  <c r="C5" i="13"/>
  <c r="D5" i="13"/>
  <c r="E5" i="13"/>
  <c r="F5" i="13"/>
  <c r="G5" i="13"/>
  <c r="H5" i="13"/>
  <c r="I5" i="13"/>
  <c r="J5" i="13"/>
  <c r="K5" i="13"/>
  <c r="L5" i="13"/>
  <c r="M5" i="13"/>
  <c r="N5" i="13"/>
  <c r="O5" i="13"/>
  <c r="P5" i="13"/>
  <c r="Q5" i="13"/>
  <c r="B5" i="13"/>
  <c r="Q4" i="13"/>
  <c r="P4" i="13"/>
  <c r="O4" i="13"/>
  <c r="N4" i="13"/>
  <c r="M4" i="13"/>
  <c r="L4" i="13"/>
  <c r="K4" i="13"/>
  <c r="J4" i="13"/>
  <c r="I4" i="13"/>
  <c r="H4" i="13"/>
  <c r="G4" i="13"/>
  <c r="F4" i="13"/>
  <c r="E4" i="13"/>
  <c r="D4" i="13"/>
  <c r="C4" i="13"/>
  <c r="B4" i="13"/>
  <c r="C9" i="12"/>
  <c r="D9" i="12"/>
  <c r="E9" i="12"/>
  <c r="F9" i="12"/>
  <c r="G9" i="12"/>
  <c r="H9" i="12"/>
  <c r="I9" i="12"/>
  <c r="J9" i="12"/>
  <c r="K9" i="12"/>
  <c r="L9" i="12"/>
  <c r="M9" i="12"/>
  <c r="N9" i="12"/>
  <c r="O9" i="12"/>
  <c r="P9" i="12"/>
  <c r="Q9" i="12"/>
  <c r="B9" i="12"/>
  <c r="C8" i="12"/>
  <c r="D8" i="12"/>
  <c r="E8" i="12"/>
  <c r="F8" i="12"/>
  <c r="G8" i="12"/>
  <c r="H8" i="12"/>
  <c r="I8" i="12"/>
  <c r="J8" i="12"/>
  <c r="K8" i="12"/>
  <c r="L8" i="12"/>
  <c r="M8" i="12"/>
  <c r="N8" i="12"/>
  <c r="O8" i="12"/>
  <c r="P8" i="12"/>
  <c r="Q8" i="12"/>
  <c r="B8" i="12"/>
  <c r="C7" i="12"/>
  <c r="D7" i="12"/>
  <c r="E7" i="12"/>
  <c r="F7" i="12"/>
  <c r="G7" i="12"/>
  <c r="H7" i="12"/>
  <c r="I7" i="12"/>
  <c r="J7" i="12"/>
  <c r="K7" i="12"/>
  <c r="L7" i="12"/>
  <c r="M7" i="12"/>
  <c r="N7" i="12"/>
  <c r="O7" i="12"/>
  <c r="P7" i="12"/>
  <c r="Q7" i="12"/>
  <c r="B7" i="12"/>
  <c r="G6" i="12"/>
  <c r="K6" i="12"/>
  <c r="O6" i="12"/>
  <c r="C5" i="12"/>
  <c r="G5" i="12"/>
  <c r="K5" i="12"/>
  <c r="O5" i="12"/>
  <c r="Q4" i="12"/>
  <c r="Q6" i="12" s="1"/>
  <c r="P4" i="12"/>
  <c r="P6" i="12" s="1"/>
  <c r="O4" i="12"/>
  <c r="N4" i="12"/>
  <c r="N6" i="12" s="1"/>
  <c r="M4" i="12"/>
  <c r="M6" i="12" s="1"/>
  <c r="L4" i="12"/>
  <c r="L6" i="12" s="1"/>
  <c r="K4" i="12"/>
  <c r="J4" i="12"/>
  <c r="J6" i="12" s="1"/>
  <c r="I4" i="12"/>
  <c r="I6" i="12" s="1"/>
  <c r="H4" i="12"/>
  <c r="H6" i="12" s="1"/>
  <c r="G4" i="12"/>
  <c r="F4" i="12"/>
  <c r="F6" i="12" s="1"/>
  <c r="E4" i="12"/>
  <c r="E6" i="12" s="1"/>
  <c r="D4" i="12"/>
  <c r="D6" i="12" s="1"/>
  <c r="C4" i="12"/>
  <c r="C6" i="12" s="1"/>
  <c r="B4" i="12"/>
  <c r="B6" i="12" s="1"/>
  <c r="G148" i="9"/>
  <c r="H148" i="9"/>
  <c r="C149" i="9"/>
  <c r="D149" i="9"/>
  <c r="E149" i="9"/>
  <c r="C151" i="9"/>
  <c r="D151" i="9"/>
  <c r="E151" i="9"/>
  <c r="D12" i="11"/>
  <c r="E12" i="11"/>
  <c r="F12" i="11"/>
  <c r="G12" i="11"/>
  <c r="H12" i="11"/>
  <c r="I12" i="11"/>
  <c r="J12" i="11"/>
  <c r="K12" i="11"/>
  <c r="L12" i="11"/>
  <c r="M12" i="11"/>
  <c r="N12" i="11"/>
  <c r="O12" i="11"/>
  <c r="P12" i="11"/>
  <c r="Q12" i="11"/>
  <c r="D11" i="11"/>
  <c r="E11" i="11"/>
  <c r="F11" i="11"/>
  <c r="G11" i="11"/>
  <c r="H11" i="11"/>
  <c r="I11" i="11"/>
  <c r="J11" i="11"/>
  <c r="K11" i="11"/>
  <c r="L11" i="11"/>
  <c r="M11" i="11"/>
  <c r="N11" i="11"/>
  <c r="O11" i="11"/>
  <c r="P11" i="11"/>
  <c r="Q11" i="11"/>
  <c r="D10" i="11"/>
  <c r="E10" i="11"/>
  <c r="F10" i="11"/>
  <c r="G10" i="11"/>
  <c r="H10" i="11"/>
  <c r="I10" i="11"/>
  <c r="J10" i="11"/>
  <c r="K10" i="11"/>
  <c r="L10" i="11"/>
  <c r="M10" i="11"/>
  <c r="N10" i="11"/>
  <c r="O10" i="11"/>
  <c r="P10" i="11"/>
  <c r="Q10" i="11"/>
  <c r="C11" i="11"/>
  <c r="C12" i="11"/>
  <c r="C10" i="11"/>
  <c r="C8" i="11"/>
  <c r="D8" i="11"/>
  <c r="E8" i="11"/>
  <c r="F8" i="11"/>
  <c r="G8" i="11"/>
  <c r="H8" i="11"/>
  <c r="I8" i="11"/>
  <c r="J8" i="11"/>
  <c r="K8" i="11"/>
  <c r="L8" i="11"/>
  <c r="M8" i="11"/>
  <c r="N8" i="11"/>
  <c r="O8" i="11"/>
  <c r="P8" i="11"/>
  <c r="Q8" i="11"/>
  <c r="B8" i="11"/>
  <c r="C7" i="11"/>
  <c r="D7" i="11"/>
  <c r="E7" i="11"/>
  <c r="F7" i="11"/>
  <c r="G7" i="11"/>
  <c r="H7" i="11"/>
  <c r="I7" i="11"/>
  <c r="J7" i="11"/>
  <c r="K7" i="11"/>
  <c r="L7" i="11"/>
  <c r="M7" i="11"/>
  <c r="N7" i="11"/>
  <c r="O7" i="11"/>
  <c r="P7" i="11"/>
  <c r="Q7" i="11"/>
  <c r="B7" i="11"/>
  <c r="C6" i="11"/>
  <c r="D6" i="11"/>
  <c r="E6" i="11"/>
  <c r="F6" i="11"/>
  <c r="G6" i="11"/>
  <c r="H6" i="11"/>
  <c r="I6" i="11"/>
  <c r="J6" i="11"/>
  <c r="K6" i="11"/>
  <c r="L6" i="11"/>
  <c r="M6" i="11"/>
  <c r="N6" i="11"/>
  <c r="O6" i="11"/>
  <c r="P6" i="11"/>
  <c r="Q6" i="11"/>
  <c r="B6" i="11"/>
  <c r="D9" i="11"/>
  <c r="E9" i="11"/>
  <c r="F9" i="11"/>
  <c r="G9" i="11"/>
  <c r="H9" i="11"/>
  <c r="I9" i="11"/>
  <c r="J9" i="11"/>
  <c r="K9" i="11"/>
  <c r="L9" i="11"/>
  <c r="M9" i="11"/>
  <c r="N9" i="11"/>
  <c r="O9" i="11"/>
  <c r="P9" i="11"/>
  <c r="Q9" i="11"/>
  <c r="C9" i="11"/>
  <c r="C5" i="11"/>
  <c r="D5" i="11"/>
  <c r="E5" i="11"/>
  <c r="F5" i="11"/>
  <c r="G5" i="11"/>
  <c r="H5" i="11"/>
  <c r="I5" i="11"/>
  <c r="J5" i="11"/>
  <c r="K5" i="11"/>
  <c r="L5" i="11"/>
  <c r="M5" i="11"/>
  <c r="N5" i="11"/>
  <c r="O5" i="11"/>
  <c r="P5" i="11"/>
  <c r="Q5" i="11"/>
  <c r="B5" i="11"/>
  <c r="C4" i="11"/>
  <c r="D4" i="11"/>
  <c r="E4" i="11"/>
  <c r="F4" i="11"/>
  <c r="G4" i="11"/>
  <c r="H4" i="11"/>
  <c r="I4" i="11"/>
  <c r="J4" i="11"/>
  <c r="K4" i="11"/>
  <c r="L4" i="11"/>
  <c r="M4" i="11"/>
  <c r="N4" i="11"/>
  <c r="O4" i="11"/>
  <c r="P4" i="11"/>
  <c r="Q4" i="11"/>
  <c r="B4" i="11"/>
  <c r="B103" i="10"/>
  <c r="C106" i="10"/>
  <c r="D106" i="10"/>
  <c r="E106" i="10"/>
  <c r="F106" i="10"/>
  <c r="G106" i="10"/>
  <c r="H106" i="10"/>
  <c r="I106" i="10"/>
  <c r="J106" i="10"/>
  <c r="K106" i="10"/>
  <c r="L106" i="10"/>
  <c r="M106" i="10"/>
  <c r="N106" i="10"/>
  <c r="O106" i="10"/>
  <c r="P106" i="10"/>
  <c r="Q106" i="10"/>
  <c r="C105" i="10"/>
  <c r="D105" i="10"/>
  <c r="E105" i="10"/>
  <c r="F105" i="10"/>
  <c r="G105" i="10"/>
  <c r="H105" i="10"/>
  <c r="I105" i="10"/>
  <c r="J105" i="10"/>
  <c r="K105" i="10"/>
  <c r="L105" i="10"/>
  <c r="M105" i="10"/>
  <c r="N105" i="10"/>
  <c r="O105" i="10"/>
  <c r="P105" i="10"/>
  <c r="Q105" i="10"/>
  <c r="B105" i="10"/>
  <c r="C104" i="10"/>
  <c r="D104" i="10"/>
  <c r="E104" i="10"/>
  <c r="F104" i="10"/>
  <c r="G104" i="10"/>
  <c r="H104" i="10"/>
  <c r="I104" i="10"/>
  <c r="J104" i="10"/>
  <c r="K104" i="10"/>
  <c r="L104" i="10"/>
  <c r="M104" i="10"/>
  <c r="N104" i="10"/>
  <c r="O104" i="10"/>
  <c r="P104" i="10"/>
  <c r="Q104" i="10"/>
  <c r="B104" i="10"/>
  <c r="B106" i="10" s="1"/>
  <c r="Q103" i="10"/>
  <c r="P103" i="10"/>
  <c r="O103" i="10"/>
  <c r="N103" i="10"/>
  <c r="M103" i="10"/>
  <c r="L103" i="10"/>
  <c r="K103" i="10"/>
  <c r="J103" i="10"/>
  <c r="I103" i="10"/>
  <c r="H103" i="10"/>
  <c r="G103" i="10"/>
  <c r="F103" i="10"/>
  <c r="E103" i="10"/>
  <c r="D103" i="10"/>
  <c r="C103" i="10"/>
  <c r="G85" i="10"/>
  <c r="H85" i="10"/>
  <c r="I85" i="10"/>
  <c r="J85" i="10"/>
  <c r="K85" i="10"/>
  <c r="L85" i="10"/>
  <c r="M85" i="10"/>
  <c r="N85" i="10"/>
  <c r="O85" i="10"/>
  <c r="P85" i="10"/>
  <c r="Q85" i="10"/>
  <c r="F85" i="10"/>
  <c r="G84" i="10"/>
  <c r="H84" i="10"/>
  <c r="I84" i="10"/>
  <c r="J84" i="10"/>
  <c r="K84" i="10"/>
  <c r="L84" i="10"/>
  <c r="M84" i="10"/>
  <c r="N84" i="10"/>
  <c r="O84" i="10"/>
  <c r="P84" i="10"/>
  <c r="Q84" i="10"/>
  <c r="F84" i="10"/>
  <c r="Q83" i="10"/>
  <c r="C83" i="10"/>
  <c r="D83" i="10"/>
  <c r="E83" i="10"/>
  <c r="F83" i="10"/>
  <c r="G83" i="10"/>
  <c r="H83" i="10"/>
  <c r="I83" i="10"/>
  <c r="J83" i="10"/>
  <c r="K83" i="10"/>
  <c r="L83" i="10"/>
  <c r="M83" i="10"/>
  <c r="N83" i="10"/>
  <c r="O83" i="10"/>
  <c r="P83" i="10"/>
  <c r="B83" i="10"/>
  <c r="C82" i="10"/>
  <c r="D82" i="10"/>
  <c r="E82" i="10"/>
  <c r="F82" i="10"/>
  <c r="G82" i="10"/>
  <c r="H82" i="10"/>
  <c r="I82" i="10"/>
  <c r="J82" i="10"/>
  <c r="K82" i="10"/>
  <c r="L82" i="10"/>
  <c r="M82" i="10"/>
  <c r="N82" i="10"/>
  <c r="O82" i="10"/>
  <c r="P82" i="10"/>
  <c r="Q82" i="10"/>
  <c r="B82" i="10"/>
  <c r="Q81" i="10"/>
  <c r="P81" i="10"/>
  <c r="O81" i="10"/>
  <c r="N81" i="10"/>
  <c r="M81" i="10"/>
  <c r="L81" i="10"/>
  <c r="K81" i="10"/>
  <c r="J81" i="10"/>
  <c r="I81" i="10"/>
  <c r="H81" i="10"/>
  <c r="G81" i="10"/>
  <c r="F81" i="10"/>
  <c r="E81" i="10"/>
  <c r="D81" i="10"/>
  <c r="C81" i="10"/>
  <c r="B81" i="10"/>
  <c r="G65" i="10"/>
  <c r="H65" i="10"/>
  <c r="I65" i="10"/>
  <c r="J65" i="10"/>
  <c r="K65" i="10"/>
  <c r="L65" i="10"/>
  <c r="M65" i="10"/>
  <c r="N65" i="10"/>
  <c r="O65" i="10"/>
  <c r="P65" i="10"/>
  <c r="Q65" i="10"/>
  <c r="F65" i="10"/>
  <c r="G64" i="10"/>
  <c r="H64" i="10"/>
  <c r="I64" i="10"/>
  <c r="J64" i="10"/>
  <c r="K64" i="10"/>
  <c r="L64" i="10"/>
  <c r="M64" i="10"/>
  <c r="N64" i="10"/>
  <c r="O64" i="10"/>
  <c r="P64" i="10"/>
  <c r="Q64" i="10"/>
  <c r="F64" i="10"/>
  <c r="C63" i="10"/>
  <c r="D63" i="10"/>
  <c r="E63" i="10"/>
  <c r="F63" i="10"/>
  <c r="G63" i="10"/>
  <c r="H63" i="10"/>
  <c r="I63" i="10"/>
  <c r="J63" i="10"/>
  <c r="K63" i="10"/>
  <c r="L63" i="10"/>
  <c r="M63" i="10"/>
  <c r="N63" i="10"/>
  <c r="O63" i="10"/>
  <c r="P63" i="10"/>
  <c r="Q63" i="10"/>
  <c r="B63" i="10"/>
  <c r="C62" i="10"/>
  <c r="D62" i="10"/>
  <c r="E62" i="10"/>
  <c r="F62" i="10"/>
  <c r="G62" i="10"/>
  <c r="H62" i="10"/>
  <c r="I62" i="10"/>
  <c r="J62" i="10"/>
  <c r="K62" i="10"/>
  <c r="L62" i="10"/>
  <c r="M62" i="10"/>
  <c r="N62" i="10"/>
  <c r="O62" i="10"/>
  <c r="P62" i="10"/>
  <c r="Q62" i="10"/>
  <c r="B62" i="10"/>
  <c r="C61" i="10"/>
  <c r="D61" i="10"/>
  <c r="E61" i="10"/>
  <c r="F61" i="10"/>
  <c r="G61" i="10"/>
  <c r="H61" i="10"/>
  <c r="I61" i="10"/>
  <c r="J61" i="10"/>
  <c r="K61" i="10"/>
  <c r="L61" i="10"/>
  <c r="M61" i="10"/>
  <c r="N61" i="10"/>
  <c r="O61" i="10"/>
  <c r="P61" i="10"/>
  <c r="Q61" i="10"/>
  <c r="B61" i="10"/>
  <c r="Q60" i="10"/>
  <c r="P60" i="10"/>
  <c r="O60" i="10"/>
  <c r="N60" i="10"/>
  <c r="M60" i="10"/>
  <c r="L60" i="10"/>
  <c r="K60" i="10"/>
  <c r="J60" i="10"/>
  <c r="I60" i="10"/>
  <c r="H60" i="10"/>
  <c r="G60" i="10"/>
  <c r="F60" i="10"/>
  <c r="E60" i="10"/>
  <c r="D60" i="10"/>
  <c r="C60" i="10"/>
  <c r="B60" i="10"/>
  <c r="G42" i="10"/>
  <c r="H42" i="10"/>
  <c r="I42" i="10"/>
  <c r="J42" i="10"/>
  <c r="K42" i="10"/>
  <c r="L42" i="10"/>
  <c r="M42" i="10"/>
  <c r="N42" i="10"/>
  <c r="O42" i="10"/>
  <c r="P42" i="10"/>
  <c r="Q42" i="10"/>
  <c r="F42" i="10"/>
  <c r="G41" i="10"/>
  <c r="H41" i="10"/>
  <c r="I41" i="10"/>
  <c r="J41" i="10"/>
  <c r="K41" i="10"/>
  <c r="L41" i="10"/>
  <c r="M41" i="10"/>
  <c r="N41" i="10"/>
  <c r="O41" i="10"/>
  <c r="P41" i="10"/>
  <c r="Q41" i="10"/>
  <c r="F41" i="10"/>
  <c r="C40" i="10"/>
  <c r="D40" i="10"/>
  <c r="E40" i="10"/>
  <c r="F40" i="10"/>
  <c r="G40" i="10"/>
  <c r="H40" i="10"/>
  <c r="I40" i="10"/>
  <c r="J40" i="10"/>
  <c r="K40" i="10"/>
  <c r="L40" i="10"/>
  <c r="M40" i="10"/>
  <c r="N40" i="10"/>
  <c r="O40" i="10"/>
  <c r="P40" i="10"/>
  <c r="Q40" i="10"/>
  <c r="B40" i="10"/>
  <c r="C39" i="10"/>
  <c r="D39" i="10"/>
  <c r="E39" i="10"/>
  <c r="F39" i="10"/>
  <c r="G39" i="10"/>
  <c r="H39" i="10"/>
  <c r="I39" i="10"/>
  <c r="J39" i="10"/>
  <c r="K39" i="10"/>
  <c r="L39" i="10"/>
  <c r="M39" i="10"/>
  <c r="N39" i="10"/>
  <c r="O39" i="10"/>
  <c r="P39" i="10"/>
  <c r="Q39" i="10"/>
  <c r="B39" i="10"/>
  <c r="Q38" i="10"/>
  <c r="P38" i="10"/>
  <c r="O38" i="10"/>
  <c r="N38" i="10"/>
  <c r="M38" i="10"/>
  <c r="L38" i="10"/>
  <c r="K38" i="10"/>
  <c r="J38" i="10"/>
  <c r="I38" i="10"/>
  <c r="H38" i="10"/>
  <c r="G38" i="10"/>
  <c r="F38" i="10"/>
  <c r="E38" i="10"/>
  <c r="D38" i="10"/>
  <c r="C38" i="10"/>
  <c r="B38" i="10"/>
  <c r="C16" i="10"/>
  <c r="D16" i="10"/>
  <c r="E16" i="10"/>
  <c r="F16" i="10"/>
  <c r="G16" i="10"/>
  <c r="H16" i="10"/>
  <c r="I16" i="10"/>
  <c r="J16" i="10"/>
  <c r="K16" i="10"/>
  <c r="L16" i="10"/>
  <c r="M16" i="10"/>
  <c r="N16" i="10"/>
  <c r="O16" i="10"/>
  <c r="P16" i="10"/>
  <c r="Q16" i="10"/>
  <c r="C15" i="10"/>
  <c r="D15" i="10"/>
  <c r="E15" i="10"/>
  <c r="F15" i="10"/>
  <c r="G15" i="10"/>
  <c r="H15" i="10"/>
  <c r="I15" i="10"/>
  <c r="J15" i="10"/>
  <c r="K15" i="10"/>
  <c r="L15" i="10"/>
  <c r="M15" i="10"/>
  <c r="N15" i="10"/>
  <c r="O15" i="10"/>
  <c r="P15" i="10"/>
  <c r="Q15" i="10"/>
  <c r="C14" i="10"/>
  <c r="D14" i="10"/>
  <c r="E14" i="10"/>
  <c r="F14" i="10"/>
  <c r="G14" i="10"/>
  <c r="H14" i="10"/>
  <c r="I14" i="10"/>
  <c r="J14" i="10"/>
  <c r="K14" i="10"/>
  <c r="L14" i="10"/>
  <c r="M14" i="10"/>
  <c r="N14" i="10"/>
  <c r="O14" i="10"/>
  <c r="P14" i="10"/>
  <c r="Q14" i="10"/>
  <c r="B14" i="10"/>
  <c r="B15" i="10"/>
  <c r="B16" i="10"/>
  <c r="C13" i="10"/>
  <c r="D13" i="10"/>
  <c r="E13" i="10"/>
  <c r="F13" i="10"/>
  <c r="G13" i="10"/>
  <c r="H13" i="10"/>
  <c r="I13" i="10"/>
  <c r="J13" i="10"/>
  <c r="K13" i="10"/>
  <c r="L13" i="10"/>
  <c r="M13" i="10"/>
  <c r="N13" i="10"/>
  <c r="O13" i="10"/>
  <c r="P13" i="10"/>
  <c r="Q13" i="10"/>
  <c r="B13" i="10"/>
  <c r="C12" i="10"/>
  <c r="D12" i="10"/>
  <c r="E12" i="10"/>
  <c r="F12" i="10"/>
  <c r="G12" i="10"/>
  <c r="H12" i="10"/>
  <c r="I12" i="10"/>
  <c r="J12" i="10"/>
  <c r="K12" i="10"/>
  <c r="L12" i="10"/>
  <c r="M12" i="10"/>
  <c r="N12" i="10"/>
  <c r="O12" i="10"/>
  <c r="P12" i="10"/>
  <c r="Q12" i="10"/>
  <c r="B12" i="10"/>
  <c r="B11" i="10"/>
  <c r="C11" i="10"/>
  <c r="D11" i="10"/>
  <c r="E11" i="10"/>
  <c r="F11" i="10"/>
  <c r="G11" i="10"/>
  <c r="H11" i="10"/>
  <c r="I11" i="10"/>
  <c r="J11" i="10"/>
  <c r="K11" i="10"/>
  <c r="L11" i="10"/>
  <c r="M11" i="10"/>
  <c r="N11" i="10"/>
  <c r="O11" i="10"/>
  <c r="P11" i="10"/>
  <c r="Q11" i="10"/>
  <c r="C10" i="10"/>
  <c r="D10" i="10"/>
  <c r="E10" i="10"/>
  <c r="F10" i="10"/>
  <c r="G10" i="10"/>
  <c r="H10" i="10"/>
  <c r="I10" i="10"/>
  <c r="J10" i="10"/>
  <c r="K10" i="10"/>
  <c r="L10" i="10"/>
  <c r="M10" i="10"/>
  <c r="N10" i="10"/>
  <c r="O10" i="10"/>
  <c r="P10" i="10"/>
  <c r="Q10" i="10"/>
  <c r="B10" i="10"/>
  <c r="C9" i="10"/>
  <c r="D9" i="10"/>
  <c r="E9" i="10"/>
  <c r="F9" i="10"/>
  <c r="G9" i="10"/>
  <c r="H9" i="10"/>
  <c r="I9" i="10"/>
  <c r="J9" i="10"/>
  <c r="K9" i="10"/>
  <c r="L9" i="10"/>
  <c r="M9" i="10"/>
  <c r="N9" i="10"/>
  <c r="O9" i="10"/>
  <c r="P9" i="10"/>
  <c r="Q9" i="10"/>
  <c r="B9" i="10"/>
  <c r="C8" i="10"/>
  <c r="D8" i="10"/>
  <c r="E8" i="10"/>
  <c r="F8" i="10"/>
  <c r="G8" i="10"/>
  <c r="H8" i="10"/>
  <c r="I8" i="10"/>
  <c r="J8" i="10"/>
  <c r="K8" i="10"/>
  <c r="L8" i="10"/>
  <c r="M8" i="10"/>
  <c r="N8" i="10"/>
  <c r="O8" i="10"/>
  <c r="P8" i="10"/>
  <c r="Q8" i="10"/>
  <c r="B8" i="10"/>
  <c r="C7" i="10"/>
  <c r="D7" i="10"/>
  <c r="E7" i="10"/>
  <c r="F7" i="10"/>
  <c r="G7" i="10"/>
  <c r="H7" i="10"/>
  <c r="I7" i="10"/>
  <c r="J7" i="10"/>
  <c r="K7" i="10"/>
  <c r="L7" i="10"/>
  <c r="M7" i="10"/>
  <c r="N7" i="10"/>
  <c r="O7" i="10"/>
  <c r="P7" i="10"/>
  <c r="Q7" i="10"/>
  <c r="B7" i="10"/>
  <c r="B122" i="9"/>
  <c r="G126" i="9"/>
  <c r="H126" i="9"/>
  <c r="I126" i="9"/>
  <c r="J126" i="9"/>
  <c r="K126" i="9"/>
  <c r="L126" i="9"/>
  <c r="M126" i="9"/>
  <c r="N126" i="9"/>
  <c r="O126" i="9"/>
  <c r="P126" i="9"/>
  <c r="Q126" i="9"/>
  <c r="G125" i="9"/>
  <c r="H125" i="9"/>
  <c r="I125" i="9"/>
  <c r="J125" i="9"/>
  <c r="K125" i="9"/>
  <c r="L125" i="9"/>
  <c r="M125" i="9"/>
  <c r="N125" i="9"/>
  <c r="O125" i="9"/>
  <c r="P125" i="9"/>
  <c r="Q125" i="9"/>
  <c r="C124" i="9"/>
  <c r="D124" i="9"/>
  <c r="E124" i="9"/>
  <c r="F124" i="9"/>
  <c r="G124" i="9"/>
  <c r="H124" i="9"/>
  <c r="I124" i="9"/>
  <c r="J124" i="9"/>
  <c r="K124" i="9"/>
  <c r="L124" i="9"/>
  <c r="M124" i="9"/>
  <c r="N124" i="9"/>
  <c r="O124" i="9"/>
  <c r="P124" i="9"/>
  <c r="Q124" i="9"/>
  <c r="B124" i="9"/>
  <c r="F125" i="9" s="1"/>
  <c r="F126" i="9" s="1"/>
  <c r="C123" i="9"/>
  <c r="D123" i="9"/>
  <c r="E123" i="9"/>
  <c r="F123" i="9"/>
  <c r="G123" i="9"/>
  <c r="H123" i="9"/>
  <c r="I123" i="9"/>
  <c r="J123" i="9"/>
  <c r="K123" i="9"/>
  <c r="L123" i="9"/>
  <c r="M123" i="9"/>
  <c r="N123" i="9"/>
  <c r="O123" i="9"/>
  <c r="P123" i="9"/>
  <c r="Q123" i="9"/>
  <c r="B123" i="9"/>
  <c r="Q122" i="9"/>
  <c r="P122" i="9"/>
  <c r="O122" i="9"/>
  <c r="N122" i="9"/>
  <c r="M122" i="9"/>
  <c r="L122" i="9"/>
  <c r="K122" i="9"/>
  <c r="J122" i="9"/>
  <c r="I122" i="9"/>
  <c r="H122" i="9"/>
  <c r="G122" i="9"/>
  <c r="F122" i="9"/>
  <c r="E122" i="9"/>
  <c r="D122" i="9"/>
  <c r="C122" i="9"/>
  <c r="G102" i="9"/>
  <c r="H102" i="9"/>
  <c r="I102" i="9"/>
  <c r="J102" i="9"/>
  <c r="K102" i="9"/>
  <c r="L102" i="9"/>
  <c r="M102" i="9"/>
  <c r="N102" i="9"/>
  <c r="O102" i="9"/>
  <c r="P102" i="9"/>
  <c r="Q102" i="9"/>
  <c r="F102" i="9"/>
  <c r="G101" i="9"/>
  <c r="H101" i="9"/>
  <c r="I101" i="9"/>
  <c r="J101" i="9"/>
  <c r="K101" i="9"/>
  <c r="L101" i="9"/>
  <c r="M101" i="9"/>
  <c r="N101" i="9"/>
  <c r="O101" i="9"/>
  <c r="P101" i="9"/>
  <c r="Q101" i="9"/>
  <c r="F101" i="9"/>
  <c r="C100" i="9"/>
  <c r="D100" i="9"/>
  <c r="E100" i="9"/>
  <c r="F100" i="9"/>
  <c r="G100" i="9"/>
  <c r="H100" i="9"/>
  <c r="I100" i="9"/>
  <c r="J100" i="9"/>
  <c r="K100" i="9"/>
  <c r="L100" i="9"/>
  <c r="M100" i="9"/>
  <c r="N100" i="9"/>
  <c r="O100" i="9"/>
  <c r="P100" i="9"/>
  <c r="Q100" i="9"/>
  <c r="B100" i="9"/>
  <c r="C99" i="9"/>
  <c r="D99" i="9"/>
  <c r="E99" i="9"/>
  <c r="F99" i="9"/>
  <c r="G99" i="9"/>
  <c r="H99" i="9"/>
  <c r="I99" i="9"/>
  <c r="J99" i="9"/>
  <c r="K99" i="9"/>
  <c r="L99" i="9"/>
  <c r="M99" i="9"/>
  <c r="N99" i="9"/>
  <c r="O99" i="9"/>
  <c r="P99" i="9"/>
  <c r="Q99" i="9"/>
  <c r="B99" i="9"/>
  <c r="Q98" i="9"/>
  <c r="P98" i="9"/>
  <c r="O98" i="9"/>
  <c r="N98" i="9"/>
  <c r="M98" i="9"/>
  <c r="L98" i="9"/>
  <c r="K98" i="9"/>
  <c r="J98" i="9"/>
  <c r="I98" i="9"/>
  <c r="H98" i="9"/>
  <c r="G98" i="9"/>
  <c r="F98" i="9"/>
  <c r="E98" i="9"/>
  <c r="D98" i="9"/>
  <c r="C98" i="9"/>
  <c r="B98" i="9"/>
  <c r="G77" i="9"/>
  <c r="H77" i="9"/>
  <c r="I77" i="9"/>
  <c r="J77" i="9"/>
  <c r="K77" i="9"/>
  <c r="L77" i="9"/>
  <c r="M77" i="9"/>
  <c r="N77" i="9"/>
  <c r="O77" i="9"/>
  <c r="P77" i="9"/>
  <c r="Q77" i="9"/>
  <c r="F77" i="9"/>
  <c r="Q76" i="9"/>
  <c r="P76" i="9"/>
  <c r="O76" i="9"/>
  <c r="N76" i="9"/>
  <c r="M76" i="9"/>
  <c r="L76" i="9"/>
  <c r="K76" i="9"/>
  <c r="J76" i="9"/>
  <c r="I76" i="9"/>
  <c r="H76" i="9"/>
  <c r="G76" i="9"/>
  <c r="F76" i="9"/>
  <c r="E76" i="9"/>
  <c r="D76" i="9"/>
  <c r="C76" i="9"/>
  <c r="B76" i="9"/>
  <c r="G59" i="9"/>
  <c r="H59" i="9"/>
  <c r="I59" i="9"/>
  <c r="J59" i="9"/>
  <c r="K59" i="9"/>
  <c r="L59" i="9"/>
  <c r="M59" i="9"/>
  <c r="N59" i="9"/>
  <c r="O59" i="9"/>
  <c r="P59" i="9"/>
  <c r="Q59" i="9"/>
  <c r="F59" i="9"/>
  <c r="G58" i="9"/>
  <c r="H58" i="9"/>
  <c r="I58" i="9"/>
  <c r="J58" i="9"/>
  <c r="K58" i="9"/>
  <c r="L58" i="9"/>
  <c r="M58" i="9"/>
  <c r="N58" i="9"/>
  <c r="O58" i="9"/>
  <c r="P58" i="9"/>
  <c r="Q58" i="9"/>
  <c r="F58" i="9"/>
  <c r="C55" i="9"/>
  <c r="D55" i="9"/>
  <c r="E55" i="9"/>
  <c r="F55" i="9"/>
  <c r="G55" i="9"/>
  <c r="H55" i="9"/>
  <c r="I55" i="9"/>
  <c r="J55" i="9"/>
  <c r="K55" i="9"/>
  <c r="L55" i="9"/>
  <c r="M55" i="9"/>
  <c r="N55" i="9"/>
  <c r="O55" i="9"/>
  <c r="P55" i="9"/>
  <c r="Q55" i="9"/>
  <c r="B55" i="9"/>
  <c r="G57" i="9"/>
  <c r="H57" i="9"/>
  <c r="I57" i="9"/>
  <c r="J57" i="9"/>
  <c r="K57" i="9"/>
  <c r="L57" i="9"/>
  <c r="M57" i="9"/>
  <c r="N57" i="9"/>
  <c r="O57" i="9"/>
  <c r="P57" i="9"/>
  <c r="Q57" i="9"/>
  <c r="F57" i="9"/>
  <c r="C56" i="9"/>
  <c r="D56" i="9"/>
  <c r="E56" i="9"/>
  <c r="F56" i="9"/>
  <c r="G56" i="9"/>
  <c r="H56" i="9"/>
  <c r="I56" i="9"/>
  <c r="J56" i="9"/>
  <c r="K56" i="9"/>
  <c r="L56" i="9"/>
  <c r="M56" i="9"/>
  <c r="N56" i="9"/>
  <c r="O56" i="9"/>
  <c r="P56" i="9"/>
  <c r="Q56" i="9"/>
  <c r="B56" i="9"/>
  <c r="Q54" i="9"/>
  <c r="P54" i="9"/>
  <c r="O54" i="9"/>
  <c r="N54" i="9"/>
  <c r="M54" i="9"/>
  <c r="L54" i="9"/>
  <c r="K54" i="9"/>
  <c r="J54" i="9"/>
  <c r="I54" i="9"/>
  <c r="H54" i="9"/>
  <c r="G54" i="9"/>
  <c r="F54" i="9"/>
  <c r="E54" i="9"/>
  <c r="D54" i="9"/>
  <c r="C54" i="9"/>
  <c r="B54" i="9"/>
  <c r="G37" i="9"/>
  <c r="H37" i="9"/>
  <c r="I37" i="9"/>
  <c r="J37" i="9"/>
  <c r="K37" i="9"/>
  <c r="L37" i="9"/>
  <c r="M37" i="9"/>
  <c r="N37" i="9"/>
  <c r="O37" i="9"/>
  <c r="P37" i="9"/>
  <c r="Q37" i="9"/>
  <c r="F37" i="9"/>
  <c r="G36" i="9"/>
  <c r="H36" i="9"/>
  <c r="I36" i="9"/>
  <c r="J36" i="9"/>
  <c r="K36" i="9"/>
  <c r="L36" i="9"/>
  <c r="M36" i="9"/>
  <c r="N36" i="9"/>
  <c r="O36" i="9"/>
  <c r="P36" i="9"/>
  <c r="Q36" i="9"/>
  <c r="F36" i="9"/>
  <c r="G35" i="9"/>
  <c r="H35" i="9"/>
  <c r="I35" i="9"/>
  <c r="J35" i="9"/>
  <c r="K35" i="9"/>
  <c r="L35" i="9"/>
  <c r="M35" i="9"/>
  <c r="N35" i="9"/>
  <c r="O35" i="9"/>
  <c r="P35" i="9"/>
  <c r="Q35" i="9"/>
  <c r="F35" i="9"/>
  <c r="C34" i="9"/>
  <c r="D34" i="9"/>
  <c r="E34" i="9"/>
  <c r="F34" i="9"/>
  <c r="G34" i="9"/>
  <c r="H34" i="9"/>
  <c r="I34" i="9"/>
  <c r="J34" i="9"/>
  <c r="K34" i="9"/>
  <c r="L34" i="9"/>
  <c r="M34" i="9"/>
  <c r="N34" i="9"/>
  <c r="O34" i="9"/>
  <c r="P34" i="9"/>
  <c r="Q34" i="9"/>
  <c r="B34" i="9"/>
  <c r="Q33" i="9"/>
  <c r="Q32" i="9"/>
  <c r="N32" i="9"/>
  <c r="O32" i="9"/>
  <c r="O33" i="9" s="1"/>
  <c r="P32" i="9"/>
  <c r="P33" i="9" s="1"/>
  <c r="N33" i="9"/>
  <c r="C33" i="9"/>
  <c r="D33" i="9"/>
  <c r="E33" i="9"/>
  <c r="F33" i="9"/>
  <c r="G33" i="9"/>
  <c r="H33" i="9"/>
  <c r="I33" i="9"/>
  <c r="J33" i="9"/>
  <c r="K33" i="9"/>
  <c r="L33" i="9"/>
  <c r="M33" i="9"/>
  <c r="B33" i="9"/>
  <c r="M32" i="9"/>
  <c r="L32" i="9"/>
  <c r="K32" i="9"/>
  <c r="J32" i="9"/>
  <c r="I32" i="9"/>
  <c r="H32" i="9"/>
  <c r="G32" i="9"/>
  <c r="F32" i="9"/>
  <c r="E32" i="9"/>
  <c r="D32" i="9"/>
  <c r="C32" i="9"/>
  <c r="B32" i="9"/>
  <c r="G15" i="9"/>
  <c r="H15" i="9"/>
  <c r="I15" i="9"/>
  <c r="J15" i="9"/>
  <c r="K15" i="9"/>
  <c r="L15" i="9"/>
  <c r="M15" i="9"/>
  <c r="N15" i="9"/>
  <c r="O15" i="9"/>
  <c r="P15" i="9"/>
  <c r="Q15" i="9"/>
  <c r="F15" i="9"/>
  <c r="G14" i="9"/>
  <c r="H14" i="9"/>
  <c r="I14" i="9"/>
  <c r="J14" i="9"/>
  <c r="K14" i="9"/>
  <c r="L14" i="9"/>
  <c r="M14" i="9"/>
  <c r="N14" i="9"/>
  <c r="O14" i="9"/>
  <c r="P14" i="9"/>
  <c r="Q14" i="9"/>
  <c r="F14" i="9"/>
  <c r="G13" i="9"/>
  <c r="H13" i="9"/>
  <c r="I13" i="9"/>
  <c r="J13" i="9"/>
  <c r="K13" i="9"/>
  <c r="L13" i="9"/>
  <c r="M13" i="9"/>
  <c r="N13" i="9"/>
  <c r="O13" i="9"/>
  <c r="P13" i="9"/>
  <c r="Q13" i="9"/>
  <c r="F13" i="9"/>
  <c r="C12" i="9"/>
  <c r="D12" i="9"/>
  <c r="E12" i="9"/>
  <c r="F12" i="9"/>
  <c r="G12" i="9"/>
  <c r="H12" i="9"/>
  <c r="I12" i="9"/>
  <c r="J12" i="9"/>
  <c r="K12" i="9"/>
  <c r="L12" i="9"/>
  <c r="M12" i="9"/>
  <c r="N12" i="9"/>
  <c r="O12" i="9"/>
  <c r="P12" i="9"/>
  <c r="Q12" i="9"/>
  <c r="B12" i="9"/>
  <c r="U3" i="7"/>
  <c r="U4" i="7"/>
  <c r="U5" i="7"/>
  <c r="U6" i="7"/>
  <c r="U7" i="7"/>
  <c r="U8" i="7"/>
  <c r="U9" i="7"/>
  <c r="U10" i="7"/>
  <c r="U11" i="7"/>
  <c r="U12" i="7"/>
  <c r="U13" i="7"/>
  <c r="U14" i="7"/>
  <c r="U15" i="7"/>
  <c r="U16" i="7"/>
  <c r="U17" i="7"/>
  <c r="U18" i="7"/>
  <c r="U19" i="7"/>
  <c r="U20" i="7"/>
  <c r="U21" i="7"/>
  <c r="U22" i="7"/>
  <c r="U23" i="7"/>
  <c r="U24" i="7"/>
  <c r="U25" i="7"/>
  <c r="U26" i="7"/>
  <c r="U27" i="7"/>
  <c r="U28" i="7"/>
  <c r="U29" i="7"/>
  <c r="U30" i="7"/>
  <c r="U31" i="7"/>
  <c r="U32" i="7"/>
  <c r="U33" i="7"/>
  <c r="U34" i="7"/>
  <c r="U35" i="7"/>
  <c r="U36" i="7"/>
  <c r="U37" i="7"/>
  <c r="U38" i="7"/>
  <c r="U39" i="7"/>
  <c r="U40" i="7"/>
  <c r="U41" i="7"/>
  <c r="U42" i="7"/>
  <c r="U43" i="7"/>
  <c r="U44" i="7"/>
  <c r="U45" i="7"/>
  <c r="U46" i="7"/>
  <c r="U47" i="7"/>
  <c r="U48" i="7"/>
  <c r="U49" i="7"/>
  <c r="U50" i="7"/>
  <c r="U51" i="7"/>
  <c r="U52" i="7"/>
  <c r="U53" i="7"/>
  <c r="U54" i="7"/>
  <c r="U55" i="7"/>
  <c r="U56" i="7"/>
  <c r="U57" i="7"/>
  <c r="U58" i="7"/>
  <c r="U59" i="7"/>
  <c r="U60" i="7"/>
  <c r="U61" i="7"/>
  <c r="U62" i="7"/>
  <c r="U63" i="7"/>
  <c r="U64" i="7"/>
  <c r="U65" i="7"/>
  <c r="U66" i="7"/>
  <c r="U67" i="7"/>
  <c r="U68" i="7"/>
  <c r="U69" i="7"/>
  <c r="U70" i="7"/>
  <c r="U71" i="7"/>
  <c r="U72" i="7"/>
  <c r="U73" i="7"/>
  <c r="U74" i="7"/>
  <c r="U75" i="7"/>
  <c r="U76" i="7"/>
  <c r="U77" i="7"/>
  <c r="U78" i="7"/>
  <c r="U79" i="7"/>
  <c r="U80" i="7"/>
  <c r="U81" i="7"/>
  <c r="U82" i="7"/>
  <c r="U83" i="7"/>
  <c r="U84" i="7"/>
  <c r="U85" i="7"/>
  <c r="U86" i="7"/>
  <c r="U87" i="7"/>
  <c r="U88" i="7"/>
  <c r="U89" i="7"/>
  <c r="U90" i="7"/>
  <c r="U91" i="7"/>
  <c r="U92" i="7"/>
  <c r="U93" i="7"/>
  <c r="U94" i="7"/>
  <c r="U95" i="7"/>
  <c r="U96" i="7"/>
  <c r="U97" i="7"/>
  <c r="U98" i="7"/>
  <c r="U99" i="7"/>
  <c r="U100" i="7"/>
  <c r="U101" i="7"/>
  <c r="U102" i="7"/>
  <c r="U103" i="7"/>
  <c r="U104" i="7"/>
  <c r="U105" i="7"/>
  <c r="U106" i="7"/>
  <c r="U107" i="7"/>
  <c r="U108" i="7"/>
  <c r="U109" i="7"/>
  <c r="U110" i="7"/>
  <c r="U111" i="7"/>
  <c r="U112" i="7"/>
  <c r="U113" i="7"/>
  <c r="U114" i="7"/>
  <c r="U115" i="7"/>
  <c r="U116" i="7"/>
  <c r="U117" i="7"/>
  <c r="U118" i="7"/>
  <c r="U119" i="7"/>
  <c r="U120" i="7"/>
  <c r="U121" i="7"/>
  <c r="U122" i="7"/>
  <c r="U123" i="7"/>
  <c r="T3" i="7"/>
  <c r="T4" i="7"/>
  <c r="T5" i="7"/>
  <c r="T6" i="7"/>
  <c r="T7" i="7"/>
  <c r="T8" i="7"/>
  <c r="T9" i="7"/>
  <c r="T10" i="7"/>
  <c r="T11" i="7"/>
  <c r="T12" i="7"/>
  <c r="T13" i="7"/>
  <c r="T14" i="7"/>
  <c r="T15" i="7"/>
  <c r="T16" i="7"/>
  <c r="T17" i="7"/>
  <c r="T18" i="7"/>
  <c r="T19" i="7"/>
  <c r="T20" i="7"/>
  <c r="T21" i="7"/>
  <c r="T22" i="7"/>
  <c r="T23" i="7"/>
  <c r="T24" i="7"/>
  <c r="T25" i="7"/>
  <c r="T26" i="7"/>
  <c r="T27" i="7"/>
  <c r="T28" i="7"/>
  <c r="T29" i="7"/>
  <c r="T30" i="7"/>
  <c r="T31" i="7"/>
  <c r="T32" i="7"/>
  <c r="T33" i="7"/>
  <c r="T34" i="7"/>
  <c r="T35" i="7"/>
  <c r="T36" i="7"/>
  <c r="T37" i="7"/>
  <c r="T38" i="7"/>
  <c r="T39" i="7"/>
  <c r="T40" i="7"/>
  <c r="T41" i="7"/>
  <c r="T42" i="7"/>
  <c r="T43" i="7"/>
  <c r="T44" i="7"/>
  <c r="T45" i="7"/>
  <c r="T46" i="7"/>
  <c r="T47" i="7"/>
  <c r="T48" i="7"/>
  <c r="T49" i="7"/>
  <c r="T50" i="7"/>
  <c r="T51" i="7"/>
  <c r="T52" i="7"/>
  <c r="T53" i="7"/>
  <c r="T54" i="7"/>
  <c r="T55" i="7"/>
  <c r="T56" i="7"/>
  <c r="T57" i="7"/>
  <c r="T58" i="7"/>
  <c r="T59" i="7"/>
  <c r="T60" i="7"/>
  <c r="T61" i="7"/>
  <c r="T62" i="7"/>
  <c r="T63" i="7"/>
  <c r="T64" i="7"/>
  <c r="T65" i="7"/>
  <c r="T66" i="7"/>
  <c r="T67" i="7"/>
  <c r="T68" i="7"/>
  <c r="T69" i="7"/>
  <c r="T70" i="7"/>
  <c r="T71" i="7"/>
  <c r="T72" i="7"/>
  <c r="T73" i="7"/>
  <c r="T74" i="7"/>
  <c r="T75" i="7"/>
  <c r="T76" i="7"/>
  <c r="T77" i="7"/>
  <c r="T78" i="7"/>
  <c r="T79" i="7"/>
  <c r="T80" i="7"/>
  <c r="T81" i="7"/>
  <c r="T82" i="7"/>
  <c r="T83" i="7"/>
  <c r="T84" i="7"/>
  <c r="T85" i="7"/>
  <c r="T86" i="7"/>
  <c r="T87" i="7"/>
  <c r="T88" i="7"/>
  <c r="T89" i="7"/>
  <c r="T90" i="7"/>
  <c r="T91" i="7"/>
  <c r="T92" i="7"/>
  <c r="T93" i="7"/>
  <c r="T94" i="7"/>
  <c r="T95" i="7"/>
  <c r="T96" i="7"/>
  <c r="T97" i="7"/>
  <c r="T98" i="7"/>
  <c r="T99" i="7"/>
  <c r="T100" i="7"/>
  <c r="T101" i="7"/>
  <c r="T102" i="7"/>
  <c r="T103" i="7"/>
  <c r="T104" i="7"/>
  <c r="T105" i="7"/>
  <c r="T106" i="7"/>
  <c r="T107" i="7"/>
  <c r="T108" i="7"/>
  <c r="T109" i="7"/>
  <c r="T110" i="7"/>
  <c r="T111" i="7"/>
  <c r="T112" i="7"/>
  <c r="T113" i="7"/>
  <c r="T114" i="7"/>
  <c r="T115" i="7"/>
  <c r="T116" i="7"/>
  <c r="T117" i="7"/>
  <c r="T118" i="7"/>
  <c r="T119" i="7"/>
  <c r="T120" i="7"/>
  <c r="T121" i="7"/>
  <c r="T122" i="7"/>
  <c r="T123" i="7"/>
  <c r="S3" i="7"/>
  <c r="S4" i="7"/>
  <c r="S5" i="7"/>
  <c r="S6" i="7"/>
  <c r="S7" i="7"/>
  <c r="S8" i="7"/>
  <c r="S9" i="7"/>
  <c r="S10" i="7"/>
  <c r="S11" i="7"/>
  <c r="S12" i="7"/>
  <c r="S13" i="7"/>
  <c r="S14" i="7"/>
  <c r="S15" i="7"/>
  <c r="S16" i="7"/>
  <c r="S17" i="7"/>
  <c r="S18" i="7"/>
  <c r="S19" i="7"/>
  <c r="S20" i="7"/>
  <c r="S21" i="7"/>
  <c r="S22" i="7"/>
  <c r="S23" i="7"/>
  <c r="S24" i="7"/>
  <c r="S25" i="7"/>
  <c r="S26" i="7"/>
  <c r="S27" i="7"/>
  <c r="S28" i="7"/>
  <c r="S29" i="7"/>
  <c r="S30" i="7"/>
  <c r="S31" i="7"/>
  <c r="S32" i="7"/>
  <c r="S33" i="7"/>
  <c r="S34" i="7"/>
  <c r="S35" i="7"/>
  <c r="S36" i="7"/>
  <c r="S37" i="7"/>
  <c r="S38" i="7"/>
  <c r="S39" i="7"/>
  <c r="S40" i="7"/>
  <c r="S41" i="7"/>
  <c r="S42" i="7"/>
  <c r="S43" i="7"/>
  <c r="S44" i="7"/>
  <c r="S45" i="7"/>
  <c r="S46" i="7"/>
  <c r="S47" i="7"/>
  <c r="S48" i="7"/>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83" i="7"/>
  <c r="S84" i="7"/>
  <c r="S85" i="7"/>
  <c r="S86" i="7"/>
  <c r="S87" i="7"/>
  <c r="S88" i="7"/>
  <c r="S89" i="7"/>
  <c r="S90" i="7"/>
  <c r="S91" i="7"/>
  <c r="S92" i="7"/>
  <c r="S93" i="7"/>
  <c r="S94" i="7"/>
  <c r="S95" i="7"/>
  <c r="S96" i="7"/>
  <c r="S97" i="7"/>
  <c r="S98" i="7"/>
  <c r="S99" i="7"/>
  <c r="S100" i="7"/>
  <c r="S101" i="7"/>
  <c r="S102" i="7"/>
  <c r="S103" i="7"/>
  <c r="S104" i="7"/>
  <c r="S105" i="7"/>
  <c r="S106" i="7"/>
  <c r="S107" i="7"/>
  <c r="S108" i="7"/>
  <c r="S109" i="7"/>
  <c r="S110" i="7"/>
  <c r="S111" i="7"/>
  <c r="S112" i="7"/>
  <c r="S113" i="7"/>
  <c r="S114" i="7"/>
  <c r="S115" i="7"/>
  <c r="S116" i="7"/>
  <c r="S117" i="7"/>
  <c r="S118" i="7"/>
  <c r="S119" i="7"/>
  <c r="S120" i="7"/>
  <c r="S121" i="7"/>
  <c r="S122" i="7"/>
  <c r="S123" i="7"/>
  <c r="R3" i="7"/>
  <c r="R4" i="7"/>
  <c r="R5" i="7"/>
  <c r="R6" i="7"/>
  <c r="R7" i="7"/>
  <c r="R8" i="7"/>
  <c r="R9" i="7"/>
  <c r="R10" i="7"/>
  <c r="R11" i="7"/>
  <c r="R12" i="7"/>
  <c r="R13" i="7"/>
  <c r="R14" i="7"/>
  <c r="R15" i="7"/>
  <c r="R16" i="7"/>
  <c r="R17" i="7"/>
  <c r="R18" i="7"/>
  <c r="R19" i="7"/>
  <c r="R20" i="7"/>
  <c r="R21" i="7"/>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56" i="7"/>
  <c r="R57" i="7"/>
  <c r="R58" i="7"/>
  <c r="R59" i="7"/>
  <c r="R60" i="7"/>
  <c r="R61" i="7"/>
  <c r="R62" i="7"/>
  <c r="R63" i="7"/>
  <c r="R64" i="7"/>
  <c r="R65" i="7"/>
  <c r="R66" i="7"/>
  <c r="R67" i="7"/>
  <c r="R68" i="7"/>
  <c r="R69" i="7"/>
  <c r="R70" i="7"/>
  <c r="R71" i="7"/>
  <c r="R72" i="7"/>
  <c r="R73" i="7"/>
  <c r="R74" i="7"/>
  <c r="R75" i="7"/>
  <c r="R76" i="7"/>
  <c r="R77" i="7"/>
  <c r="R78" i="7"/>
  <c r="R79" i="7"/>
  <c r="R80" i="7"/>
  <c r="R81" i="7"/>
  <c r="R82" i="7"/>
  <c r="R83" i="7"/>
  <c r="R84" i="7"/>
  <c r="R85" i="7"/>
  <c r="R86" i="7"/>
  <c r="R87" i="7"/>
  <c r="R88" i="7"/>
  <c r="R89" i="7"/>
  <c r="R90" i="7"/>
  <c r="R91" i="7"/>
  <c r="R92" i="7"/>
  <c r="R93" i="7"/>
  <c r="R94" i="7"/>
  <c r="R95" i="7"/>
  <c r="R96" i="7"/>
  <c r="R97" i="7"/>
  <c r="R98" i="7"/>
  <c r="R99" i="7"/>
  <c r="R100" i="7"/>
  <c r="R101" i="7"/>
  <c r="R102" i="7"/>
  <c r="R103" i="7"/>
  <c r="R104" i="7"/>
  <c r="R105" i="7"/>
  <c r="R106" i="7"/>
  <c r="R107" i="7"/>
  <c r="R108" i="7"/>
  <c r="R109" i="7"/>
  <c r="R110" i="7"/>
  <c r="R111" i="7"/>
  <c r="R112" i="7"/>
  <c r="R113" i="7"/>
  <c r="R114" i="7"/>
  <c r="R115" i="7"/>
  <c r="R116" i="7"/>
  <c r="R117" i="7"/>
  <c r="R118" i="7"/>
  <c r="R119" i="7"/>
  <c r="R120" i="7"/>
  <c r="R121" i="7"/>
  <c r="R122" i="7"/>
  <c r="R123" i="7"/>
  <c r="Q3" i="7"/>
  <c r="Q4" i="7"/>
  <c r="Q5" i="7"/>
  <c r="Q6" i="7"/>
  <c r="Q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P3" i="7"/>
  <c r="P4" i="7"/>
  <c r="P5" i="7"/>
  <c r="P6" i="7"/>
  <c r="P7" i="7"/>
  <c r="P8" i="7"/>
  <c r="P9" i="7"/>
  <c r="P10" i="7"/>
  <c r="P11" i="7"/>
  <c r="P12" i="7"/>
  <c r="P13" i="7"/>
  <c r="P14" i="7"/>
  <c r="P15" i="7"/>
  <c r="P16" i="7"/>
  <c r="P17" i="7"/>
  <c r="P18" i="7"/>
  <c r="P19" i="7"/>
  <c r="P20" i="7"/>
  <c r="P21" i="7"/>
  <c r="P22" i="7"/>
  <c r="P23" i="7"/>
  <c r="P24" i="7"/>
  <c r="P25" i="7"/>
  <c r="P26" i="7"/>
  <c r="P27" i="7"/>
  <c r="P28" i="7"/>
  <c r="P29" i="7"/>
  <c r="P30" i="7"/>
  <c r="P31" i="7"/>
  <c r="P32" i="7"/>
  <c r="P33" i="7"/>
  <c r="P34" i="7"/>
  <c r="P35" i="7"/>
  <c r="P36" i="7"/>
  <c r="P37" i="7"/>
  <c r="P38" i="7"/>
  <c r="P39" i="7"/>
  <c r="P40" i="7"/>
  <c r="P41" i="7"/>
  <c r="P42" i="7"/>
  <c r="P43" i="7"/>
  <c r="P44" i="7"/>
  <c r="P45" i="7"/>
  <c r="P46" i="7"/>
  <c r="P47" i="7"/>
  <c r="P48" i="7"/>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P83" i="7"/>
  <c r="P84" i="7"/>
  <c r="P85" i="7"/>
  <c r="P86" i="7"/>
  <c r="P87" i="7"/>
  <c r="P88" i="7"/>
  <c r="P89" i="7"/>
  <c r="P90" i="7"/>
  <c r="P91" i="7"/>
  <c r="P92" i="7"/>
  <c r="P93" i="7"/>
  <c r="P94" i="7"/>
  <c r="P95" i="7"/>
  <c r="P96" i="7"/>
  <c r="P97" i="7"/>
  <c r="P98" i="7"/>
  <c r="P99" i="7"/>
  <c r="P100" i="7"/>
  <c r="P101" i="7"/>
  <c r="P102" i="7"/>
  <c r="P103" i="7"/>
  <c r="P104" i="7"/>
  <c r="P105" i="7"/>
  <c r="P106" i="7"/>
  <c r="P107" i="7"/>
  <c r="P108" i="7"/>
  <c r="P109" i="7"/>
  <c r="P110" i="7"/>
  <c r="P111" i="7"/>
  <c r="P112" i="7"/>
  <c r="P113" i="7"/>
  <c r="P114" i="7"/>
  <c r="P115" i="7"/>
  <c r="P116" i="7"/>
  <c r="P117" i="7"/>
  <c r="P118" i="7"/>
  <c r="P119" i="7"/>
  <c r="P120" i="7"/>
  <c r="P121" i="7"/>
  <c r="P122" i="7"/>
  <c r="P123" i="7"/>
  <c r="O3" i="7"/>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N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2" i="7"/>
  <c r="D2" i="7"/>
  <c r="E2" i="7"/>
  <c r="F2" i="7"/>
  <c r="F3" i="8" s="1"/>
  <c r="G2" i="7"/>
  <c r="H2" i="7"/>
  <c r="I2" i="7"/>
  <c r="J2" i="7"/>
  <c r="J3" i="8" s="1"/>
  <c r="K2" i="7"/>
  <c r="L2" i="7"/>
  <c r="M2" i="7"/>
  <c r="N2" i="7"/>
  <c r="N3" i="8" s="1"/>
  <c r="O2" i="7"/>
  <c r="P2" i="7"/>
  <c r="Q2" i="7"/>
  <c r="Q2" i="8" s="1"/>
  <c r="R2" i="7"/>
  <c r="P2" i="8" s="1"/>
  <c r="S2" i="7"/>
  <c r="T2" i="7"/>
  <c r="U2"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2" i="7"/>
  <c r="M2" i="8"/>
  <c r="C10" i="9"/>
  <c r="D10" i="9"/>
  <c r="E10" i="9"/>
  <c r="F10" i="9"/>
  <c r="G10" i="9"/>
  <c r="H10" i="9"/>
  <c r="I10" i="9"/>
  <c r="J10" i="9"/>
  <c r="K10" i="9"/>
  <c r="L10" i="9"/>
  <c r="M10" i="9"/>
  <c r="N10" i="9"/>
  <c r="O10" i="9"/>
  <c r="P10" i="9"/>
  <c r="Q10" i="9"/>
  <c r="B10" i="9"/>
  <c r="C109" i="6"/>
  <c r="D109" i="6"/>
  <c r="E109" i="6"/>
  <c r="F109" i="6"/>
  <c r="G109" i="6"/>
  <c r="H109" i="6"/>
  <c r="I109" i="6"/>
  <c r="J109" i="6"/>
  <c r="K109" i="6"/>
  <c r="L109" i="6"/>
  <c r="M109" i="6"/>
  <c r="B109" i="6"/>
  <c r="C105" i="6"/>
  <c r="D105" i="6"/>
  <c r="E105" i="6"/>
  <c r="F105" i="6"/>
  <c r="G105" i="6"/>
  <c r="H105" i="6"/>
  <c r="I105" i="6"/>
  <c r="J105" i="6"/>
  <c r="K105" i="6"/>
  <c r="L105" i="6"/>
  <c r="M105" i="6"/>
  <c r="B105" i="6"/>
  <c r="C108" i="6"/>
  <c r="D108" i="6"/>
  <c r="E108" i="6"/>
  <c r="F108" i="6"/>
  <c r="G108" i="6"/>
  <c r="H108" i="6"/>
  <c r="I108" i="6"/>
  <c r="J108" i="6"/>
  <c r="K108" i="6"/>
  <c r="L108" i="6"/>
  <c r="M108" i="6"/>
  <c r="B108" i="6"/>
  <c r="C107" i="6"/>
  <c r="D107" i="6"/>
  <c r="E107" i="6"/>
  <c r="F107" i="6"/>
  <c r="G107" i="6"/>
  <c r="H107" i="6"/>
  <c r="I107" i="6"/>
  <c r="J107" i="6"/>
  <c r="K107" i="6"/>
  <c r="L107" i="6"/>
  <c r="M107" i="6"/>
  <c r="B107" i="6"/>
  <c r="C106" i="6"/>
  <c r="D106" i="6"/>
  <c r="E106" i="6"/>
  <c r="F106" i="6"/>
  <c r="G106" i="6"/>
  <c r="H106" i="6"/>
  <c r="I106" i="6"/>
  <c r="J106" i="6"/>
  <c r="K106" i="6"/>
  <c r="L106" i="6"/>
  <c r="M106" i="6"/>
  <c r="B106" i="6"/>
  <c r="M104" i="6"/>
  <c r="L104" i="6"/>
  <c r="K104" i="6"/>
  <c r="J104" i="6"/>
  <c r="I104" i="6"/>
  <c r="H104" i="6"/>
  <c r="G104" i="6"/>
  <c r="F104" i="6"/>
  <c r="E104" i="6"/>
  <c r="D104" i="6"/>
  <c r="C104" i="6"/>
  <c r="B104" i="6"/>
  <c r="C97" i="6"/>
  <c r="D97" i="6"/>
  <c r="E97" i="6"/>
  <c r="F97" i="6"/>
  <c r="G97" i="6"/>
  <c r="H97" i="6"/>
  <c r="I97" i="6"/>
  <c r="J97" i="6"/>
  <c r="K97" i="6"/>
  <c r="L97" i="6"/>
  <c r="M97" i="6"/>
  <c r="B97" i="6"/>
  <c r="C96" i="6"/>
  <c r="D96" i="6"/>
  <c r="E96" i="6"/>
  <c r="F96" i="6"/>
  <c r="G96" i="6"/>
  <c r="H96" i="6"/>
  <c r="I96" i="6"/>
  <c r="J96" i="6"/>
  <c r="K96" i="6"/>
  <c r="L96" i="6"/>
  <c r="M96" i="6"/>
  <c r="B96" i="6"/>
  <c r="C95" i="6"/>
  <c r="D95" i="6"/>
  <c r="E95" i="6"/>
  <c r="F95" i="6"/>
  <c r="G95" i="6"/>
  <c r="H95" i="6"/>
  <c r="I95" i="6"/>
  <c r="J95" i="6"/>
  <c r="K95" i="6"/>
  <c r="L95" i="6"/>
  <c r="M95" i="6"/>
  <c r="B95" i="6"/>
  <c r="C94" i="6"/>
  <c r="D94" i="6"/>
  <c r="E94" i="6"/>
  <c r="F94" i="6"/>
  <c r="G94" i="6"/>
  <c r="H94" i="6"/>
  <c r="I94" i="6"/>
  <c r="J94" i="6"/>
  <c r="K94" i="6"/>
  <c r="L94" i="6"/>
  <c r="M94" i="6"/>
  <c r="B94" i="6"/>
  <c r="M93" i="6"/>
  <c r="L93" i="6"/>
  <c r="K93" i="6"/>
  <c r="J93" i="6"/>
  <c r="I93" i="6"/>
  <c r="H93" i="6"/>
  <c r="G93" i="6"/>
  <c r="F93" i="6"/>
  <c r="E93" i="6"/>
  <c r="D93" i="6"/>
  <c r="C93" i="6"/>
  <c r="B93" i="6"/>
  <c r="C89" i="6"/>
  <c r="D89" i="6"/>
  <c r="E89" i="6"/>
  <c r="F89" i="6"/>
  <c r="G89" i="6"/>
  <c r="H89" i="6"/>
  <c r="I89" i="6"/>
  <c r="J89" i="6"/>
  <c r="K89" i="6"/>
  <c r="L89" i="6"/>
  <c r="M89" i="6"/>
  <c r="B89" i="6"/>
  <c r="C88" i="6"/>
  <c r="D88" i="6"/>
  <c r="E88" i="6"/>
  <c r="F88" i="6"/>
  <c r="G88" i="6"/>
  <c r="H88" i="6"/>
  <c r="I88" i="6"/>
  <c r="J88" i="6"/>
  <c r="K88" i="6"/>
  <c r="L88" i="6"/>
  <c r="M88" i="6"/>
  <c r="B88" i="6"/>
  <c r="C87" i="6"/>
  <c r="D87" i="6"/>
  <c r="E87" i="6"/>
  <c r="F87" i="6"/>
  <c r="G87" i="6"/>
  <c r="H87" i="6"/>
  <c r="I87" i="6"/>
  <c r="J87" i="6"/>
  <c r="K87" i="6"/>
  <c r="L87" i="6"/>
  <c r="M87" i="6"/>
  <c r="B87" i="6"/>
  <c r="C86" i="6"/>
  <c r="D86" i="6"/>
  <c r="E86" i="6"/>
  <c r="F86" i="6"/>
  <c r="G86" i="6"/>
  <c r="H86" i="6"/>
  <c r="I86" i="6"/>
  <c r="J86" i="6"/>
  <c r="K86" i="6"/>
  <c r="L86" i="6"/>
  <c r="M86" i="6"/>
  <c r="B86" i="6"/>
  <c r="M85" i="6"/>
  <c r="L85" i="6"/>
  <c r="K85" i="6"/>
  <c r="J85" i="6"/>
  <c r="I85" i="6"/>
  <c r="H85" i="6"/>
  <c r="G85" i="6"/>
  <c r="F85" i="6"/>
  <c r="E85" i="6"/>
  <c r="D85" i="6"/>
  <c r="C85" i="6"/>
  <c r="B85" i="6"/>
  <c r="M84" i="6"/>
  <c r="L84" i="6"/>
  <c r="K84" i="6"/>
  <c r="J84" i="6"/>
  <c r="I84" i="6"/>
  <c r="H84" i="6"/>
  <c r="G84" i="6"/>
  <c r="F84" i="6"/>
  <c r="E84" i="6"/>
  <c r="D84" i="6"/>
  <c r="C84" i="6"/>
  <c r="B84" i="6"/>
  <c r="M76" i="6"/>
  <c r="M77" i="6" s="1"/>
  <c r="L76" i="6"/>
  <c r="L77" i="6" s="1"/>
  <c r="K76" i="6"/>
  <c r="K77" i="6" s="1"/>
  <c r="J76" i="6"/>
  <c r="J77" i="6" s="1"/>
  <c r="I76" i="6"/>
  <c r="I77" i="6" s="1"/>
  <c r="H76" i="6"/>
  <c r="H77" i="6" s="1"/>
  <c r="G76" i="6"/>
  <c r="G77" i="6" s="1"/>
  <c r="F76" i="6"/>
  <c r="F77" i="6" s="1"/>
  <c r="E76" i="6"/>
  <c r="E77" i="6" s="1"/>
  <c r="D76" i="6"/>
  <c r="D77" i="6" s="1"/>
  <c r="C76" i="6"/>
  <c r="C77" i="6" s="1"/>
  <c r="B76" i="6"/>
  <c r="B77" i="6" s="1"/>
  <c r="M64" i="6"/>
  <c r="M68" i="6" s="1"/>
  <c r="L64" i="6"/>
  <c r="L68" i="6" s="1"/>
  <c r="K64" i="6"/>
  <c r="K68" i="6" s="1"/>
  <c r="J64" i="6"/>
  <c r="J68" i="6" s="1"/>
  <c r="I64" i="6"/>
  <c r="I68" i="6" s="1"/>
  <c r="H64" i="6"/>
  <c r="H68" i="6" s="1"/>
  <c r="G64" i="6"/>
  <c r="G68" i="6" s="1"/>
  <c r="F64" i="6"/>
  <c r="F68" i="6" s="1"/>
  <c r="E64" i="6"/>
  <c r="E68" i="6" s="1"/>
  <c r="D64" i="6"/>
  <c r="D68" i="6" s="1"/>
  <c r="C64" i="6"/>
  <c r="C68" i="6" s="1"/>
  <c r="B64" i="6"/>
  <c r="B68" i="6" s="1"/>
  <c r="M41" i="6"/>
  <c r="M42" i="6" s="1"/>
  <c r="L41" i="6"/>
  <c r="L44" i="6" s="1"/>
  <c r="K41" i="6"/>
  <c r="K44" i="6" s="1"/>
  <c r="J41" i="6"/>
  <c r="J44" i="6" s="1"/>
  <c r="I41" i="6"/>
  <c r="I42" i="6" s="1"/>
  <c r="H41" i="6"/>
  <c r="H44" i="6" s="1"/>
  <c r="G41" i="6"/>
  <c r="G44" i="6" s="1"/>
  <c r="F41" i="6"/>
  <c r="F44" i="6" s="1"/>
  <c r="E41" i="6"/>
  <c r="E42" i="6" s="1"/>
  <c r="D41" i="6"/>
  <c r="D44" i="6" s="1"/>
  <c r="C41" i="6"/>
  <c r="C44" i="6" s="1"/>
  <c r="B41" i="6"/>
  <c r="B44" i="6" s="1"/>
  <c r="C29" i="6"/>
  <c r="C31" i="6" s="1"/>
  <c r="D29" i="6"/>
  <c r="D31" i="6" s="1"/>
  <c r="E29" i="6"/>
  <c r="E31" i="6" s="1"/>
  <c r="F29" i="6"/>
  <c r="F31" i="6" s="1"/>
  <c r="G29" i="6"/>
  <c r="G31" i="6" s="1"/>
  <c r="H29" i="6"/>
  <c r="H31" i="6" s="1"/>
  <c r="I29" i="6"/>
  <c r="I31" i="6" s="1"/>
  <c r="J29" i="6"/>
  <c r="J31" i="6" s="1"/>
  <c r="K29" i="6"/>
  <c r="K31" i="6" s="1"/>
  <c r="L29" i="6"/>
  <c r="L31" i="6" s="1"/>
  <c r="M29" i="6"/>
  <c r="M31" i="6" s="1"/>
  <c r="B29" i="6"/>
  <c r="B31" i="6" s="1"/>
  <c r="M17" i="6"/>
  <c r="M20" i="6" s="1"/>
  <c r="L17" i="6"/>
  <c r="L20" i="6" s="1"/>
  <c r="K17" i="6"/>
  <c r="K20" i="6" s="1"/>
  <c r="J17" i="6"/>
  <c r="J20" i="6" s="1"/>
  <c r="I17" i="6"/>
  <c r="I20" i="6" s="1"/>
  <c r="H17" i="6"/>
  <c r="H20" i="6" s="1"/>
  <c r="G17" i="6"/>
  <c r="G20" i="6" s="1"/>
  <c r="F17" i="6"/>
  <c r="F20" i="6" s="1"/>
  <c r="E17" i="6"/>
  <c r="E20" i="6" s="1"/>
  <c r="D17" i="6"/>
  <c r="D20" i="6" s="1"/>
  <c r="C17" i="6"/>
  <c r="C20" i="6" s="1"/>
  <c r="B17" i="6"/>
  <c r="B18" i="6" s="1"/>
  <c r="M11" i="6"/>
  <c r="M13" i="6" s="1"/>
  <c r="L11" i="6"/>
  <c r="L13" i="6" s="1"/>
  <c r="K11" i="6"/>
  <c r="K13" i="6" s="1"/>
  <c r="J11" i="6"/>
  <c r="J12" i="6" s="1"/>
  <c r="I11" i="6"/>
  <c r="I13" i="6" s="1"/>
  <c r="H11" i="6"/>
  <c r="H13" i="6" s="1"/>
  <c r="G11" i="6"/>
  <c r="G13" i="6" s="1"/>
  <c r="F11" i="6"/>
  <c r="F13" i="6" s="1"/>
  <c r="E11" i="6"/>
  <c r="E13" i="6" s="1"/>
  <c r="D11" i="6"/>
  <c r="D13" i="6" s="1"/>
  <c r="C11" i="6"/>
  <c r="C13" i="6" s="1"/>
  <c r="B11" i="6"/>
  <c r="B12" i="6" s="1"/>
  <c r="C3" i="6"/>
  <c r="C5" i="6" s="1"/>
  <c r="D3" i="6"/>
  <c r="D5" i="6" s="1"/>
  <c r="E3" i="6"/>
  <c r="E5" i="6" s="1"/>
  <c r="F3" i="6"/>
  <c r="F4" i="6" s="1"/>
  <c r="G3" i="6"/>
  <c r="G5" i="6" s="1"/>
  <c r="H3" i="6"/>
  <c r="H5" i="6" s="1"/>
  <c r="I3" i="6"/>
  <c r="I5" i="6" s="1"/>
  <c r="J3" i="6"/>
  <c r="J5" i="6" s="1"/>
  <c r="K3" i="6"/>
  <c r="K5" i="6" s="1"/>
  <c r="L3" i="6"/>
  <c r="L5" i="6" s="1"/>
  <c r="M3" i="6"/>
  <c r="M5" i="6" s="1"/>
  <c r="B3" i="6"/>
  <c r="B4" i="6" s="1"/>
  <c r="L2" i="8"/>
  <c r="R1" i="8"/>
  <c r="Q1" i="8"/>
  <c r="P1" i="8"/>
  <c r="O1" i="8"/>
  <c r="N1" i="8"/>
  <c r="M1" i="8"/>
  <c r="L1" i="8"/>
  <c r="K1" i="8"/>
  <c r="J1" i="8"/>
  <c r="I1" i="8"/>
  <c r="H1" i="8"/>
  <c r="G1" i="8"/>
  <c r="F1" i="8"/>
  <c r="E1" i="8"/>
  <c r="D1" i="8"/>
  <c r="C1" i="8"/>
  <c r="B1" i="8"/>
  <c r="A123" i="8"/>
  <c r="A122" i="8"/>
  <c r="A121" i="8"/>
  <c r="A120" i="8"/>
  <c r="A119" i="8"/>
  <c r="A118" i="8"/>
  <c r="A117" i="8"/>
  <c r="A116" i="8"/>
  <c r="A115" i="8"/>
  <c r="A114" i="8"/>
  <c r="A113" i="8"/>
  <c r="A112" i="8"/>
  <c r="A111" i="8"/>
  <c r="A110" i="8"/>
  <c r="A109" i="8"/>
  <c r="A108" i="8"/>
  <c r="A107" i="8"/>
  <c r="A106" i="8"/>
  <c r="A105" i="8"/>
  <c r="A104" i="8"/>
  <c r="A103" i="8"/>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1" i="8"/>
  <c r="B1" i="7"/>
  <c r="C1" i="7"/>
  <c r="D1" i="7"/>
  <c r="E1" i="7"/>
  <c r="F1" i="7"/>
  <c r="G1" i="7"/>
  <c r="H1" i="7"/>
  <c r="I1" i="7"/>
  <c r="J1" i="7"/>
  <c r="K1" i="7"/>
  <c r="L1" i="7"/>
  <c r="M1" i="7"/>
  <c r="N1" i="7"/>
  <c r="O1" i="7"/>
  <c r="P1" i="7"/>
  <c r="Q1" i="7"/>
  <c r="R1" i="7"/>
  <c r="S1" i="7"/>
  <c r="T1" i="7"/>
  <c r="U1" i="7"/>
  <c r="A2"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 i="7"/>
  <c r="M13" i="15" l="1"/>
  <c r="E13" i="15"/>
  <c r="P13" i="15"/>
  <c r="L13" i="15"/>
  <c r="H13" i="15"/>
  <c r="D13" i="15"/>
  <c r="Q13" i="15"/>
  <c r="I13" i="15"/>
  <c r="B13" i="15"/>
  <c r="O13" i="15"/>
  <c r="K13" i="15"/>
  <c r="G13" i="15"/>
  <c r="C13" i="15"/>
  <c r="L74" i="15"/>
  <c r="I98" i="15"/>
  <c r="L81" i="15"/>
  <c r="B97" i="15"/>
  <c r="B98" i="15"/>
  <c r="B100" i="15"/>
  <c r="O98" i="15"/>
  <c r="N100" i="15"/>
  <c r="J97" i="15"/>
  <c r="M98" i="15"/>
  <c r="E98" i="15"/>
  <c r="J99" i="15"/>
  <c r="J100" i="15"/>
  <c r="B99" i="15"/>
  <c r="N97" i="15"/>
  <c r="G98" i="15"/>
  <c r="N99" i="15"/>
  <c r="F97" i="15"/>
  <c r="K98" i="15"/>
  <c r="C98" i="15"/>
  <c r="F99" i="15"/>
  <c r="F100" i="15"/>
  <c r="H91" i="15"/>
  <c r="H100" i="15"/>
  <c r="H99" i="15"/>
  <c r="H97" i="15"/>
  <c r="H98" i="15"/>
  <c r="D91" i="15"/>
  <c r="D100" i="15"/>
  <c r="D99" i="15"/>
  <c r="D97" i="15"/>
  <c r="D98" i="15"/>
  <c r="L91" i="15"/>
  <c r="L100" i="15"/>
  <c r="L99" i="15"/>
  <c r="L97" i="15"/>
  <c r="L98" i="15"/>
  <c r="P91" i="15"/>
  <c r="P100" i="15"/>
  <c r="P99" i="15"/>
  <c r="P97" i="15"/>
  <c r="P98" i="15"/>
  <c r="Q97" i="15"/>
  <c r="M97" i="15"/>
  <c r="I97" i="15"/>
  <c r="E97" i="15"/>
  <c r="Q99" i="15"/>
  <c r="M99" i="15"/>
  <c r="I99" i="15"/>
  <c r="E99" i="15"/>
  <c r="Q100" i="15"/>
  <c r="M100" i="15"/>
  <c r="I100" i="15"/>
  <c r="E100" i="15"/>
  <c r="O97" i="15"/>
  <c r="K97" i="15"/>
  <c r="G97" i="15"/>
  <c r="C97" i="15"/>
  <c r="N98" i="15"/>
  <c r="J98" i="15"/>
  <c r="J101" i="15" s="1"/>
  <c r="F98" i="15"/>
  <c r="Q98" i="15"/>
  <c r="O99" i="15"/>
  <c r="K99" i="15"/>
  <c r="G99" i="15"/>
  <c r="C99" i="15"/>
  <c r="O100" i="15"/>
  <c r="K100" i="15"/>
  <c r="G100" i="15"/>
  <c r="C100" i="15"/>
  <c r="N33" i="15"/>
  <c r="J33" i="15"/>
  <c r="B33" i="15"/>
  <c r="I33" i="15"/>
  <c r="Q33" i="15"/>
  <c r="F33" i="15"/>
  <c r="M33" i="15"/>
  <c r="E33" i="15"/>
  <c r="P33" i="15"/>
  <c r="L33" i="15"/>
  <c r="H33" i="15"/>
  <c r="D33" i="15"/>
  <c r="O33" i="15"/>
  <c r="K33" i="15"/>
  <c r="G33" i="15"/>
  <c r="C33" i="15"/>
  <c r="Q90" i="15"/>
  <c r="Q92" i="15"/>
  <c r="M90" i="15"/>
  <c r="M92" i="15"/>
  <c r="Q89" i="15"/>
  <c r="I92" i="15"/>
  <c r="M89" i="15"/>
  <c r="E92" i="15"/>
  <c r="N92" i="15"/>
  <c r="I89" i="15"/>
  <c r="I90" i="15"/>
  <c r="P92" i="15"/>
  <c r="L92" i="15"/>
  <c r="H92" i="15"/>
  <c r="D92" i="15"/>
  <c r="B92" i="15"/>
  <c r="J92" i="15"/>
  <c r="F92" i="15"/>
  <c r="E89" i="15"/>
  <c r="E90" i="15"/>
  <c r="O92" i="15"/>
  <c r="K92" i="15"/>
  <c r="G92" i="15"/>
  <c r="C92" i="15"/>
  <c r="B89" i="15"/>
  <c r="N89" i="15"/>
  <c r="J89" i="15"/>
  <c r="F89" i="15"/>
  <c r="B90" i="15"/>
  <c r="N90" i="15"/>
  <c r="J90" i="15"/>
  <c r="F90" i="15"/>
  <c r="P89" i="15"/>
  <c r="L89" i="15"/>
  <c r="H89" i="15"/>
  <c r="D89" i="15"/>
  <c r="P90" i="15"/>
  <c r="L90" i="15"/>
  <c r="H90" i="15"/>
  <c r="D90" i="15"/>
  <c r="O89" i="15"/>
  <c r="K89" i="15"/>
  <c r="G89" i="15"/>
  <c r="C89" i="15"/>
  <c r="O90" i="15"/>
  <c r="K90" i="15"/>
  <c r="G90" i="15"/>
  <c r="C90" i="15"/>
  <c r="P12" i="15"/>
  <c r="L12" i="15"/>
  <c r="H12" i="15"/>
  <c r="D12" i="15"/>
  <c r="M12" i="15"/>
  <c r="E12" i="15"/>
  <c r="O12" i="15"/>
  <c r="K12" i="15"/>
  <c r="G12" i="15"/>
  <c r="C12" i="15"/>
  <c r="Q12" i="15"/>
  <c r="I12" i="15"/>
  <c r="B12" i="15"/>
  <c r="B39" i="15" s="1"/>
  <c r="N12" i="15"/>
  <c r="N39" i="15" s="1"/>
  <c r="J12" i="15"/>
  <c r="J39" i="15" s="1"/>
  <c r="F12" i="15"/>
  <c r="F39" i="15" s="1"/>
  <c r="L69" i="15"/>
  <c r="B32" i="15"/>
  <c r="B36" i="15" s="1"/>
  <c r="N32" i="15"/>
  <c r="J32" i="15"/>
  <c r="J36" i="15" s="1"/>
  <c r="F32" i="15"/>
  <c r="P32" i="15"/>
  <c r="L32" i="15"/>
  <c r="L36" i="15" s="1"/>
  <c r="H32" i="15"/>
  <c r="D32" i="15"/>
  <c r="D36" i="15" s="1"/>
  <c r="Q32" i="15"/>
  <c r="M32" i="15"/>
  <c r="M36" i="15" s="1"/>
  <c r="I32" i="15"/>
  <c r="E32" i="15"/>
  <c r="E36" i="15" s="1"/>
  <c r="N31" i="15"/>
  <c r="O32" i="15"/>
  <c r="K32" i="15"/>
  <c r="K36" i="15" s="1"/>
  <c r="G32" i="15"/>
  <c r="C32" i="15"/>
  <c r="C36" i="15" s="1"/>
  <c r="J31" i="15"/>
  <c r="B31" i="15"/>
  <c r="Q31" i="15"/>
  <c r="F31" i="15"/>
  <c r="M31" i="15"/>
  <c r="E31" i="15"/>
  <c r="P31" i="15"/>
  <c r="L31" i="15"/>
  <c r="H31" i="15"/>
  <c r="D31" i="15"/>
  <c r="R7" i="15"/>
  <c r="E8" i="15"/>
  <c r="P6" i="15"/>
  <c r="L9" i="15"/>
  <c r="M5" i="15"/>
  <c r="H6" i="15"/>
  <c r="D9" i="15"/>
  <c r="E5" i="15"/>
  <c r="M8" i="15"/>
  <c r="N9" i="15"/>
  <c r="F9" i="15"/>
  <c r="N6" i="15"/>
  <c r="F6" i="15"/>
  <c r="L6" i="15"/>
  <c r="D6" i="15"/>
  <c r="B9" i="15"/>
  <c r="B38" i="15" s="1"/>
  <c r="J9" i="15"/>
  <c r="J38" i="15" s="1"/>
  <c r="J6" i="15"/>
  <c r="P9" i="15"/>
  <c r="H9" i="15"/>
  <c r="C30" i="15"/>
  <c r="C9" i="15"/>
  <c r="C6" i="15"/>
  <c r="G30" i="15"/>
  <c r="G9" i="15"/>
  <c r="G6" i="15"/>
  <c r="K30" i="15"/>
  <c r="K9" i="15"/>
  <c r="K6" i="15"/>
  <c r="O30" i="15"/>
  <c r="O9" i="15"/>
  <c r="O6" i="15"/>
  <c r="O5" i="15"/>
  <c r="G5" i="15"/>
  <c r="F38" i="15"/>
  <c r="G11" i="15"/>
  <c r="K8" i="15"/>
  <c r="C8" i="15"/>
  <c r="E30" i="15"/>
  <c r="E9" i="15"/>
  <c r="E6" i="15"/>
  <c r="I30" i="15"/>
  <c r="I9" i="15"/>
  <c r="G35" i="15" s="1"/>
  <c r="I6" i="15"/>
  <c r="M30" i="15"/>
  <c r="M9" i="15"/>
  <c r="M6" i="15"/>
  <c r="Q30" i="15"/>
  <c r="Q9" i="15"/>
  <c r="K5" i="15"/>
  <c r="C5" i="15"/>
  <c r="Q8" i="15"/>
  <c r="I8" i="15"/>
  <c r="K11" i="15"/>
  <c r="C11" i="15"/>
  <c r="O11" i="15"/>
  <c r="F26" i="15"/>
  <c r="J26" i="15"/>
  <c r="N26" i="15"/>
  <c r="Q5" i="15"/>
  <c r="Q7" i="15" s="1"/>
  <c r="I5" i="15"/>
  <c r="O8" i="15"/>
  <c r="G8" i="15"/>
  <c r="Q11" i="15"/>
  <c r="I11" i="15"/>
  <c r="B30" i="15"/>
  <c r="N30" i="15"/>
  <c r="J30" i="15"/>
  <c r="F30" i="15"/>
  <c r="P5" i="15"/>
  <c r="L5" i="15"/>
  <c r="H5" i="15"/>
  <c r="D5" i="15"/>
  <c r="B6" i="15"/>
  <c r="P8" i="15"/>
  <c r="L8" i="15"/>
  <c r="H8" i="15"/>
  <c r="D8" i="15"/>
  <c r="B11" i="15"/>
  <c r="N11" i="15"/>
  <c r="J11" i="15"/>
  <c r="F11" i="15"/>
  <c r="P30" i="15"/>
  <c r="L30" i="15"/>
  <c r="H30" i="15"/>
  <c r="D30" i="15"/>
  <c r="B5" i="15"/>
  <c r="N5" i="15"/>
  <c r="J5" i="15"/>
  <c r="F5" i="15"/>
  <c r="B5" i="12"/>
  <c r="N5" i="12"/>
  <c r="J5" i="12"/>
  <c r="F5" i="12"/>
  <c r="Q5" i="12"/>
  <c r="M5" i="12"/>
  <c r="I5" i="12"/>
  <c r="E5" i="12"/>
  <c r="P5" i="12"/>
  <c r="L5" i="12"/>
  <c r="H5" i="12"/>
  <c r="D5" i="12"/>
  <c r="H2" i="8"/>
  <c r="I2" i="8"/>
  <c r="D2" i="8"/>
  <c r="E2" i="8"/>
  <c r="K3" i="8"/>
  <c r="D3" i="8"/>
  <c r="L3" i="8"/>
  <c r="I3" i="8"/>
  <c r="M3" i="8"/>
  <c r="R3" i="8"/>
  <c r="B2" i="8"/>
  <c r="E3" i="8"/>
  <c r="C3" i="8"/>
  <c r="O2" i="8"/>
  <c r="K2" i="8"/>
  <c r="G2" i="8"/>
  <c r="R2" i="8"/>
  <c r="H3" i="8"/>
  <c r="C2" i="8"/>
  <c r="N2" i="8"/>
  <c r="J2" i="8"/>
  <c r="F2" i="8"/>
  <c r="G3" i="8"/>
  <c r="B19" i="6"/>
  <c r="B21" i="6" s="1"/>
  <c r="J19" i="6"/>
  <c r="F19" i="6"/>
  <c r="K33" i="6"/>
  <c r="G33" i="6"/>
  <c r="C33" i="6"/>
  <c r="K34" i="6"/>
  <c r="G34" i="6"/>
  <c r="C34" i="6"/>
  <c r="B30" i="6"/>
  <c r="J30" i="6"/>
  <c r="F30" i="6"/>
  <c r="B32" i="6"/>
  <c r="J32" i="6"/>
  <c r="F32" i="6"/>
  <c r="B42" i="6"/>
  <c r="F42" i="6"/>
  <c r="J42" i="6"/>
  <c r="B43" i="6"/>
  <c r="J43" i="6"/>
  <c r="F43" i="6"/>
  <c r="B65" i="6"/>
  <c r="J65" i="6"/>
  <c r="F65" i="6"/>
  <c r="B66" i="6"/>
  <c r="J66" i="6"/>
  <c r="F66" i="6"/>
  <c r="B78" i="6"/>
  <c r="B79" i="6" s="1"/>
  <c r="J78" i="6"/>
  <c r="J79" i="6" s="1"/>
  <c r="F78" i="6"/>
  <c r="F79" i="6" s="1"/>
  <c r="M19" i="6"/>
  <c r="I19" i="6"/>
  <c r="E19" i="6"/>
  <c r="B33" i="6"/>
  <c r="J33" i="6"/>
  <c r="F33" i="6"/>
  <c r="B34" i="6"/>
  <c r="B35" i="6" s="1"/>
  <c r="J34" i="6"/>
  <c r="J35" i="6" s="1"/>
  <c r="F34" i="6"/>
  <c r="F35" i="6" s="1"/>
  <c r="M30" i="6"/>
  <c r="I30" i="6"/>
  <c r="E30" i="6"/>
  <c r="M32" i="6"/>
  <c r="I32" i="6"/>
  <c r="E32" i="6"/>
  <c r="C42" i="6"/>
  <c r="G42" i="6"/>
  <c r="K42" i="6"/>
  <c r="M43" i="6"/>
  <c r="M45" i="6" s="1"/>
  <c r="I43" i="6"/>
  <c r="I45" i="6" s="1"/>
  <c r="E43" i="6"/>
  <c r="E45" i="6" s="1"/>
  <c r="M44" i="6"/>
  <c r="I44" i="6"/>
  <c r="E44" i="6"/>
  <c r="M65" i="6"/>
  <c r="I65" i="6"/>
  <c r="E65" i="6"/>
  <c r="E67" i="6" s="1"/>
  <c r="E69" i="6" s="1"/>
  <c r="M66" i="6"/>
  <c r="I66" i="6"/>
  <c r="E66" i="6"/>
  <c r="M78" i="6"/>
  <c r="M79" i="6" s="1"/>
  <c r="I78" i="6"/>
  <c r="I79" i="6" s="1"/>
  <c r="E78" i="6"/>
  <c r="E79" i="6" s="1"/>
  <c r="L19" i="6"/>
  <c r="H19" i="6"/>
  <c r="D19" i="6"/>
  <c r="M33" i="6"/>
  <c r="I33" i="6"/>
  <c r="E33" i="6"/>
  <c r="M34" i="6"/>
  <c r="M35" i="6" s="1"/>
  <c r="I34" i="6"/>
  <c r="I35" i="6" s="1"/>
  <c r="E34" i="6"/>
  <c r="L30" i="6"/>
  <c r="H30" i="6"/>
  <c r="D30" i="6"/>
  <c r="L32" i="6"/>
  <c r="H32" i="6"/>
  <c r="D32" i="6"/>
  <c r="D42" i="6"/>
  <c r="D45" i="6" s="1"/>
  <c r="H42" i="6"/>
  <c r="L42" i="6"/>
  <c r="L45" i="6" s="1"/>
  <c r="L43" i="6"/>
  <c r="H43" i="6"/>
  <c r="D43" i="6"/>
  <c r="L65" i="6"/>
  <c r="L67" i="6" s="1"/>
  <c r="L69" i="6" s="1"/>
  <c r="H65" i="6"/>
  <c r="D65" i="6"/>
  <c r="L66" i="6"/>
  <c r="H66" i="6"/>
  <c r="D66" i="6"/>
  <c r="L78" i="6"/>
  <c r="L79" i="6" s="1"/>
  <c r="H78" i="6"/>
  <c r="H79" i="6" s="1"/>
  <c r="D78" i="6"/>
  <c r="D79" i="6" s="1"/>
  <c r="B20" i="6"/>
  <c r="K19" i="6"/>
  <c r="G19" i="6"/>
  <c r="C19" i="6"/>
  <c r="L33" i="6"/>
  <c r="H33" i="6"/>
  <c r="D33" i="6"/>
  <c r="L34" i="6"/>
  <c r="L35" i="6" s="1"/>
  <c r="H34" i="6"/>
  <c r="H35" i="6" s="1"/>
  <c r="D34" i="6"/>
  <c r="D35" i="6" s="1"/>
  <c r="K30" i="6"/>
  <c r="G30" i="6"/>
  <c r="C30" i="6"/>
  <c r="K32" i="6"/>
  <c r="G32" i="6"/>
  <c r="C32" i="6"/>
  <c r="K43" i="6"/>
  <c r="G43" i="6"/>
  <c r="C43" i="6"/>
  <c r="K65" i="6"/>
  <c r="K67" i="6" s="1"/>
  <c r="K69" i="6" s="1"/>
  <c r="G65" i="6"/>
  <c r="C65" i="6"/>
  <c r="K66" i="6"/>
  <c r="G66" i="6"/>
  <c r="C66" i="6"/>
  <c r="K78" i="6"/>
  <c r="K79" i="6" s="1"/>
  <c r="G78" i="6"/>
  <c r="G79" i="6" s="1"/>
  <c r="C78" i="6"/>
  <c r="C79" i="6" s="1"/>
  <c r="J4" i="6"/>
  <c r="B5" i="6"/>
  <c r="B6" i="6" s="1"/>
  <c r="F5" i="6"/>
  <c r="F12" i="6"/>
  <c r="F14" i="6" s="1"/>
  <c r="B13" i="6"/>
  <c r="B14" i="6" s="1"/>
  <c r="J13" i="6"/>
  <c r="J14" i="6" s="1"/>
  <c r="J18" i="6"/>
  <c r="J21" i="6" s="1"/>
  <c r="M4" i="6"/>
  <c r="I4" i="6"/>
  <c r="E4" i="6"/>
  <c r="E6" i="6" s="1"/>
  <c r="C12" i="6"/>
  <c r="C14" i="6" s="1"/>
  <c r="G12" i="6"/>
  <c r="G14" i="6" s="1"/>
  <c r="K12" i="6"/>
  <c r="K14" i="6" s="1"/>
  <c r="C18" i="6"/>
  <c r="C21" i="6" s="1"/>
  <c r="G18" i="6"/>
  <c r="G21" i="6" s="1"/>
  <c r="K18" i="6"/>
  <c r="K21" i="6" s="1"/>
  <c r="L4" i="6"/>
  <c r="H4" i="6"/>
  <c r="H6" i="6" s="1"/>
  <c r="D4" i="6"/>
  <c r="D12" i="6"/>
  <c r="D14" i="6" s="1"/>
  <c r="H12" i="6"/>
  <c r="H14" i="6" s="1"/>
  <c r="L12" i="6"/>
  <c r="L14" i="6" s="1"/>
  <c r="D18" i="6"/>
  <c r="D21" i="6" s="1"/>
  <c r="H18" i="6"/>
  <c r="H21" i="6" s="1"/>
  <c r="L18" i="6"/>
  <c r="L21" i="6" s="1"/>
  <c r="F18" i="6"/>
  <c r="F21" i="6" s="1"/>
  <c r="K4" i="6"/>
  <c r="K6" i="6" s="1"/>
  <c r="G4" i="6"/>
  <c r="C4" i="6"/>
  <c r="C6" i="6" s="1"/>
  <c r="E12" i="6"/>
  <c r="E14" i="6" s="1"/>
  <c r="I12" i="6"/>
  <c r="I14" i="6" s="1"/>
  <c r="M12" i="6"/>
  <c r="M14" i="6" s="1"/>
  <c r="E18" i="6"/>
  <c r="E21" i="6" s="1"/>
  <c r="I18" i="6"/>
  <c r="I21" i="6" s="1"/>
  <c r="M18" i="6"/>
  <c r="M21" i="6" s="1"/>
  <c r="J6" i="6"/>
  <c r="F6" i="6"/>
  <c r="M6" i="6"/>
  <c r="I6" i="6"/>
  <c r="L6" i="6"/>
  <c r="D6" i="6"/>
  <c r="G6" i="6"/>
  <c r="F101" i="15" l="1"/>
  <c r="B101" i="15"/>
  <c r="N37" i="15"/>
  <c r="G37" i="15"/>
  <c r="H37" i="15"/>
  <c r="F37" i="15"/>
  <c r="J37" i="15"/>
  <c r="N101" i="15"/>
  <c r="L101" i="15"/>
  <c r="C101" i="15"/>
  <c r="D101" i="15"/>
  <c r="K101" i="15"/>
  <c r="M101" i="15"/>
  <c r="E101" i="15"/>
  <c r="G101" i="15"/>
  <c r="I101" i="15"/>
  <c r="O101" i="15"/>
  <c r="Q101" i="15"/>
  <c r="P101" i="15"/>
  <c r="P102" i="15" s="1"/>
  <c r="H101" i="15"/>
  <c r="L39" i="15"/>
  <c r="Q93" i="15"/>
  <c r="Q104" i="15" s="1"/>
  <c r="G39" i="15"/>
  <c r="E37" i="15"/>
  <c r="P39" i="15"/>
  <c r="M37" i="15"/>
  <c r="Q37" i="15"/>
  <c r="K37" i="15"/>
  <c r="L37" i="15"/>
  <c r="I37" i="15"/>
  <c r="O37" i="15"/>
  <c r="P37" i="15"/>
  <c r="B37" i="15"/>
  <c r="H39" i="15"/>
  <c r="C37" i="15"/>
  <c r="D37" i="15"/>
  <c r="C39" i="15"/>
  <c r="E39" i="15"/>
  <c r="I39" i="15"/>
  <c r="K39" i="15"/>
  <c r="M39" i="15"/>
  <c r="R12" i="15"/>
  <c r="Q39" i="15"/>
  <c r="O39" i="15"/>
  <c r="D39" i="15"/>
  <c r="J93" i="15"/>
  <c r="J104" i="15" s="1"/>
  <c r="G93" i="15"/>
  <c r="G104" i="15" s="1"/>
  <c r="C93" i="15"/>
  <c r="C104" i="15" s="1"/>
  <c r="B93" i="15"/>
  <c r="B104" i="15" s="1"/>
  <c r="P93" i="15"/>
  <c r="P104" i="15" s="1"/>
  <c r="F93" i="15"/>
  <c r="H93" i="15"/>
  <c r="H104" i="15" s="1"/>
  <c r="I93" i="15"/>
  <c r="M93" i="15"/>
  <c r="E93" i="15"/>
  <c r="D93" i="15"/>
  <c r="D104" i="15" s="1"/>
  <c r="K93" i="15"/>
  <c r="K104" i="15" s="1"/>
  <c r="O93" i="15"/>
  <c r="L93" i="15"/>
  <c r="L104" i="15" s="1"/>
  <c r="N93" i="15"/>
  <c r="N104" i="15" s="1"/>
  <c r="Q16" i="15"/>
  <c r="Q94" i="15"/>
  <c r="Q17" i="15" s="1"/>
  <c r="G7" i="15"/>
  <c r="G94" i="15" s="1"/>
  <c r="G17" i="15" s="1"/>
  <c r="N35" i="15"/>
  <c r="I36" i="15"/>
  <c r="H36" i="15"/>
  <c r="J35" i="15"/>
  <c r="G36" i="15"/>
  <c r="F36" i="15"/>
  <c r="O36" i="15"/>
  <c r="N36" i="15"/>
  <c r="Q36" i="15"/>
  <c r="P36" i="15"/>
  <c r="F35" i="15"/>
  <c r="I26" i="15"/>
  <c r="E35" i="15"/>
  <c r="L27" i="15"/>
  <c r="I35" i="15"/>
  <c r="P27" i="15"/>
  <c r="F27" i="15"/>
  <c r="D35" i="15"/>
  <c r="N7" i="15"/>
  <c r="L34" i="15"/>
  <c r="J34" i="15"/>
  <c r="E7" i="15"/>
  <c r="L28" i="15"/>
  <c r="N27" i="15"/>
  <c r="H35" i="15"/>
  <c r="O35" i="15"/>
  <c r="P28" i="15"/>
  <c r="R11" i="15"/>
  <c r="R15" i="15" s="1"/>
  <c r="M35" i="15"/>
  <c r="Q35" i="15"/>
  <c r="K35" i="15"/>
  <c r="D34" i="15"/>
  <c r="D38" i="15"/>
  <c r="P7" i="15"/>
  <c r="B34" i="15"/>
  <c r="E38" i="15"/>
  <c r="L35" i="15"/>
  <c r="M7" i="15"/>
  <c r="P35" i="15"/>
  <c r="B35" i="15"/>
  <c r="C35" i="15"/>
  <c r="H34" i="15"/>
  <c r="D7" i="15"/>
  <c r="F34" i="15"/>
  <c r="H28" i="15"/>
  <c r="H7" i="15"/>
  <c r="C7" i="15"/>
  <c r="E34" i="15"/>
  <c r="C34" i="15"/>
  <c r="P38" i="15"/>
  <c r="K7" i="15"/>
  <c r="I34" i="15"/>
  <c r="H27" i="15"/>
  <c r="L7" i="15"/>
  <c r="O26" i="15"/>
  <c r="N38" i="15"/>
  <c r="M34" i="15"/>
  <c r="J7" i="15"/>
  <c r="K34" i="15"/>
  <c r="G34" i="15"/>
  <c r="H38" i="15"/>
  <c r="L26" i="15"/>
  <c r="N28" i="15"/>
  <c r="J27" i="15"/>
  <c r="J28" i="15"/>
  <c r="F7" i="15"/>
  <c r="F28" i="15"/>
  <c r="K26" i="15"/>
  <c r="C38" i="15"/>
  <c r="Q14" i="15"/>
  <c r="Q15" i="15"/>
  <c r="M28" i="15"/>
  <c r="M27" i="15"/>
  <c r="M38" i="15"/>
  <c r="L38" i="15"/>
  <c r="K28" i="15"/>
  <c r="K27" i="15"/>
  <c r="K38" i="15"/>
  <c r="H26" i="15"/>
  <c r="G26" i="15"/>
  <c r="Q28" i="15"/>
  <c r="Q27" i="15"/>
  <c r="Q38" i="15"/>
  <c r="R9" i="15"/>
  <c r="R14" i="15" s="1"/>
  <c r="M26" i="15"/>
  <c r="O28" i="15"/>
  <c r="O27" i="15"/>
  <c r="O38" i="15"/>
  <c r="R8" i="15"/>
  <c r="R16" i="15" s="1"/>
  <c r="Q26" i="15"/>
  <c r="Q34" i="15"/>
  <c r="O34" i="15"/>
  <c r="B7" i="15"/>
  <c r="P34" i="15"/>
  <c r="P26" i="15"/>
  <c r="N34" i="15"/>
  <c r="I7" i="15"/>
  <c r="I28" i="15"/>
  <c r="I27" i="15"/>
  <c r="I38" i="15"/>
  <c r="O7" i="15"/>
  <c r="G28" i="15"/>
  <c r="G27" i="15"/>
  <c r="G38" i="15"/>
  <c r="Q3" i="8"/>
  <c r="C4" i="8"/>
  <c r="O3" i="8"/>
  <c r="P3" i="8"/>
  <c r="B3" i="8"/>
  <c r="I4" i="8"/>
  <c r="P4" i="8"/>
  <c r="L4" i="8"/>
  <c r="F4" i="8"/>
  <c r="E5" i="8"/>
  <c r="E4" i="8"/>
  <c r="Q4" i="8"/>
  <c r="O4" i="8"/>
  <c r="K4" i="8"/>
  <c r="D4" i="8"/>
  <c r="M4" i="8"/>
  <c r="R4" i="8"/>
  <c r="N4" i="8"/>
  <c r="J4" i="8"/>
  <c r="G5" i="8"/>
  <c r="C5" i="8"/>
  <c r="G4" i="8"/>
  <c r="H4" i="8"/>
  <c r="B4" i="8"/>
  <c r="H45" i="6"/>
  <c r="E35" i="6"/>
  <c r="I67" i="6"/>
  <c r="I69" i="6" s="1"/>
  <c r="K45" i="6"/>
  <c r="F67" i="6"/>
  <c r="F69" i="6" s="1"/>
  <c r="B45" i="6"/>
  <c r="G35" i="6"/>
  <c r="C67" i="6"/>
  <c r="C69" i="6" s="1"/>
  <c r="D67" i="6"/>
  <c r="D69" i="6" s="1"/>
  <c r="M67" i="6"/>
  <c r="M69" i="6" s="1"/>
  <c r="G45" i="6"/>
  <c r="J67" i="6"/>
  <c r="J69" i="6" s="1"/>
  <c r="K35" i="6"/>
  <c r="G67" i="6"/>
  <c r="G69" i="6" s="1"/>
  <c r="H67" i="6"/>
  <c r="H69" i="6" s="1"/>
  <c r="C45" i="6"/>
  <c r="B67" i="6"/>
  <c r="B69" i="6" s="1"/>
  <c r="J45" i="6"/>
  <c r="F45" i="6"/>
  <c r="C35" i="6"/>
  <c r="K83" i="5"/>
  <c r="J83" i="5"/>
  <c r="I83" i="5"/>
  <c r="H83" i="5"/>
  <c r="G83" i="5"/>
  <c r="C83" i="5"/>
  <c r="D83" i="5"/>
  <c r="E83" i="5"/>
  <c r="F83" i="5"/>
  <c r="B83" i="5"/>
  <c r="K82" i="5"/>
  <c r="J82" i="5"/>
  <c r="I82" i="5"/>
  <c r="H82" i="5"/>
  <c r="G82" i="5"/>
  <c r="C82" i="5"/>
  <c r="D82" i="5"/>
  <c r="E82" i="5"/>
  <c r="F82" i="5"/>
  <c r="B82"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11" i="5"/>
  <c r="D3" i="5"/>
  <c r="D4" i="5"/>
  <c r="D5" i="5"/>
  <c r="D2" i="5"/>
  <c r="H79" i="4"/>
  <c r="G79" i="4"/>
  <c r="F79" i="4"/>
  <c r="E79" i="4"/>
  <c r="C79" i="4"/>
  <c r="D79" i="4"/>
  <c r="B79"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8" i="4"/>
  <c r="D2" i="4"/>
  <c r="D3" i="4"/>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 i="3"/>
  <c r="F61" i="3"/>
  <c r="F62" i="3"/>
  <c r="F63" i="3"/>
  <c r="F64" i="3"/>
  <c r="F65" i="3"/>
  <c r="F66" i="3"/>
  <c r="F67" i="3"/>
  <c r="F68" i="3"/>
  <c r="F69" i="3"/>
  <c r="F70" i="3"/>
  <c r="F71" i="3"/>
  <c r="F60" i="3"/>
  <c r="F48" i="3"/>
  <c r="F49" i="3"/>
  <c r="F50" i="3"/>
  <c r="F51" i="3"/>
  <c r="F52" i="3"/>
  <c r="F53" i="3"/>
  <c r="F54" i="3"/>
  <c r="F55" i="3"/>
  <c r="F56" i="3"/>
  <c r="F57" i="3"/>
  <c r="F58" i="3"/>
  <c r="F59" i="3"/>
  <c r="F47" i="3"/>
  <c r="F34" i="3"/>
  <c r="F35" i="3"/>
  <c r="F36" i="3"/>
  <c r="F37" i="3"/>
  <c r="F38" i="3"/>
  <c r="F39" i="3"/>
  <c r="F40" i="3"/>
  <c r="F41" i="3"/>
  <c r="F42" i="3"/>
  <c r="F43" i="3"/>
  <c r="F44" i="3"/>
  <c r="F45" i="3"/>
  <c r="F46" i="3"/>
  <c r="F33" i="3"/>
  <c r="F16" i="3"/>
  <c r="F17" i="3"/>
  <c r="F18" i="3"/>
  <c r="F19" i="3"/>
  <c r="F20" i="3"/>
  <c r="F21" i="3"/>
  <c r="F22" i="3"/>
  <c r="F23" i="3"/>
  <c r="F24" i="3"/>
  <c r="F25" i="3"/>
  <c r="F26" i="3"/>
  <c r="F27" i="3"/>
  <c r="F28" i="3"/>
  <c r="F29" i="3"/>
  <c r="F30" i="3"/>
  <c r="F15" i="3"/>
  <c r="F4" i="3"/>
  <c r="F5" i="3"/>
  <c r="F6" i="3"/>
  <c r="F7" i="3"/>
  <c r="F8" i="3"/>
  <c r="F9" i="3"/>
  <c r="F10" i="3"/>
  <c r="F11" i="3"/>
  <c r="F12" i="3"/>
  <c r="F13" i="3"/>
  <c r="F14" i="3"/>
  <c r="F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3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 i="3"/>
  <c r="C61" i="3"/>
  <c r="C62" i="3"/>
  <c r="C63" i="3"/>
  <c r="C64" i="3"/>
  <c r="C65" i="3"/>
  <c r="C66" i="3"/>
  <c r="C67" i="3"/>
  <c r="C68" i="3"/>
  <c r="C69" i="3"/>
  <c r="C70" i="3"/>
  <c r="C71" i="3"/>
  <c r="C60" i="3"/>
  <c r="C48" i="3"/>
  <c r="C49" i="3"/>
  <c r="C50" i="3"/>
  <c r="C51" i="3"/>
  <c r="C52" i="3"/>
  <c r="C53" i="3"/>
  <c r="C54" i="3"/>
  <c r="C55" i="3"/>
  <c r="C56" i="3"/>
  <c r="C57" i="3"/>
  <c r="C58" i="3"/>
  <c r="C59" i="3"/>
  <c r="C47" i="3"/>
  <c r="C34" i="3"/>
  <c r="C35" i="3"/>
  <c r="C36" i="3"/>
  <c r="C37" i="3"/>
  <c r="C38" i="3"/>
  <c r="C39" i="3"/>
  <c r="C40" i="3"/>
  <c r="C41" i="3"/>
  <c r="C42" i="3"/>
  <c r="C43" i="3"/>
  <c r="C44" i="3"/>
  <c r="C45" i="3"/>
  <c r="C46" i="3"/>
  <c r="C33" i="3"/>
  <c r="E61"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2" i="3"/>
  <c r="E63" i="3"/>
  <c r="E64" i="3"/>
  <c r="E65" i="3"/>
  <c r="E66" i="3"/>
  <c r="E67" i="3"/>
  <c r="E68" i="3"/>
  <c r="E69" i="3"/>
  <c r="E70" i="3"/>
  <c r="E71" i="3"/>
  <c r="E72" i="3"/>
  <c r="E4" i="3"/>
  <c r="E3" i="3"/>
  <c r="B4" i="3"/>
  <c r="B5" i="3"/>
  <c r="B6" i="3"/>
  <c r="C6" i="3" s="1"/>
  <c r="B7" i="3"/>
  <c r="C7" i="3" s="1"/>
  <c r="B8" i="3"/>
  <c r="B9" i="3"/>
  <c r="B10" i="3"/>
  <c r="C10" i="3" s="1"/>
  <c r="B11" i="3"/>
  <c r="C11" i="3" s="1"/>
  <c r="B12" i="3"/>
  <c r="B13" i="3"/>
  <c r="B14" i="3"/>
  <c r="C14" i="3" s="1"/>
  <c r="B15" i="3"/>
  <c r="C15" i="3" s="1"/>
  <c r="B16" i="3"/>
  <c r="B17" i="3"/>
  <c r="B18" i="3"/>
  <c r="C18" i="3" s="1"/>
  <c r="B19" i="3"/>
  <c r="C19" i="3" s="1"/>
  <c r="B20" i="3"/>
  <c r="B21" i="3"/>
  <c r="B22" i="3"/>
  <c r="C22" i="3" s="1"/>
  <c r="B23" i="3"/>
  <c r="C23" i="3" s="1"/>
  <c r="B24" i="3"/>
  <c r="B25" i="3"/>
  <c r="B26" i="3"/>
  <c r="C26" i="3" s="1"/>
  <c r="B27" i="3"/>
  <c r="C27" i="3" s="1"/>
  <c r="B28" i="3"/>
  <c r="B29" i="3"/>
  <c r="B30" i="3"/>
  <c r="C30" i="3" s="1"/>
  <c r="B31" i="3"/>
  <c r="D31" i="3" s="1"/>
  <c r="B32" i="3"/>
  <c r="B33" i="3"/>
  <c r="B34" i="3"/>
  <c r="D34" i="3" s="1"/>
  <c r="B35" i="3"/>
  <c r="D35" i="3" s="1"/>
  <c r="B36" i="3"/>
  <c r="B37" i="3"/>
  <c r="D37" i="3" s="1"/>
  <c r="B38" i="3"/>
  <c r="D38" i="3" s="1"/>
  <c r="B39" i="3"/>
  <c r="D39" i="3" s="1"/>
  <c r="B40" i="3"/>
  <c r="B41" i="3"/>
  <c r="D41" i="3" s="1"/>
  <c r="B42" i="3"/>
  <c r="D42" i="3" s="1"/>
  <c r="B43" i="3"/>
  <c r="D43" i="3" s="1"/>
  <c r="B44" i="3"/>
  <c r="B45" i="3"/>
  <c r="D45" i="3" s="1"/>
  <c r="B46" i="3"/>
  <c r="D46" i="3" s="1"/>
  <c r="B47" i="3"/>
  <c r="D47" i="3" s="1"/>
  <c r="B48" i="3"/>
  <c r="B49" i="3"/>
  <c r="D49" i="3" s="1"/>
  <c r="B50" i="3"/>
  <c r="D50" i="3" s="1"/>
  <c r="B51" i="3"/>
  <c r="D51" i="3" s="1"/>
  <c r="B52" i="3"/>
  <c r="B53" i="3"/>
  <c r="D53" i="3" s="1"/>
  <c r="B54" i="3"/>
  <c r="D54" i="3" s="1"/>
  <c r="B55" i="3"/>
  <c r="D55" i="3" s="1"/>
  <c r="B56" i="3"/>
  <c r="B57" i="3"/>
  <c r="D57" i="3" s="1"/>
  <c r="B58" i="3"/>
  <c r="D58" i="3" s="1"/>
  <c r="B59" i="3"/>
  <c r="D59" i="3" s="1"/>
  <c r="B60" i="3"/>
  <c r="B61" i="3"/>
  <c r="D61" i="3" s="1"/>
  <c r="B62" i="3"/>
  <c r="D62" i="3" s="1"/>
  <c r="B63" i="3"/>
  <c r="D63" i="3" s="1"/>
  <c r="B64" i="3"/>
  <c r="B65" i="3"/>
  <c r="D65" i="3" s="1"/>
  <c r="B66" i="3"/>
  <c r="D66" i="3" s="1"/>
  <c r="B67" i="3"/>
  <c r="D67" i="3" s="1"/>
  <c r="B68" i="3"/>
  <c r="B69" i="3"/>
  <c r="D69" i="3" s="1"/>
  <c r="B70" i="3"/>
  <c r="D70" i="3" s="1"/>
  <c r="B71" i="3"/>
  <c r="D71" i="3" s="1"/>
  <c r="B72" i="3"/>
  <c r="B3" i="3"/>
  <c r="C17" i="3"/>
  <c r="C21" i="3"/>
  <c r="C25" i="3"/>
  <c r="C29" i="3"/>
  <c r="C4" i="3"/>
  <c r="C5" i="3"/>
  <c r="C8" i="3"/>
  <c r="C9" i="3"/>
  <c r="C12" i="3"/>
  <c r="C13" i="3"/>
  <c r="C3" i="3"/>
  <c r="D36" i="3"/>
  <c r="D40" i="3"/>
  <c r="D44" i="3"/>
  <c r="D48" i="3"/>
  <c r="D52" i="3"/>
  <c r="D56" i="3"/>
  <c r="D60" i="3"/>
  <c r="D64" i="3"/>
  <c r="D68" i="3"/>
  <c r="D72" i="3"/>
  <c r="D33" i="3"/>
  <c r="D5" i="3"/>
  <c r="D9" i="3"/>
  <c r="D13" i="3"/>
  <c r="D17" i="3"/>
  <c r="D21" i="3"/>
  <c r="D25" i="3"/>
  <c r="D29" i="3"/>
  <c r="O95" i="15" l="1"/>
  <c r="O104" i="15"/>
  <c r="M95" i="15"/>
  <c r="M104" i="15"/>
  <c r="B102" i="15"/>
  <c r="E104" i="15"/>
  <c r="F95" i="15"/>
  <c r="F104" i="15"/>
  <c r="F102" i="15"/>
  <c r="I104" i="15"/>
  <c r="B77" i="15"/>
  <c r="O102" i="15"/>
  <c r="M102" i="15"/>
  <c r="E102" i="15"/>
  <c r="J102" i="15"/>
  <c r="N95" i="15"/>
  <c r="H102" i="15"/>
  <c r="I102" i="15"/>
  <c r="G95" i="15"/>
  <c r="P95" i="15"/>
  <c r="J95" i="15"/>
  <c r="G102" i="15"/>
  <c r="K102" i="15"/>
  <c r="C102" i="15"/>
  <c r="B82" i="15" s="1"/>
  <c r="H95" i="15"/>
  <c r="L95" i="15"/>
  <c r="K95" i="15"/>
  <c r="I95" i="15"/>
  <c r="R93" i="15"/>
  <c r="R94" i="15" s="1"/>
  <c r="R17" i="15" s="1"/>
  <c r="Q95" i="15"/>
  <c r="Q102" i="15"/>
  <c r="L102" i="15"/>
  <c r="D102" i="15"/>
  <c r="N102" i="15"/>
  <c r="B79" i="15"/>
  <c r="B80" i="15"/>
  <c r="B78" i="15"/>
  <c r="J94" i="15"/>
  <c r="J17" i="15" s="1"/>
  <c r="M94" i="15"/>
  <c r="M17" i="15" s="1"/>
  <c r="P94" i="15"/>
  <c r="P17" i="15" s="1"/>
  <c r="B74" i="15"/>
  <c r="B75" i="15"/>
  <c r="G14" i="15"/>
  <c r="G16" i="15"/>
  <c r="C94" i="15"/>
  <c r="C17" i="15" s="1"/>
  <c r="D94" i="15"/>
  <c r="D17" i="15" s="1"/>
  <c r="N94" i="15"/>
  <c r="N17" i="15" s="1"/>
  <c r="F94" i="15"/>
  <c r="F17" i="15" s="1"/>
  <c r="L94" i="15"/>
  <c r="L17" i="15" s="1"/>
  <c r="H94" i="15"/>
  <c r="H17" i="15" s="1"/>
  <c r="E94" i="15"/>
  <c r="E17" i="15" s="1"/>
  <c r="K94" i="15"/>
  <c r="K17" i="15" s="1"/>
  <c r="O16" i="15"/>
  <c r="O94" i="15"/>
  <c r="O17" i="15" s="1"/>
  <c r="I16" i="15"/>
  <c r="I94" i="15"/>
  <c r="I17" i="15" s="1"/>
  <c r="B16" i="15"/>
  <c r="B94" i="15"/>
  <c r="B17" i="15" s="1"/>
  <c r="G15" i="15"/>
  <c r="B73" i="15"/>
  <c r="K15" i="15"/>
  <c r="K16" i="15"/>
  <c r="D14" i="15"/>
  <c r="D16" i="15"/>
  <c r="L14" i="15"/>
  <c r="L16" i="15"/>
  <c r="H15" i="15"/>
  <c r="H16" i="15"/>
  <c r="M15" i="15"/>
  <c r="M16" i="15"/>
  <c r="C15" i="15"/>
  <c r="C16" i="15"/>
  <c r="N15" i="15"/>
  <c r="N16" i="15"/>
  <c r="F14" i="15"/>
  <c r="F16" i="15"/>
  <c r="J15" i="15"/>
  <c r="J16" i="15"/>
  <c r="P14" i="15"/>
  <c r="P16" i="15"/>
  <c r="E14" i="15"/>
  <c r="E16" i="15"/>
  <c r="B72" i="15"/>
  <c r="B68" i="15"/>
  <c r="F15" i="15"/>
  <c r="L15" i="15"/>
  <c r="E15" i="15"/>
  <c r="J14" i="15"/>
  <c r="B71" i="15"/>
  <c r="N14" i="15"/>
  <c r="B64" i="15"/>
  <c r="B70" i="15"/>
  <c r="H14" i="15"/>
  <c r="C14" i="15"/>
  <c r="M14" i="15"/>
  <c r="D15" i="15"/>
  <c r="K14" i="15"/>
  <c r="P15" i="15"/>
  <c r="B69" i="15"/>
  <c r="B63" i="15"/>
  <c r="B65" i="15"/>
  <c r="B66" i="15"/>
  <c r="B61" i="15"/>
  <c r="I62" i="15" s="1"/>
  <c r="I65" i="15" s="1"/>
  <c r="B62" i="15"/>
  <c r="I14" i="15"/>
  <c r="I15" i="15"/>
  <c r="O15" i="15"/>
  <c r="O14" i="15"/>
  <c r="B14" i="15"/>
  <c r="B15" i="15"/>
  <c r="J5" i="8"/>
  <c r="R5" i="8"/>
  <c r="D5" i="8"/>
  <c r="O5" i="8"/>
  <c r="H5" i="8"/>
  <c r="F5" i="8"/>
  <c r="P5" i="8"/>
  <c r="I5" i="8"/>
  <c r="L5" i="8"/>
  <c r="C6" i="8"/>
  <c r="N5" i="8"/>
  <c r="M5" i="8"/>
  <c r="K5" i="8"/>
  <c r="Q5" i="8"/>
  <c r="B5" i="8"/>
  <c r="D3" i="3"/>
  <c r="D28" i="3"/>
  <c r="D24" i="3"/>
  <c r="D20" i="3"/>
  <c r="D16" i="3"/>
  <c r="D12" i="3"/>
  <c r="D8" i="3"/>
  <c r="D4" i="3"/>
  <c r="C28" i="3"/>
  <c r="C24" i="3"/>
  <c r="C20" i="3"/>
  <c r="C16" i="3"/>
  <c r="D27" i="3"/>
  <c r="D23" i="3"/>
  <c r="D19" i="3"/>
  <c r="D15" i="3"/>
  <c r="D11" i="3"/>
  <c r="D7" i="3"/>
  <c r="D30" i="3"/>
  <c r="D26" i="3"/>
  <c r="D22" i="3"/>
  <c r="D18" i="3"/>
  <c r="D14" i="3"/>
  <c r="D10" i="3"/>
  <c r="D6" i="3"/>
  <c r="B85" i="15" l="1"/>
  <c r="I66" i="15" s="1"/>
  <c r="B84" i="15"/>
  <c r="F66" i="15"/>
  <c r="E66" i="15"/>
  <c r="B83" i="15"/>
  <c r="B81" i="15"/>
  <c r="H65" i="15"/>
  <c r="G65" i="15"/>
  <c r="F65" i="15"/>
  <c r="E65" i="15"/>
  <c r="E25" i="15"/>
  <c r="I25" i="15"/>
  <c r="M25" i="15"/>
  <c r="Q25" i="15"/>
  <c r="D24" i="15"/>
  <c r="H24" i="15"/>
  <c r="L24" i="15"/>
  <c r="P24" i="15"/>
  <c r="R25" i="15"/>
  <c r="F25" i="15"/>
  <c r="J25" i="15"/>
  <c r="N25" i="15"/>
  <c r="B25" i="15"/>
  <c r="E24" i="15"/>
  <c r="I24" i="15"/>
  <c r="M24" i="15"/>
  <c r="Q24" i="15"/>
  <c r="L78" i="15" s="1"/>
  <c r="L79" i="15" s="1"/>
  <c r="L80" i="15" s="1"/>
  <c r="L82" i="15" s="1"/>
  <c r="C25" i="15"/>
  <c r="G25" i="15"/>
  <c r="K25" i="15"/>
  <c r="O25" i="15"/>
  <c r="B24" i="15"/>
  <c r="F24" i="15"/>
  <c r="J24" i="15"/>
  <c r="N24" i="15"/>
  <c r="R24" i="15"/>
  <c r="D25" i="15"/>
  <c r="H25" i="15"/>
  <c r="L25" i="15"/>
  <c r="P25" i="15"/>
  <c r="C24" i="15"/>
  <c r="G24" i="15"/>
  <c r="K24" i="15"/>
  <c r="O24" i="15"/>
  <c r="Q22" i="15"/>
  <c r="L73" i="15" s="1"/>
  <c r="L75" i="15" s="1"/>
  <c r="M23" i="15"/>
  <c r="O22" i="15"/>
  <c r="H22" i="15"/>
  <c r="P23" i="15"/>
  <c r="J22" i="15"/>
  <c r="F23" i="15"/>
  <c r="K23" i="15"/>
  <c r="B23" i="15"/>
  <c r="E23" i="15"/>
  <c r="F22" i="15"/>
  <c r="Q23" i="15"/>
  <c r="M22" i="15"/>
  <c r="L22" i="15"/>
  <c r="K22" i="15"/>
  <c r="D23" i="15"/>
  <c r="B22" i="15"/>
  <c r="C23" i="15"/>
  <c r="I23" i="15"/>
  <c r="L23" i="15"/>
  <c r="I22" i="15"/>
  <c r="J23" i="15"/>
  <c r="H23" i="15"/>
  <c r="G23" i="15"/>
  <c r="G22" i="15"/>
  <c r="N23" i="15"/>
  <c r="M73" i="15"/>
  <c r="M75" i="15" s="1"/>
  <c r="D22" i="15"/>
  <c r="C22" i="15"/>
  <c r="N22" i="15"/>
  <c r="O23" i="15"/>
  <c r="P22" i="15"/>
  <c r="R22" i="15"/>
  <c r="R23" i="15"/>
  <c r="E22" i="15"/>
  <c r="G62" i="15"/>
  <c r="H62" i="15"/>
  <c r="E62" i="15"/>
  <c r="F62" i="15"/>
  <c r="I63" i="15"/>
  <c r="E19" i="15"/>
  <c r="I19" i="15"/>
  <c r="M19" i="15"/>
  <c r="Q19" i="15"/>
  <c r="D18" i="15"/>
  <c r="H18" i="15"/>
  <c r="L18" i="15"/>
  <c r="P18" i="15"/>
  <c r="F19" i="15"/>
  <c r="J19" i="15"/>
  <c r="C19" i="15"/>
  <c r="G19" i="15"/>
  <c r="K19" i="15"/>
  <c r="O19" i="15"/>
  <c r="B19" i="15"/>
  <c r="F18" i="15"/>
  <c r="J18" i="15"/>
  <c r="N18" i="15"/>
  <c r="R18" i="15"/>
  <c r="L62" i="15" s="1"/>
  <c r="D19" i="15"/>
  <c r="H19" i="15"/>
  <c r="L19" i="15"/>
  <c r="N19" i="15"/>
  <c r="E18" i="15"/>
  <c r="M18" i="15"/>
  <c r="I18" i="15"/>
  <c r="Q18" i="15"/>
  <c r="C18" i="15"/>
  <c r="B18" i="15"/>
  <c r="P19" i="15"/>
  <c r="G18" i="15"/>
  <c r="O18" i="15"/>
  <c r="R19" i="15"/>
  <c r="K18" i="15"/>
  <c r="C21" i="15"/>
  <c r="G21" i="15"/>
  <c r="K21" i="15"/>
  <c r="O21" i="15"/>
  <c r="B21" i="15"/>
  <c r="F20" i="15"/>
  <c r="J20" i="15"/>
  <c r="N20" i="15"/>
  <c r="R20" i="15"/>
  <c r="H21" i="15"/>
  <c r="L21" i="15"/>
  <c r="P21" i="15"/>
  <c r="C20" i="15"/>
  <c r="G20" i="15"/>
  <c r="K20" i="15"/>
  <c r="O20" i="15"/>
  <c r="B20" i="15"/>
  <c r="D21" i="15"/>
  <c r="E21" i="15"/>
  <c r="I21" i="15"/>
  <c r="M21" i="15"/>
  <c r="Q21" i="15"/>
  <c r="D20" i="15"/>
  <c r="H20" i="15"/>
  <c r="L20" i="15"/>
  <c r="P20" i="15"/>
  <c r="J21" i="15"/>
  <c r="N21" i="15"/>
  <c r="R21" i="15"/>
  <c r="E20" i="15"/>
  <c r="I20" i="15"/>
  <c r="M20" i="15"/>
  <c r="Q20" i="15"/>
  <c r="L68" i="15" s="1"/>
  <c r="F21" i="15"/>
  <c r="G7" i="8"/>
  <c r="J6" i="8"/>
  <c r="K6" i="8"/>
  <c r="M6" i="8"/>
  <c r="H7" i="8"/>
  <c r="I6" i="8"/>
  <c r="E7" i="8"/>
  <c r="F6" i="8"/>
  <c r="O6" i="8"/>
  <c r="C7" i="8"/>
  <c r="D6" i="8"/>
  <c r="R6" i="8"/>
  <c r="E6" i="8"/>
  <c r="H6" i="8"/>
  <c r="Q6" i="8"/>
  <c r="G6" i="8"/>
  <c r="N6" i="8"/>
  <c r="L6" i="8"/>
  <c r="P6" i="8"/>
  <c r="B6" i="8"/>
  <c r="H66" i="15" l="1"/>
  <c r="G66" i="15"/>
  <c r="H63" i="15"/>
  <c r="G63" i="15"/>
  <c r="F63" i="15"/>
  <c r="L61" i="15"/>
  <c r="L63" i="15" s="1"/>
  <c r="E63" i="15"/>
  <c r="I64" i="15"/>
  <c r="P7" i="8"/>
  <c r="R7" i="8"/>
  <c r="I7" i="8"/>
  <c r="K7" i="8"/>
  <c r="L7" i="8"/>
  <c r="N7" i="8"/>
  <c r="Q7" i="8"/>
  <c r="D7" i="8"/>
  <c r="O7" i="8"/>
  <c r="F7" i="8"/>
  <c r="M7" i="8"/>
  <c r="J7" i="8"/>
  <c r="B7" i="8"/>
  <c r="L67" i="15" l="1"/>
  <c r="L70" i="15" s="1"/>
  <c r="O61" i="15" s="1"/>
  <c r="O63" i="15" s="1"/>
  <c r="H64" i="15"/>
  <c r="G64" i="15"/>
  <c r="F64" i="15"/>
  <c r="E64" i="15"/>
  <c r="G8" i="8"/>
  <c r="H8" i="8"/>
  <c r="F8" i="8"/>
  <c r="C9" i="8"/>
  <c r="D8" i="8"/>
  <c r="N8" i="8"/>
  <c r="K8" i="8"/>
  <c r="R8" i="8"/>
  <c r="J8" i="8"/>
  <c r="L8" i="8"/>
  <c r="E8" i="8"/>
  <c r="C8" i="8"/>
  <c r="M8" i="8"/>
  <c r="O8" i="8"/>
  <c r="Q8" i="8"/>
  <c r="E9" i="8"/>
  <c r="H9" i="8"/>
  <c r="I8" i="8"/>
  <c r="P8" i="8"/>
  <c r="B8" i="8"/>
  <c r="Q9" i="8" l="1"/>
  <c r="M9" i="8"/>
  <c r="R9" i="8"/>
  <c r="K9" i="8"/>
  <c r="D9" i="8"/>
  <c r="L9" i="8"/>
  <c r="G9" i="8"/>
  <c r="P9" i="8"/>
  <c r="G10" i="8"/>
  <c r="I9" i="8"/>
  <c r="O9" i="8"/>
  <c r="J9" i="8"/>
  <c r="N9" i="8"/>
  <c r="E10" i="8"/>
  <c r="F9" i="8"/>
  <c r="B9" i="8"/>
  <c r="O10" i="8" l="1"/>
  <c r="L10" i="8"/>
  <c r="R10" i="8"/>
  <c r="Q10" i="8"/>
  <c r="D10" i="8"/>
  <c r="N10" i="8"/>
  <c r="J10" i="8"/>
  <c r="P10" i="8"/>
  <c r="C10" i="8"/>
  <c r="F10" i="8"/>
  <c r="I10" i="8"/>
  <c r="H10" i="8"/>
  <c r="C11" i="8"/>
  <c r="K10" i="8"/>
  <c r="M10" i="8"/>
  <c r="E11" i="8"/>
  <c r="B10" i="8"/>
  <c r="P11" i="8" l="1"/>
  <c r="J11" i="8"/>
  <c r="D11" i="8"/>
  <c r="Q11" i="8"/>
  <c r="L11" i="8"/>
  <c r="G12" i="8"/>
  <c r="I11" i="8"/>
  <c r="M11" i="8"/>
  <c r="E12" i="8"/>
  <c r="F11" i="8"/>
  <c r="G11" i="8"/>
  <c r="H11" i="8"/>
  <c r="K11" i="8"/>
  <c r="N11" i="8"/>
  <c r="R11" i="8"/>
  <c r="O11" i="8"/>
  <c r="B11" i="8"/>
  <c r="N12" i="8" l="1"/>
  <c r="K12" i="8"/>
  <c r="M12" i="8"/>
  <c r="D12" i="8"/>
  <c r="P12" i="8"/>
  <c r="R12" i="8"/>
  <c r="L12" i="8"/>
  <c r="H12" i="8"/>
  <c r="C12" i="8"/>
  <c r="O12" i="8"/>
  <c r="E13" i="8"/>
  <c r="F12" i="8"/>
  <c r="H13" i="8"/>
  <c r="I12" i="8"/>
  <c r="Q12" i="8"/>
  <c r="J12" i="8"/>
  <c r="B12" i="8"/>
  <c r="I13" i="8" l="1"/>
  <c r="D13" i="8"/>
  <c r="K13" i="8"/>
  <c r="J13" i="8"/>
  <c r="R13" i="8"/>
  <c r="C13" i="8"/>
  <c r="G13" i="8"/>
  <c r="Q13" i="8"/>
  <c r="E14" i="8"/>
  <c r="F13" i="8"/>
  <c r="G14" i="8"/>
  <c r="O13" i="8"/>
  <c r="L13" i="8"/>
  <c r="P13" i="8"/>
  <c r="M13" i="8"/>
  <c r="N13" i="8"/>
  <c r="B13" i="8"/>
  <c r="H14" i="8" l="1"/>
  <c r="M14" i="8"/>
  <c r="L14" i="8"/>
  <c r="J14" i="8"/>
  <c r="D14" i="8"/>
  <c r="Q14" i="8"/>
  <c r="C14" i="8"/>
  <c r="N14" i="8"/>
  <c r="P14" i="8"/>
  <c r="O14" i="8"/>
  <c r="C15" i="8"/>
  <c r="F14" i="8"/>
  <c r="R14" i="8"/>
  <c r="K14" i="8"/>
  <c r="G15" i="8"/>
  <c r="I14" i="8"/>
  <c r="B14" i="8"/>
  <c r="K15" i="8" l="1"/>
  <c r="N15" i="8"/>
  <c r="H15" i="8"/>
  <c r="D15" i="8"/>
  <c r="J15" i="8"/>
  <c r="L15" i="8"/>
  <c r="R15" i="8"/>
  <c r="F15" i="8"/>
  <c r="P15" i="8"/>
  <c r="E15" i="8"/>
  <c r="I15" i="8"/>
  <c r="O15" i="8"/>
  <c r="Q15" i="8"/>
  <c r="G16" i="8"/>
  <c r="M15" i="8"/>
  <c r="B15" i="8"/>
  <c r="J16" i="8" l="1"/>
  <c r="Q16" i="8"/>
  <c r="O16" i="8"/>
  <c r="N16" i="8"/>
  <c r="H16" i="8"/>
  <c r="P16" i="8"/>
  <c r="R16" i="8"/>
  <c r="L16" i="8"/>
  <c r="C17" i="8"/>
  <c r="D16" i="8"/>
  <c r="F16" i="8"/>
  <c r="E16" i="8"/>
  <c r="M16" i="8"/>
  <c r="E17" i="8"/>
  <c r="I16" i="8"/>
  <c r="C16" i="8"/>
  <c r="K16" i="8"/>
  <c r="B16" i="8"/>
  <c r="G18" i="8" l="1"/>
  <c r="I17" i="8"/>
  <c r="N17" i="8"/>
  <c r="Q17" i="8"/>
  <c r="J17" i="8"/>
  <c r="R17" i="8"/>
  <c r="K17" i="8"/>
  <c r="H17" i="8"/>
  <c r="E18" i="8"/>
  <c r="F17" i="8"/>
  <c r="L17" i="8"/>
  <c r="P17" i="8"/>
  <c r="G17" i="8"/>
  <c r="D17" i="8"/>
  <c r="M17" i="8"/>
  <c r="O17" i="8"/>
  <c r="B17" i="8"/>
  <c r="H18" i="8" l="1"/>
  <c r="P18" i="8"/>
  <c r="M18" i="8"/>
  <c r="R18" i="8"/>
  <c r="Q18" i="8"/>
  <c r="D18" i="8"/>
  <c r="C18" i="8"/>
  <c r="L18" i="8"/>
  <c r="E19" i="8"/>
  <c r="F18" i="8"/>
  <c r="C19" i="8"/>
  <c r="O18" i="8"/>
  <c r="K18" i="8"/>
  <c r="J18" i="8"/>
  <c r="N18" i="8"/>
  <c r="G19" i="8"/>
  <c r="I18" i="8"/>
  <c r="B18" i="8"/>
  <c r="J19" i="8" l="1"/>
  <c r="L19" i="8"/>
  <c r="R19" i="8"/>
  <c r="H20" i="8"/>
  <c r="N19" i="8"/>
  <c r="K19" i="8"/>
  <c r="O19" i="8"/>
  <c r="F19" i="8"/>
  <c r="I19" i="8"/>
  <c r="C20" i="8"/>
  <c r="H19" i="8"/>
  <c r="D19" i="8"/>
  <c r="Q19" i="8"/>
  <c r="M19" i="8"/>
  <c r="P19" i="8"/>
  <c r="B19" i="8"/>
  <c r="G20" i="8" l="1"/>
  <c r="Q20" i="8"/>
  <c r="F20" i="8"/>
  <c r="K20" i="8"/>
  <c r="R20" i="8"/>
  <c r="L20" i="8"/>
  <c r="P20" i="8"/>
  <c r="M20" i="8"/>
  <c r="C21" i="8"/>
  <c r="D20" i="8"/>
  <c r="E20" i="8"/>
  <c r="I20" i="8"/>
  <c r="O20" i="8"/>
  <c r="N20" i="8"/>
  <c r="E21" i="8"/>
  <c r="J20" i="8"/>
  <c r="B20" i="8"/>
  <c r="O21" i="8" l="1"/>
  <c r="C22" i="8"/>
  <c r="D21" i="8"/>
  <c r="P21" i="8"/>
  <c r="R21" i="8"/>
  <c r="K21" i="8"/>
  <c r="N21" i="8"/>
  <c r="H22" i="8"/>
  <c r="I21" i="8"/>
  <c r="H21" i="8"/>
  <c r="J21" i="8"/>
  <c r="G21" i="8"/>
  <c r="M21" i="8"/>
  <c r="L21" i="8"/>
  <c r="E22" i="8"/>
  <c r="F21" i="8"/>
  <c r="Q21" i="8"/>
  <c r="B21" i="8"/>
  <c r="L22" i="8" l="1"/>
  <c r="I22" i="8"/>
  <c r="R22" i="8"/>
  <c r="C23" i="8"/>
  <c r="D22" i="8"/>
  <c r="E23" i="8"/>
  <c r="F22" i="8"/>
  <c r="J22" i="8"/>
  <c r="G22" i="8"/>
  <c r="Q22" i="8"/>
  <c r="M22" i="8"/>
  <c r="N22" i="8"/>
  <c r="K22" i="8"/>
  <c r="P22" i="8"/>
  <c r="O22" i="8"/>
  <c r="B22" i="8"/>
  <c r="N23" i="8" l="1"/>
  <c r="J23" i="8"/>
  <c r="C24" i="8"/>
  <c r="D23" i="8"/>
  <c r="H24" i="8"/>
  <c r="I23" i="8"/>
  <c r="O23" i="8"/>
  <c r="G23" i="8"/>
  <c r="P23" i="8"/>
  <c r="G24" i="8"/>
  <c r="M23" i="8"/>
  <c r="Q23" i="8"/>
  <c r="K23" i="8"/>
  <c r="H23" i="8"/>
  <c r="E24" i="8"/>
  <c r="F23" i="8"/>
  <c r="R23" i="8"/>
  <c r="L23" i="8"/>
  <c r="B23" i="8"/>
  <c r="K24" i="8" l="1"/>
  <c r="F24" i="8"/>
  <c r="O24" i="8"/>
  <c r="J24" i="8"/>
  <c r="P24" i="8"/>
  <c r="Q24" i="8"/>
  <c r="M24" i="8"/>
  <c r="L24" i="8"/>
  <c r="R24" i="8"/>
  <c r="I24" i="8"/>
  <c r="C25" i="8"/>
  <c r="D24" i="8"/>
  <c r="N24" i="8"/>
  <c r="B24" i="8"/>
  <c r="I25" i="8" l="1"/>
  <c r="M25" i="8"/>
  <c r="Q25" i="8"/>
  <c r="F25" i="8"/>
  <c r="N25" i="8"/>
  <c r="R25" i="8"/>
  <c r="P25" i="8"/>
  <c r="H25" i="8"/>
  <c r="G25" i="8"/>
  <c r="E25" i="8"/>
  <c r="D25" i="8"/>
  <c r="L25" i="8"/>
  <c r="E26" i="8"/>
  <c r="H26" i="8"/>
  <c r="J25" i="8"/>
  <c r="O25" i="8"/>
  <c r="K25" i="8"/>
  <c r="B25" i="8"/>
  <c r="G26" i="8" l="1"/>
  <c r="D26" i="8"/>
  <c r="N26" i="8"/>
  <c r="M26" i="8"/>
  <c r="K26" i="8"/>
  <c r="J26" i="8"/>
  <c r="O26" i="8"/>
  <c r="L26" i="8"/>
  <c r="C26" i="8"/>
  <c r="P26" i="8"/>
  <c r="R26" i="8"/>
  <c r="E27" i="8"/>
  <c r="F26" i="8"/>
  <c r="Q26" i="8"/>
  <c r="I26" i="8"/>
  <c r="B26" i="8"/>
  <c r="H28" i="8" l="1"/>
  <c r="I27" i="8"/>
  <c r="J27" i="8"/>
  <c r="M27" i="8"/>
  <c r="C28" i="8"/>
  <c r="D27" i="8"/>
  <c r="H27" i="8"/>
  <c r="L27" i="8"/>
  <c r="Q27" i="8"/>
  <c r="R27" i="8"/>
  <c r="P27" i="8"/>
  <c r="G27" i="8"/>
  <c r="F27" i="8"/>
  <c r="C27" i="8"/>
  <c r="O27" i="8"/>
  <c r="G28" i="8"/>
  <c r="K27" i="8"/>
  <c r="N27" i="8"/>
  <c r="E28" i="8"/>
  <c r="B27" i="8"/>
  <c r="N28" i="8" l="1"/>
  <c r="Q28" i="8"/>
  <c r="E29" i="8"/>
  <c r="F28" i="8"/>
  <c r="M28" i="8"/>
  <c r="P28" i="8"/>
  <c r="K28" i="8"/>
  <c r="O28" i="8"/>
  <c r="R28" i="8"/>
  <c r="L28" i="8"/>
  <c r="C29" i="8"/>
  <c r="D28" i="8"/>
  <c r="J28" i="8"/>
  <c r="I28" i="8"/>
  <c r="B28" i="8"/>
  <c r="H29" i="8" l="1"/>
  <c r="D29" i="8"/>
  <c r="G30" i="8"/>
  <c r="I29" i="8"/>
  <c r="L29" i="8"/>
  <c r="O29" i="8"/>
  <c r="Q29" i="8"/>
  <c r="G29" i="8"/>
  <c r="J29" i="8"/>
  <c r="R29" i="8"/>
  <c r="K29" i="8"/>
  <c r="P29" i="8"/>
  <c r="M29" i="8"/>
  <c r="E30" i="8"/>
  <c r="F29" i="8"/>
  <c r="N29" i="8"/>
  <c r="B29" i="8"/>
  <c r="H30" i="8" l="1"/>
  <c r="C30" i="8"/>
  <c r="N30" i="8"/>
  <c r="Q30" i="8"/>
  <c r="E31" i="8"/>
  <c r="L30" i="8"/>
  <c r="K30" i="8"/>
  <c r="P30" i="8"/>
  <c r="R30" i="8"/>
  <c r="J30" i="8"/>
  <c r="M30" i="8"/>
  <c r="F30" i="8"/>
  <c r="O30" i="8"/>
  <c r="G31" i="8"/>
  <c r="I30" i="8"/>
  <c r="D30" i="8"/>
  <c r="B30" i="8"/>
  <c r="D31" i="8" l="1"/>
  <c r="O31" i="8"/>
  <c r="J31" i="8"/>
  <c r="P31" i="8"/>
  <c r="H31" i="8"/>
  <c r="C32" i="8"/>
  <c r="F31" i="8"/>
  <c r="C31" i="8"/>
  <c r="G32" i="8"/>
  <c r="I31" i="8"/>
  <c r="M31" i="8"/>
  <c r="R31" i="8"/>
  <c r="K31" i="8"/>
  <c r="L31" i="8"/>
  <c r="Q31" i="8"/>
  <c r="N31" i="8"/>
  <c r="B31" i="8"/>
  <c r="Q32" i="8" l="1"/>
  <c r="M32" i="8"/>
  <c r="I32" i="8"/>
  <c r="P32" i="8"/>
  <c r="O32" i="8"/>
  <c r="K32" i="8"/>
  <c r="F32" i="8"/>
  <c r="E32" i="8"/>
  <c r="N32" i="8"/>
  <c r="L32" i="8"/>
  <c r="R32" i="8"/>
  <c r="H32" i="8"/>
  <c r="E33" i="8"/>
  <c r="J32" i="8"/>
  <c r="C33" i="8"/>
  <c r="D32" i="8"/>
  <c r="B32" i="8"/>
  <c r="N33" i="8" l="1"/>
  <c r="J33" i="8"/>
  <c r="K33" i="8"/>
  <c r="P33" i="8"/>
  <c r="I33" i="8"/>
  <c r="Q33" i="8"/>
  <c r="L33" i="8"/>
  <c r="G33" i="8"/>
  <c r="H33" i="8"/>
  <c r="R33" i="8"/>
  <c r="C34" i="8"/>
  <c r="D33" i="8"/>
  <c r="E34" i="8"/>
  <c r="F33" i="8"/>
  <c r="O33" i="8"/>
  <c r="M33" i="8"/>
  <c r="B33" i="8"/>
  <c r="G34" i="8" l="1"/>
  <c r="M34" i="8"/>
  <c r="R34" i="8"/>
  <c r="P34" i="8"/>
  <c r="O34" i="8"/>
  <c r="L34" i="8"/>
  <c r="Q34" i="8"/>
  <c r="J34" i="8"/>
  <c r="H34" i="8"/>
  <c r="F34" i="8"/>
  <c r="D34" i="8"/>
  <c r="I34" i="8"/>
  <c r="K34" i="8"/>
  <c r="N34" i="8"/>
  <c r="B34" i="8"/>
  <c r="I35" i="8" l="1"/>
  <c r="D35" i="8"/>
  <c r="C35" i="8"/>
  <c r="H35" i="8"/>
  <c r="L35" i="8"/>
  <c r="R35" i="8"/>
  <c r="K35" i="8"/>
  <c r="F35" i="8"/>
  <c r="E35" i="8"/>
  <c r="N35" i="8"/>
  <c r="J35" i="8"/>
  <c r="O35" i="8"/>
  <c r="G35" i="8"/>
  <c r="Q35" i="8"/>
  <c r="E36" i="8"/>
  <c r="P35" i="8"/>
  <c r="M35" i="8"/>
  <c r="B35" i="8"/>
  <c r="J36" i="8" l="1"/>
  <c r="E37" i="8"/>
  <c r="F36" i="8"/>
  <c r="K36" i="8"/>
  <c r="L36" i="8"/>
  <c r="D36" i="8"/>
  <c r="O36" i="8"/>
  <c r="G37" i="8"/>
  <c r="H36" i="8"/>
  <c r="C36" i="8"/>
  <c r="N36" i="8"/>
  <c r="M36" i="8"/>
  <c r="G36" i="8"/>
  <c r="P36" i="8"/>
  <c r="Q36" i="8"/>
  <c r="H37" i="8"/>
  <c r="C37" i="8"/>
  <c r="R36" i="8"/>
  <c r="I36" i="8"/>
  <c r="B36" i="8"/>
  <c r="R37" i="8" l="1"/>
  <c r="P37" i="8"/>
  <c r="D37" i="8"/>
  <c r="K37" i="8"/>
  <c r="G38" i="8"/>
  <c r="I37" i="8"/>
  <c r="Q37" i="8"/>
  <c r="N37" i="8"/>
  <c r="M37" i="8"/>
  <c r="O37" i="8"/>
  <c r="L37" i="8"/>
  <c r="E38" i="8"/>
  <c r="F37" i="8"/>
  <c r="J37" i="8"/>
  <c r="B37" i="8"/>
  <c r="H38" i="8" l="1"/>
  <c r="C38" i="8"/>
  <c r="J38" i="8"/>
  <c r="M38" i="8"/>
  <c r="C39" i="8"/>
  <c r="D38" i="8"/>
  <c r="P38" i="8"/>
  <c r="L38" i="8"/>
  <c r="E39" i="8"/>
  <c r="F38" i="8"/>
  <c r="O38" i="8"/>
  <c r="N38" i="8"/>
  <c r="Q38" i="8"/>
  <c r="H39" i="8"/>
  <c r="I38" i="8"/>
  <c r="K38" i="8"/>
  <c r="R38" i="8"/>
  <c r="B38" i="8"/>
  <c r="R39" i="8" l="1"/>
  <c r="Q39" i="8"/>
  <c r="O39" i="8"/>
  <c r="L39" i="8"/>
  <c r="D39" i="8"/>
  <c r="M39" i="8"/>
  <c r="G39" i="8"/>
  <c r="K39" i="8"/>
  <c r="I39" i="8"/>
  <c r="N39" i="8"/>
  <c r="C40" i="8"/>
  <c r="F39" i="8"/>
  <c r="P39" i="8"/>
  <c r="J39" i="8"/>
  <c r="B39" i="8"/>
  <c r="I40" i="8" l="1"/>
  <c r="H40" i="8"/>
  <c r="G40" i="8"/>
  <c r="Q40" i="8"/>
  <c r="P40" i="8"/>
  <c r="N40" i="8"/>
  <c r="G41" i="8"/>
  <c r="J40" i="8"/>
  <c r="E41" i="8"/>
  <c r="F40" i="8"/>
  <c r="K40" i="8"/>
  <c r="C41" i="8"/>
  <c r="L40" i="8"/>
  <c r="E40" i="8"/>
  <c r="M40" i="8"/>
  <c r="D40" i="8"/>
  <c r="O40" i="8"/>
  <c r="R40" i="8"/>
  <c r="B40" i="8"/>
  <c r="O41" i="8" l="1"/>
  <c r="P41" i="8"/>
  <c r="Q41" i="8"/>
  <c r="I41" i="8"/>
  <c r="R41" i="8"/>
  <c r="D41" i="8"/>
  <c r="H41" i="8"/>
  <c r="M41" i="8"/>
  <c r="F41" i="8"/>
  <c r="L41" i="8"/>
  <c r="K41" i="8"/>
  <c r="J41" i="8"/>
  <c r="N41" i="8"/>
  <c r="B41" i="8"/>
  <c r="G42" i="8" l="1"/>
  <c r="K42" i="8"/>
  <c r="H42" i="8"/>
  <c r="C43" i="8"/>
  <c r="D42" i="8"/>
  <c r="P42" i="8"/>
  <c r="G43" i="8"/>
  <c r="J42" i="8"/>
  <c r="L42" i="8"/>
  <c r="M42" i="8"/>
  <c r="N42" i="8"/>
  <c r="F42" i="8"/>
  <c r="C42" i="8"/>
  <c r="I42" i="8"/>
  <c r="E42" i="8"/>
  <c r="R42" i="8"/>
  <c r="Q42" i="8"/>
  <c r="O42" i="8"/>
  <c r="B42" i="8"/>
  <c r="R43" i="8" l="1"/>
  <c r="L43" i="8"/>
  <c r="P43" i="8"/>
  <c r="K43" i="8"/>
  <c r="Q43" i="8"/>
  <c r="F43" i="8"/>
  <c r="M43" i="8"/>
  <c r="J43" i="8"/>
  <c r="D43" i="8"/>
  <c r="E43" i="8"/>
  <c r="N43" i="8"/>
  <c r="O43" i="8"/>
  <c r="H44" i="8"/>
  <c r="I43" i="8"/>
  <c r="H43" i="8"/>
  <c r="B43" i="8"/>
  <c r="G44" i="8" l="1"/>
  <c r="N44" i="8"/>
  <c r="D44" i="8"/>
  <c r="F44" i="8"/>
  <c r="K44" i="8"/>
  <c r="L44" i="8"/>
  <c r="E44" i="8"/>
  <c r="I44" i="8"/>
  <c r="C44" i="8"/>
  <c r="O44" i="8"/>
  <c r="J44" i="8"/>
  <c r="M44" i="8"/>
  <c r="Q44" i="8"/>
  <c r="P44" i="8"/>
  <c r="R44" i="8"/>
  <c r="B44" i="8"/>
  <c r="R45" i="8" l="1"/>
  <c r="Q45" i="8"/>
  <c r="J45" i="8"/>
  <c r="G45" i="8"/>
  <c r="L45" i="8"/>
  <c r="F45" i="8"/>
  <c r="E45" i="8"/>
  <c r="I45" i="8"/>
  <c r="P45" i="8"/>
  <c r="M45" i="8"/>
  <c r="E46" i="8"/>
  <c r="O45" i="8"/>
  <c r="H45" i="8"/>
  <c r="K45" i="8"/>
  <c r="D45" i="8"/>
  <c r="C45" i="8"/>
  <c r="N45" i="8"/>
  <c r="B45" i="8"/>
  <c r="N46" i="8" l="1"/>
  <c r="J46" i="8"/>
  <c r="Q46" i="8"/>
  <c r="D46" i="8"/>
  <c r="L46" i="8"/>
  <c r="C46" i="8"/>
  <c r="O46" i="8"/>
  <c r="M46" i="8"/>
  <c r="I46" i="8"/>
  <c r="R46" i="8"/>
  <c r="K46" i="8"/>
  <c r="G46" i="8"/>
  <c r="E47" i="8"/>
  <c r="F46" i="8"/>
  <c r="P46" i="8"/>
  <c r="H46" i="8"/>
  <c r="B46" i="8"/>
  <c r="D47" i="8" l="1"/>
  <c r="K47" i="8"/>
  <c r="M47" i="8"/>
  <c r="E48" i="8"/>
  <c r="F47" i="8"/>
  <c r="J47" i="8"/>
  <c r="R47" i="8"/>
  <c r="I47" i="8"/>
  <c r="O47" i="8"/>
  <c r="G47" i="8"/>
  <c r="P47" i="8"/>
  <c r="C47" i="8"/>
  <c r="H47" i="8"/>
  <c r="L47" i="8"/>
  <c r="Q47" i="8"/>
  <c r="G48" i="8"/>
  <c r="N47" i="8"/>
  <c r="B47" i="8"/>
  <c r="C48" i="8" l="1"/>
  <c r="L48" i="8"/>
  <c r="P48" i="8"/>
  <c r="I48" i="8"/>
  <c r="F48" i="8"/>
  <c r="M48" i="8"/>
  <c r="K48" i="8"/>
  <c r="N48" i="8"/>
  <c r="Q48" i="8"/>
  <c r="H48" i="8"/>
  <c r="O48" i="8"/>
  <c r="R48" i="8"/>
  <c r="J48" i="8"/>
  <c r="D48" i="8"/>
  <c r="B48" i="8"/>
  <c r="D49" i="8" l="1"/>
  <c r="R49" i="8"/>
  <c r="C49" i="8"/>
  <c r="Q49" i="8"/>
  <c r="K49" i="8"/>
  <c r="C50" i="8"/>
  <c r="F49" i="8"/>
  <c r="I49" i="8"/>
  <c r="L49" i="8"/>
  <c r="J49" i="8"/>
  <c r="O49" i="8"/>
  <c r="E49" i="8"/>
  <c r="G49" i="8"/>
  <c r="H49" i="8"/>
  <c r="N49" i="8"/>
  <c r="M49" i="8"/>
  <c r="P49" i="8"/>
  <c r="G50" i="8"/>
  <c r="B49" i="8"/>
  <c r="E50" i="8" l="1"/>
  <c r="J50" i="8"/>
  <c r="L50" i="8"/>
  <c r="Q50" i="8"/>
  <c r="H50" i="8"/>
  <c r="E51" i="8"/>
  <c r="I50" i="8"/>
  <c r="F50" i="8"/>
  <c r="N50" i="8"/>
  <c r="O50" i="8"/>
  <c r="K50" i="8"/>
  <c r="P50" i="8"/>
  <c r="M50" i="8"/>
  <c r="R50" i="8"/>
  <c r="D50" i="8"/>
  <c r="B50" i="8"/>
  <c r="G51" i="8" l="1"/>
  <c r="Q51" i="8"/>
  <c r="D51" i="8"/>
  <c r="K51" i="8"/>
  <c r="N51" i="8"/>
  <c r="C51" i="8"/>
  <c r="H51" i="8"/>
  <c r="L51" i="8"/>
  <c r="R51" i="8"/>
  <c r="P51" i="8"/>
  <c r="I51" i="8"/>
  <c r="H52" i="8"/>
  <c r="J51" i="8"/>
  <c r="M51" i="8"/>
  <c r="O51" i="8"/>
  <c r="F51" i="8"/>
  <c r="B51" i="8"/>
  <c r="F52" i="8" l="1"/>
  <c r="I52" i="8"/>
  <c r="L52" i="8"/>
  <c r="N52" i="8"/>
  <c r="D52" i="8"/>
  <c r="M52" i="8"/>
  <c r="P52" i="8"/>
  <c r="E52" i="8"/>
  <c r="G52" i="8"/>
  <c r="C52" i="8"/>
  <c r="E53" i="8"/>
  <c r="O52" i="8"/>
  <c r="J52" i="8"/>
  <c r="C53" i="8"/>
  <c r="R52" i="8"/>
  <c r="K52" i="8"/>
  <c r="Q52" i="8"/>
  <c r="B52" i="8"/>
  <c r="K53" i="8" l="1"/>
  <c r="J53" i="8"/>
  <c r="G53" i="8"/>
  <c r="P53" i="8"/>
  <c r="C54" i="8"/>
  <c r="D53" i="8"/>
  <c r="L53" i="8"/>
  <c r="H54" i="8"/>
  <c r="I53" i="8"/>
  <c r="Q53" i="8"/>
  <c r="R53" i="8"/>
  <c r="O53" i="8"/>
  <c r="H53" i="8"/>
  <c r="M53" i="8"/>
  <c r="N53" i="8"/>
  <c r="F53" i="8"/>
  <c r="B53" i="8"/>
  <c r="O54" i="8" l="1"/>
  <c r="I54" i="8"/>
  <c r="M54" i="8"/>
  <c r="G54" i="8"/>
  <c r="J54" i="8"/>
  <c r="G55" i="8"/>
  <c r="Q54" i="8"/>
  <c r="L54" i="8"/>
  <c r="P54" i="8"/>
  <c r="R54" i="8"/>
  <c r="D54" i="8"/>
  <c r="F54" i="8"/>
  <c r="N54" i="8"/>
  <c r="E54" i="8"/>
  <c r="K54" i="8"/>
  <c r="B54" i="8"/>
  <c r="C55" i="8" l="1"/>
  <c r="E56" i="8"/>
  <c r="F55" i="8"/>
  <c r="Q55" i="8"/>
  <c r="M55" i="8"/>
  <c r="I55" i="8"/>
  <c r="L55" i="8"/>
  <c r="N55" i="8"/>
  <c r="P55" i="8"/>
  <c r="G56" i="8"/>
  <c r="J55" i="8"/>
  <c r="H55" i="8"/>
  <c r="R55" i="8"/>
  <c r="D55" i="8"/>
  <c r="K55" i="8"/>
  <c r="E55" i="8"/>
  <c r="O55" i="8"/>
  <c r="B55" i="8"/>
  <c r="R56" i="8" l="1"/>
  <c r="H57" i="8"/>
  <c r="P56" i="8"/>
  <c r="L56" i="8"/>
  <c r="M56" i="8"/>
  <c r="Q56" i="8"/>
  <c r="K56" i="8"/>
  <c r="C57" i="8"/>
  <c r="D56" i="8"/>
  <c r="C56" i="8"/>
  <c r="H56" i="8"/>
  <c r="O56" i="8"/>
  <c r="J56" i="8"/>
  <c r="N56" i="8"/>
  <c r="G57" i="8"/>
  <c r="I56" i="8"/>
  <c r="E57" i="8"/>
  <c r="F56" i="8"/>
  <c r="B56" i="8"/>
  <c r="N57" i="8" l="1"/>
  <c r="K57" i="8"/>
  <c r="M57" i="8"/>
  <c r="P57" i="8"/>
  <c r="J57" i="8"/>
  <c r="F57" i="8"/>
  <c r="G58" i="8"/>
  <c r="I57" i="8"/>
  <c r="O57" i="8"/>
  <c r="C58" i="8"/>
  <c r="D57" i="8"/>
  <c r="Q57" i="8"/>
  <c r="L57" i="8"/>
  <c r="R57" i="8"/>
  <c r="B57" i="8"/>
  <c r="H58" i="8" l="1"/>
  <c r="R58" i="8"/>
  <c r="D58" i="8"/>
  <c r="M58" i="8"/>
  <c r="N58" i="8"/>
  <c r="L58" i="8"/>
  <c r="F58" i="8"/>
  <c r="E58" i="8"/>
  <c r="Q58" i="8"/>
  <c r="O58" i="8"/>
  <c r="I58" i="8"/>
  <c r="J58" i="8"/>
  <c r="P58" i="8"/>
  <c r="K58" i="8"/>
  <c r="E59" i="8"/>
  <c r="B58" i="8"/>
  <c r="G59" i="8" l="1"/>
  <c r="Q59" i="8"/>
  <c r="H59" i="8"/>
  <c r="F59" i="8"/>
  <c r="N59" i="8"/>
  <c r="D59" i="8"/>
  <c r="I59" i="8"/>
  <c r="J59" i="8"/>
  <c r="O59" i="8"/>
  <c r="C59" i="8"/>
  <c r="P59" i="8"/>
  <c r="K59" i="8"/>
  <c r="L59" i="8"/>
  <c r="M59" i="8"/>
  <c r="C60" i="8"/>
  <c r="R59" i="8"/>
  <c r="B59" i="8"/>
  <c r="H60" i="8" l="1"/>
  <c r="J60" i="8"/>
  <c r="L60" i="8"/>
  <c r="P60" i="8"/>
  <c r="Q60" i="8"/>
  <c r="N60" i="8"/>
  <c r="O60" i="8"/>
  <c r="G61" i="8"/>
  <c r="I60" i="8"/>
  <c r="E61" i="8"/>
  <c r="F60" i="8"/>
  <c r="E60" i="8"/>
  <c r="D60" i="8"/>
  <c r="R60" i="8"/>
  <c r="M60" i="8"/>
  <c r="K60" i="8"/>
  <c r="G60" i="8"/>
  <c r="B60" i="8"/>
  <c r="H61" i="8" l="1"/>
  <c r="C61" i="8"/>
  <c r="M61" i="8"/>
  <c r="O61" i="8"/>
  <c r="Q61" i="8"/>
  <c r="L61" i="8"/>
  <c r="J61" i="8"/>
  <c r="K61" i="8"/>
  <c r="R61" i="8"/>
  <c r="D61" i="8"/>
  <c r="E62" i="8"/>
  <c r="F61" i="8"/>
  <c r="H62" i="8"/>
  <c r="I61" i="8"/>
  <c r="N61" i="8"/>
  <c r="P61" i="8"/>
  <c r="G62" i="8"/>
  <c r="B61" i="8"/>
  <c r="C62" i="8" l="1"/>
  <c r="P62" i="8"/>
  <c r="I62" i="8"/>
  <c r="E63" i="8"/>
  <c r="J62" i="8"/>
  <c r="Q62" i="8"/>
  <c r="R62" i="8"/>
  <c r="N62" i="8"/>
  <c r="F62" i="8"/>
  <c r="D62" i="8"/>
  <c r="K62" i="8"/>
  <c r="L62" i="8"/>
  <c r="O62" i="8"/>
  <c r="M62" i="8"/>
  <c r="B62" i="8"/>
  <c r="G63" i="8" l="1"/>
  <c r="M63" i="8"/>
  <c r="L63" i="8"/>
  <c r="D63" i="8"/>
  <c r="N63" i="8"/>
  <c r="Q63" i="8"/>
  <c r="P63" i="8"/>
  <c r="R63" i="8"/>
  <c r="C63" i="8"/>
  <c r="H63" i="8"/>
  <c r="O63" i="8"/>
  <c r="K63" i="8"/>
  <c r="E64" i="8"/>
  <c r="F63" i="8"/>
  <c r="J63" i="8"/>
  <c r="H64" i="8"/>
  <c r="I63" i="8"/>
  <c r="B63" i="8"/>
  <c r="C64" i="8" l="1"/>
  <c r="I64" i="8"/>
  <c r="E65" i="8"/>
  <c r="F64" i="8"/>
  <c r="R64" i="8"/>
  <c r="N64" i="8"/>
  <c r="L64" i="8"/>
  <c r="O64" i="8"/>
  <c r="G64" i="8"/>
  <c r="G65" i="8"/>
  <c r="J64" i="8"/>
  <c r="K64" i="8"/>
  <c r="P64" i="8"/>
  <c r="Q64" i="8"/>
  <c r="D64" i="8"/>
  <c r="M64" i="8"/>
  <c r="B64" i="8"/>
  <c r="C65" i="8" l="1"/>
  <c r="Q65" i="8"/>
  <c r="H65" i="8"/>
  <c r="O65" i="8"/>
  <c r="N65" i="8"/>
  <c r="R65" i="8"/>
  <c r="K65" i="8"/>
  <c r="P65" i="8"/>
  <c r="M65" i="8"/>
  <c r="J65" i="8"/>
  <c r="D65" i="8"/>
  <c r="L65" i="8"/>
  <c r="F65" i="8"/>
  <c r="I65" i="8"/>
  <c r="B65" i="8"/>
  <c r="G67" i="8" l="1"/>
  <c r="I66" i="8"/>
  <c r="M66" i="8"/>
  <c r="R66" i="8"/>
  <c r="O66" i="8"/>
  <c r="G66" i="8"/>
  <c r="H66" i="8"/>
  <c r="E67" i="8"/>
  <c r="F66" i="8"/>
  <c r="J66" i="8"/>
  <c r="P66" i="8"/>
  <c r="N66" i="8"/>
  <c r="C67" i="8"/>
  <c r="D66" i="8"/>
  <c r="K66" i="8"/>
  <c r="L66" i="8"/>
  <c r="E66" i="8"/>
  <c r="C66" i="8"/>
  <c r="Q66" i="8"/>
  <c r="B66" i="8"/>
  <c r="H67" i="8" l="1"/>
  <c r="Q67" i="8"/>
  <c r="K67" i="8"/>
  <c r="N67" i="8"/>
  <c r="F67" i="8"/>
  <c r="O67" i="8"/>
  <c r="M67" i="8"/>
  <c r="G68" i="8"/>
  <c r="P67" i="8"/>
  <c r="L67" i="8"/>
  <c r="D67" i="8"/>
  <c r="H68" i="8"/>
  <c r="J67" i="8"/>
  <c r="C68" i="8"/>
  <c r="R67" i="8"/>
  <c r="I67" i="8"/>
  <c r="B67" i="8"/>
  <c r="I68" i="8" l="1"/>
  <c r="L68" i="8"/>
  <c r="E69" i="8"/>
  <c r="F68" i="8"/>
  <c r="K68" i="8"/>
  <c r="O68" i="8"/>
  <c r="E68" i="8"/>
  <c r="R68" i="8"/>
  <c r="J68" i="8"/>
  <c r="D68" i="8"/>
  <c r="P68" i="8"/>
  <c r="M68" i="8"/>
  <c r="N68" i="8"/>
  <c r="Q68" i="8"/>
  <c r="B68" i="8"/>
  <c r="Q69" i="8" l="1"/>
  <c r="J69" i="8"/>
  <c r="G69" i="8"/>
  <c r="H69" i="8"/>
  <c r="O69" i="8"/>
  <c r="K69" i="8"/>
  <c r="E70" i="8"/>
  <c r="M69" i="8"/>
  <c r="C70" i="8"/>
  <c r="D69" i="8"/>
  <c r="R69" i="8"/>
  <c r="C69" i="8"/>
  <c r="P69" i="8"/>
  <c r="N69" i="8"/>
  <c r="F69" i="8"/>
  <c r="L69" i="8"/>
  <c r="G70" i="8"/>
  <c r="I69" i="8"/>
  <c r="B69" i="8"/>
  <c r="D70" i="8" l="1"/>
  <c r="O70" i="8"/>
  <c r="J70" i="8"/>
  <c r="L70" i="8"/>
  <c r="G71" i="8"/>
  <c r="I70" i="8"/>
  <c r="E71" i="8"/>
  <c r="F70" i="8"/>
  <c r="N70" i="8"/>
  <c r="H70" i="8"/>
  <c r="P70" i="8"/>
  <c r="R70" i="8"/>
  <c r="M70" i="8"/>
  <c r="H71" i="8"/>
  <c r="K70" i="8"/>
  <c r="Q70" i="8"/>
  <c r="B70" i="8"/>
  <c r="N71" i="8" l="1"/>
  <c r="I71" i="8"/>
  <c r="J71" i="8"/>
  <c r="D71" i="8"/>
  <c r="R71" i="8"/>
  <c r="K71" i="8"/>
  <c r="M71" i="8"/>
  <c r="P71" i="8"/>
  <c r="C71" i="8"/>
  <c r="Q71" i="8"/>
  <c r="E72" i="8"/>
  <c r="F71" i="8"/>
  <c r="L71" i="8"/>
  <c r="O71" i="8"/>
  <c r="B71" i="8"/>
  <c r="H72" i="8" l="1"/>
  <c r="O72" i="8"/>
  <c r="P72" i="8"/>
  <c r="K72" i="8"/>
  <c r="D72" i="8"/>
  <c r="J72" i="8"/>
  <c r="N72" i="8"/>
  <c r="E73" i="8"/>
  <c r="F72" i="8"/>
  <c r="L72" i="8"/>
  <c r="Q72" i="8"/>
  <c r="G72" i="8"/>
  <c r="C72" i="8"/>
  <c r="M72" i="8"/>
  <c r="R72" i="8"/>
  <c r="I72" i="8"/>
  <c r="B72" i="8"/>
  <c r="C73" i="8" l="1"/>
  <c r="R73" i="8"/>
  <c r="Q73" i="8"/>
  <c r="N73" i="8"/>
  <c r="D73" i="8"/>
  <c r="P73" i="8"/>
  <c r="G74" i="8"/>
  <c r="I73" i="8"/>
  <c r="H73" i="8"/>
  <c r="G73" i="8"/>
  <c r="M73" i="8"/>
  <c r="L73" i="8"/>
  <c r="F73" i="8"/>
  <c r="J73" i="8"/>
  <c r="K73" i="8"/>
  <c r="O73" i="8"/>
  <c r="B73" i="8"/>
  <c r="H74" i="8" l="1"/>
  <c r="C74" i="8"/>
  <c r="K74" i="8"/>
  <c r="F74" i="8"/>
  <c r="P74" i="8"/>
  <c r="N74" i="8"/>
  <c r="Q74" i="8"/>
  <c r="M74" i="8"/>
  <c r="E74" i="8"/>
  <c r="O74" i="8"/>
  <c r="J74" i="8"/>
  <c r="L74" i="8"/>
  <c r="G75" i="8"/>
  <c r="L11" i="9" s="1"/>
  <c r="I74" i="8"/>
  <c r="D74" i="8"/>
  <c r="E75" i="8"/>
  <c r="N11" i="9" s="1"/>
  <c r="R74" i="8"/>
  <c r="B74" i="8"/>
  <c r="Q75" i="8" l="1"/>
  <c r="B11" i="9" s="1"/>
  <c r="P75" i="8"/>
  <c r="C11" i="9" s="1"/>
  <c r="F75" i="8"/>
  <c r="M11" i="9" s="1"/>
  <c r="D75" i="8"/>
  <c r="O11" i="9" s="1"/>
  <c r="O75" i="8"/>
  <c r="D11" i="9" s="1"/>
  <c r="E76" i="8"/>
  <c r="I75" i="8"/>
  <c r="J11" i="9" s="1"/>
  <c r="G76" i="8"/>
  <c r="J75" i="8"/>
  <c r="I11" i="9" s="1"/>
  <c r="H75" i="8"/>
  <c r="K11" i="9" s="1"/>
  <c r="R75" i="8"/>
  <c r="C76" i="8"/>
  <c r="L75" i="8"/>
  <c r="G11" i="9" s="1"/>
  <c r="C75" i="8"/>
  <c r="P11" i="9" s="1"/>
  <c r="M75" i="8"/>
  <c r="F11" i="9" s="1"/>
  <c r="N75" i="8"/>
  <c r="E11" i="9" s="1"/>
  <c r="H76" i="8"/>
  <c r="K75" i="8"/>
  <c r="H11" i="9" s="1"/>
  <c r="B75" i="8"/>
  <c r="Q11" i="9" s="1"/>
  <c r="L76" i="8" l="1"/>
  <c r="R76" i="8"/>
  <c r="M76" i="8"/>
  <c r="D76" i="8"/>
  <c r="P76" i="8"/>
  <c r="K76" i="8"/>
  <c r="N76" i="8"/>
  <c r="J76" i="8"/>
  <c r="H77" i="8"/>
  <c r="I76" i="8"/>
  <c r="O76" i="8"/>
  <c r="E77" i="8"/>
  <c r="F76" i="8"/>
  <c r="Q76" i="8"/>
  <c r="B76" i="8"/>
  <c r="C77" i="8" l="1"/>
  <c r="Q77" i="8"/>
  <c r="O77" i="8"/>
  <c r="J77" i="8"/>
  <c r="K77" i="8"/>
  <c r="M77" i="8"/>
  <c r="R77" i="8"/>
  <c r="P77" i="8"/>
  <c r="G77" i="8"/>
  <c r="F77" i="8"/>
  <c r="I77" i="8"/>
  <c r="N77" i="8"/>
  <c r="D77" i="8"/>
  <c r="L77" i="8"/>
  <c r="B77" i="8"/>
  <c r="H78" i="8" l="1"/>
  <c r="L78" i="8"/>
  <c r="C79" i="8"/>
  <c r="P78" i="8"/>
  <c r="M78" i="8"/>
  <c r="K78" i="8"/>
  <c r="O78" i="8"/>
  <c r="D78" i="8"/>
  <c r="N78" i="8"/>
  <c r="F78" i="8"/>
  <c r="E78" i="8"/>
  <c r="I78" i="8"/>
  <c r="G78" i="8"/>
  <c r="C78" i="8"/>
  <c r="R78" i="8"/>
  <c r="E79" i="8"/>
  <c r="J78" i="8"/>
  <c r="Q78" i="8"/>
  <c r="B78" i="8"/>
  <c r="R79" i="8" l="1"/>
  <c r="F79" i="8"/>
  <c r="C80" i="8"/>
  <c r="D79" i="8"/>
  <c r="O79" i="8"/>
  <c r="M79" i="8"/>
  <c r="G80" i="8"/>
  <c r="J79" i="8"/>
  <c r="Q79" i="8"/>
  <c r="E80" i="8"/>
  <c r="I79" i="8"/>
  <c r="G79" i="8"/>
  <c r="H79" i="8"/>
  <c r="N79" i="8"/>
  <c r="K79" i="8"/>
  <c r="P79" i="8"/>
  <c r="L79" i="8"/>
  <c r="B79" i="8"/>
  <c r="H80" i="8" l="1"/>
  <c r="I80" i="8"/>
  <c r="Q80" i="8"/>
  <c r="O80" i="8"/>
  <c r="E81" i="8"/>
  <c r="F80" i="8"/>
  <c r="P80" i="8"/>
  <c r="L80" i="8"/>
  <c r="K80" i="8"/>
  <c r="N80" i="8"/>
  <c r="H81" i="8"/>
  <c r="J80" i="8"/>
  <c r="M80" i="8"/>
  <c r="C81" i="8"/>
  <c r="D80" i="8"/>
  <c r="R80" i="8"/>
  <c r="B80" i="8"/>
  <c r="R81" i="8" l="1"/>
  <c r="M81" i="8"/>
  <c r="K81" i="8"/>
  <c r="E82" i="8"/>
  <c r="F81" i="8"/>
  <c r="I81" i="8"/>
  <c r="G81" i="8"/>
  <c r="C82" i="8"/>
  <c r="D81" i="8"/>
  <c r="H82" i="8"/>
  <c r="J81" i="8"/>
  <c r="N81" i="8"/>
  <c r="L81" i="8"/>
  <c r="P81" i="8"/>
  <c r="O81" i="8"/>
  <c r="Q81" i="8"/>
  <c r="B81" i="8"/>
  <c r="O82" i="8" l="1"/>
  <c r="K82" i="8"/>
  <c r="M82" i="8"/>
  <c r="J82" i="8"/>
  <c r="P82" i="8"/>
  <c r="N82" i="8"/>
  <c r="D82" i="8"/>
  <c r="L82" i="8"/>
  <c r="Q82" i="8"/>
  <c r="G82" i="8"/>
  <c r="G83" i="8"/>
  <c r="I82" i="8"/>
  <c r="F82" i="8"/>
  <c r="R82" i="8"/>
  <c r="B82" i="8"/>
  <c r="C83" i="8" l="1"/>
  <c r="H83" i="8"/>
  <c r="R83" i="8"/>
  <c r="Q83" i="8"/>
  <c r="N83" i="8"/>
  <c r="J83" i="8"/>
  <c r="K83" i="8"/>
  <c r="G84" i="8"/>
  <c r="I83" i="8"/>
  <c r="E84" i="8"/>
  <c r="F83" i="8"/>
  <c r="E83" i="8"/>
  <c r="L83" i="8"/>
  <c r="D83" i="8"/>
  <c r="P83" i="8"/>
  <c r="M83" i="8"/>
  <c r="O83" i="8"/>
  <c r="B83" i="8"/>
  <c r="D84" i="8" l="1"/>
  <c r="C84" i="8"/>
  <c r="F84" i="8"/>
  <c r="K84" i="8"/>
  <c r="N84" i="8"/>
  <c r="Q84" i="8"/>
  <c r="O84" i="8"/>
  <c r="P84" i="8"/>
  <c r="L84" i="8"/>
  <c r="H84" i="8"/>
  <c r="M84" i="8"/>
  <c r="I84" i="8"/>
  <c r="H85" i="8"/>
  <c r="J84" i="8"/>
  <c r="G85" i="8"/>
  <c r="R84" i="8"/>
  <c r="B84" i="8"/>
  <c r="F85" i="8" l="1"/>
  <c r="M85" i="8"/>
  <c r="E85" i="8"/>
  <c r="Q85" i="8"/>
  <c r="P85" i="8"/>
  <c r="O85" i="8"/>
  <c r="N85" i="8"/>
  <c r="E86" i="8"/>
  <c r="L85" i="8"/>
  <c r="K85" i="8"/>
  <c r="R85" i="8"/>
  <c r="J85" i="8"/>
  <c r="G86" i="8"/>
  <c r="I85" i="8"/>
  <c r="C85" i="8"/>
  <c r="C86" i="8"/>
  <c r="D85" i="8"/>
  <c r="B85" i="8"/>
  <c r="Q86" i="8" l="1"/>
  <c r="H86" i="8"/>
  <c r="F86" i="8"/>
  <c r="K86" i="8"/>
  <c r="R86" i="8"/>
  <c r="L86" i="8"/>
  <c r="N86" i="8"/>
  <c r="P86" i="8"/>
  <c r="J86" i="8"/>
  <c r="O86" i="8"/>
  <c r="H87" i="8"/>
  <c r="I86" i="8"/>
  <c r="D86" i="8"/>
  <c r="M86" i="8"/>
  <c r="B86" i="8"/>
  <c r="M87" i="8" l="1"/>
  <c r="N87" i="8"/>
  <c r="R87" i="8"/>
  <c r="F87" i="8"/>
  <c r="G87" i="8"/>
  <c r="Q87" i="8"/>
  <c r="I87" i="8"/>
  <c r="O87" i="8"/>
  <c r="L87" i="8"/>
  <c r="K87" i="8"/>
  <c r="E87" i="8"/>
  <c r="J87" i="8"/>
  <c r="C88" i="8"/>
  <c r="D87" i="8"/>
  <c r="P87" i="8"/>
  <c r="C87" i="8"/>
  <c r="E88" i="8"/>
  <c r="B87" i="8"/>
  <c r="H89" i="8" l="1"/>
  <c r="I88" i="8"/>
  <c r="P88" i="8"/>
  <c r="J88" i="8"/>
  <c r="H88" i="8"/>
  <c r="G88" i="8"/>
  <c r="E89" i="8"/>
  <c r="F88" i="8"/>
  <c r="N88" i="8"/>
  <c r="K88" i="8"/>
  <c r="L88" i="8"/>
  <c r="Q88" i="8"/>
  <c r="O88" i="8"/>
  <c r="D88" i="8"/>
  <c r="R88" i="8"/>
  <c r="M88" i="8"/>
  <c r="B88" i="8"/>
  <c r="G89" i="8" l="1"/>
  <c r="D89" i="8"/>
  <c r="Q89" i="8"/>
  <c r="L89" i="8"/>
  <c r="N89" i="8"/>
  <c r="P89" i="8"/>
  <c r="R89" i="8"/>
  <c r="C89" i="8"/>
  <c r="M89" i="8"/>
  <c r="O89" i="8"/>
  <c r="K89" i="8"/>
  <c r="E90" i="8"/>
  <c r="F89" i="8"/>
  <c r="J89" i="8"/>
  <c r="I89" i="8"/>
  <c r="B89" i="8"/>
  <c r="H91" i="8" l="1"/>
  <c r="I90" i="8"/>
  <c r="M90" i="8"/>
  <c r="G90" i="8"/>
  <c r="C90" i="8"/>
  <c r="R90" i="8"/>
  <c r="N90" i="8"/>
  <c r="Q90" i="8"/>
  <c r="K90" i="8"/>
  <c r="C91" i="8"/>
  <c r="F90" i="8"/>
  <c r="O90" i="8"/>
  <c r="J90" i="8"/>
  <c r="H90" i="8"/>
  <c r="E91" i="8"/>
  <c r="P90" i="8"/>
  <c r="L90" i="8"/>
  <c r="D90" i="8"/>
  <c r="B90" i="8"/>
  <c r="G91" i="8" l="1"/>
  <c r="O91" i="8"/>
  <c r="K91" i="8"/>
  <c r="Q91" i="8"/>
  <c r="R91" i="8"/>
  <c r="M91" i="8"/>
  <c r="D91" i="8"/>
  <c r="P91" i="8"/>
  <c r="L91" i="8"/>
  <c r="J91" i="8"/>
  <c r="F91" i="8"/>
  <c r="H92" i="8"/>
  <c r="N91" i="8"/>
  <c r="I91" i="8"/>
  <c r="B91" i="8"/>
  <c r="I92" i="8" l="1"/>
  <c r="F92" i="8"/>
  <c r="L92" i="8"/>
  <c r="D92" i="8"/>
  <c r="K92" i="8"/>
  <c r="O92" i="8"/>
  <c r="R92" i="8"/>
  <c r="G92" i="8"/>
  <c r="C92" i="8"/>
  <c r="E92" i="8"/>
  <c r="N92" i="8"/>
  <c r="J92" i="8"/>
  <c r="P92" i="8"/>
  <c r="M92" i="8"/>
  <c r="Q92" i="8"/>
  <c r="C93" i="8"/>
  <c r="E93" i="8"/>
  <c r="B92" i="8"/>
  <c r="H93" i="8" l="1"/>
  <c r="J93" i="8"/>
  <c r="G93" i="8"/>
  <c r="R93" i="8"/>
  <c r="O93" i="8"/>
  <c r="D93" i="8"/>
  <c r="F93" i="8"/>
  <c r="M93" i="8"/>
  <c r="Q93" i="8"/>
  <c r="P93" i="8"/>
  <c r="N93" i="8"/>
  <c r="K93" i="8"/>
  <c r="L93" i="8"/>
  <c r="G94" i="8"/>
  <c r="I93" i="8"/>
  <c r="B93" i="8"/>
  <c r="K94" i="8" l="1"/>
  <c r="M94" i="8"/>
  <c r="C95" i="8"/>
  <c r="D94" i="8"/>
  <c r="R94" i="8"/>
  <c r="H94" i="8"/>
  <c r="P94" i="8"/>
  <c r="Q94" i="8"/>
  <c r="F94" i="8"/>
  <c r="O94" i="8"/>
  <c r="I94" i="8"/>
  <c r="E95" i="8"/>
  <c r="L94" i="8"/>
  <c r="N94" i="8"/>
  <c r="E94" i="8"/>
  <c r="C94" i="8"/>
  <c r="G95" i="8"/>
  <c r="J94" i="8"/>
  <c r="B94" i="8"/>
  <c r="H95" i="8" l="1"/>
  <c r="N95" i="8"/>
  <c r="Q95" i="8"/>
  <c r="C96" i="8"/>
  <c r="D95" i="8"/>
  <c r="O95" i="8"/>
  <c r="J95" i="8"/>
  <c r="L95" i="8"/>
  <c r="H96" i="8"/>
  <c r="I95" i="8"/>
  <c r="E96" i="8"/>
  <c r="F95" i="8"/>
  <c r="P95" i="8"/>
  <c r="R95" i="8"/>
  <c r="M95" i="8"/>
  <c r="K95" i="8"/>
  <c r="B95" i="8"/>
  <c r="K96" i="8" l="1"/>
  <c r="P96" i="8"/>
  <c r="I96" i="8"/>
  <c r="Q96" i="8"/>
  <c r="R96" i="8"/>
  <c r="G97" i="8"/>
  <c r="J96" i="8"/>
  <c r="G96" i="8"/>
  <c r="M96" i="8"/>
  <c r="E97" i="8"/>
  <c r="F96" i="8"/>
  <c r="L96" i="8"/>
  <c r="O96" i="8"/>
  <c r="C97" i="8"/>
  <c r="D96" i="8"/>
  <c r="N96" i="8"/>
  <c r="B96" i="8"/>
  <c r="N97" i="8" l="1"/>
  <c r="J97" i="8"/>
  <c r="Q97" i="8"/>
  <c r="G98" i="8"/>
  <c r="I97" i="8"/>
  <c r="P97" i="8"/>
  <c r="O97" i="8"/>
  <c r="L97" i="8"/>
  <c r="M97" i="8"/>
  <c r="H97" i="8"/>
  <c r="F97" i="8"/>
  <c r="D97" i="8"/>
  <c r="R97" i="8"/>
  <c r="H98" i="8"/>
  <c r="K97" i="8"/>
  <c r="B97" i="8"/>
  <c r="D98" i="8" l="1"/>
  <c r="M98" i="8"/>
  <c r="L98" i="8"/>
  <c r="P98" i="8"/>
  <c r="Q98" i="8"/>
  <c r="R98" i="8"/>
  <c r="F98" i="8"/>
  <c r="E98" i="8"/>
  <c r="K98" i="8"/>
  <c r="C98" i="8"/>
  <c r="O98" i="8"/>
  <c r="H99" i="8"/>
  <c r="I98" i="8"/>
  <c r="J98" i="8"/>
  <c r="N98" i="8"/>
  <c r="B98" i="8"/>
  <c r="G99" i="8" l="1"/>
  <c r="C99" i="8"/>
  <c r="J99" i="8"/>
  <c r="F99" i="8"/>
  <c r="P99" i="8"/>
  <c r="M99" i="8"/>
  <c r="O99" i="8"/>
  <c r="E99" i="8"/>
  <c r="K99" i="8"/>
  <c r="N99" i="8"/>
  <c r="H100" i="8"/>
  <c r="I99" i="8"/>
  <c r="E100" i="8"/>
  <c r="R99" i="8"/>
  <c r="Q99" i="8"/>
  <c r="L99" i="8"/>
  <c r="D99" i="8"/>
  <c r="B99" i="8"/>
  <c r="D100" i="8" l="1"/>
  <c r="K100" i="8"/>
  <c r="G100" i="8"/>
  <c r="C100" i="8"/>
  <c r="M100" i="8"/>
  <c r="F100" i="8"/>
  <c r="R100" i="8"/>
  <c r="C101" i="8"/>
  <c r="N100" i="8"/>
  <c r="Q100" i="8"/>
  <c r="I100" i="8"/>
  <c r="L100" i="8"/>
  <c r="O100" i="8"/>
  <c r="P100" i="8"/>
  <c r="H101" i="8"/>
  <c r="J100" i="8"/>
  <c r="B100" i="8"/>
  <c r="O101" i="8" l="1"/>
  <c r="I101" i="8"/>
  <c r="N101" i="8"/>
  <c r="F101" i="8"/>
  <c r="M101" i="8"/>
  <c r="K101" i="8"/>
  <c r="E101" i="8"/>
  <c r="G101" i="8"/>
  <c r="J101" i="8"/>
  <c r="P101" i="8"/>
  <c r="L101" i="8"/>
  <c r="Q101" i="8"/>
  <c r="E102" i="8"/>
  <c r="R101" i="8"/>
  <c r="G102" i="8"/>
  <c r="C102" i="8"/>
  <c r="D101" i="8"/>
  <c r="B101" i="8"/>
  <c r="L102" i="8" l="1"/>
  <c r="J102" i="8"/>
  <c r="K102" i="8"/>
  <c r="E103" i="8"/>
  <c r="F102" i="8"/>
  <c r="I102" i="8"/>
  <c r="C103" i="8"/>
  <c r="H102" i="8"/>
  <c r="D102" i="8"/>
  <c r="R102" i="8"/>
  <c r="Q102" i="8"/>
  <c r="P102" i="8"/>
  <c r="H103" i="8"/>
  <c r="M102" i="8"/>
  <c r="N102" i="8"/>
  <c r="O102" i="8"/>
  <c r="B102" i="8"/>
  <c r="P103" i="8" l="1"/>
  <c r="I103" i="8"/>
  <c r="K103" i="8"/>
  <c r="L103" i="8"/>
  <c r="O103" i="8"/>
  <c r="R103" i="8"/>
  <c r="Q103" i="8"/>
  <c r="D103" i="8"/>
  <c r="G103" i="8"/>
  <c r="M103" i="8"/>
  <c r="N103" i="8"/>
  <c r="F103" i="8"/>
  <c r="G104" i="8"/>
  <c r="J103" i="8"/>
  <c r="B103" i="8"/>
  <c r="H104" i="8" l="1"/>
  <c r="F104" i="8"/>
  <c r="C104" i="8"/>
  <c r="D104" i="8"/>
  <c r="O104" i="8"/>
  <c r="K104" i="8"/>
  <c r="E105" i="8"/>
  <c r="J104" i="8"/>
  <c r="M104" i="8"/>
  <c r="N104" i="8"/>
  <c r="E104" i="8"/>
  <c r="Q104" i="8"/>
  <c r="R104" i="8"/>
  <c r="L104" i="8"/>
  <c r="I104" i="8"/>
  <c r="P104" i="8"/>
  <c r="B104" i="8"/>
  <c r="O105" i="8" l="1"/>
  <c r="D105" i="8"/>
  <c r="G106" i="8"/>
  <c r="I105" i="8"/>
  <c r="R105" i="8"/>
  <c r="G105" i="8"/>
  <c r="H105" i="8"/>
  <c r="M105" i="8"/>
  <c r="K105" i="8"/>
  <c r="J105" i="8"/>
  <c r="N105" i="8"/>
  <c r="P105" i="8"/>
  <c r="L105" i="8"/>
  <c r="Q105" i="8"/>
  <c r="C105" i="8"/>
  <c r="F105" i="8"/>
  <c r="B105" i="8"/>
  <c r="C106" i="8" l="1"/>
  <c r="H106" i="8"/>
  <c r="P106" i="8"/>
  <c r="N106" i="8"/>
  <c r="H107" i="8"/>
  <c r="I106" i="8"/>
  <c r="O106" i="8"/>
  <c r="Q106" i="8"/>
  <c r="F106" i="8"/>
  <c r="E106" i="8"/>
  <c r="L106" i="8"/>
  <c r="E107" i="8"/>
  <c r="J106" i="8"/>
  <c r="K106" i="8"/>
  <c r="M106" i="8"/>
  <c r="R106" i="8"/>
  <c r="D106" i="8"/>
  <c r="B106" i="8"/>
  <c r="G107" i="8" l="1"/>
  <c r="E108" i="8"/>
  <c r="F107" i="8"/>
  <c r="O107" i="8"/>
  <c r="N107" i="8"/>
  <c r="R107" i="8"/>
  <c r="M107" i="8"/>
  <c r="J107" i="8"/>
  <c r="L107" i="8"/>
  <c r="K107" i="8"/>
  <c r="D107" i="8"/>
  <c r="C107" i="8"/>
  <c r="Q107" i="8"/>
  <c r="I107" i="8"/>
  <c r="P107" i="8"/>
  <c r="B107" i="8"/>
  <c r="I108" i="8" l="1"/>
  <c r="H108" i="8"/>
  <c r="D108" i="8"/>
  <c r="L108" i="8"/>
  <c r="M108" i="8"/>
  <c r="N108" i="8"/>
  <c r="O108" i="8"/>
  <c r="P108" i="8"/>
  <c r="Q108" i="8"/>
  <c r="G108" i="8"/>
  <c r="C108" i="8"/>
  <c r="K108" i="8"/>
  <c r="J108" i="8"/>
  <c r="R108" i="8"/>
  <c r="F108" i="8"/>
  <c r="B108" i="8"/>
  <c r="H109" i="8" l="1"/>
  <c r="F109" i="8"/>
  <c r="Q109" i="8"/>
  <c r="M109" i="8"/>
  <c r="D109" i="8"/>
  <c r="C109" i="8"/>
  <c r="G109" i="8"/>
  <c r="E109" i="8"/>
  <c r="K109" i="8"/>
  <c r="O109" i="8"/>
  <c r="E110" i="8"/>
  <c r="N109" i="8"/>
  <c r="L109" i="8"/>
  <c r="R109" i="8"/>
  <c r="P109" i="8"/>
  <c r="C110" i="8"/>
  <c r="J109" i="8"/>
  <c r="I109" i="8"/>
  <c r="B109" i="8"/>
  <c r="K110" i="8" l="1"/>
  <c r="D110" i="8"/>
  <c r="Q110" i="8"/>
  <c r="R110" i="8"/>
  <c r="I110" i="8"/>
  <c r="P110" i="8"/>
  <c r="O110" i="8"/>
  <c r="N110" i="8"/>
  <c r="J110" i="8"/>
  <c r="L110" i="8"/>
  <c r="H110" i="8"/>
  <c r="G110" i="8"/>
  <c r="M110" i="8"/>
  <c r="E111" i="8"/>
  <c r="F110" i="8"/>
  <c r="B110" i="8"/>
  <c r="H111" i="8" l="1"/>
  <c r="G111" i="8"/>
  <c r="M111" i="8"/>
  <c r="L111" i="8"/>
  <c r="N111" i="8"/>
  <c r="P111" i="8"/>
  <c r="R111" i="8"/>
  <c r="D111" i="8"/>
  <c r="O111" i="8"/>
  <c r="C111" i="8"/>
  <c r="E112" i="8"/>
  <c r="F111" i="8"/>
  <c r="J111" i="8"/>
  <c r="I111" i="8"/>
  <c r="Q111" i="8"/>
  <c r="K111" i="8"/>
  <c r="C112" i="8"/>
  <c r="B111" i="8"/>
  <c r="H112" i="8" l="1"/>
  <c r="J112" i="8"/>
  <c r="O112" i="8"/>
  <c r="C113" i="8"/>
  <c r="D112" i="8"/>
  <c r="P112" i="8"/>
  <c r="L112" i="8"/>
  <c r="I112" i="8"/>
  <c r="F112" i="8"/>
  <c r="G112" i="8"/>
  <c r="Q112" i="8"/>
  <c r="K112" i="8"/>
  <c r="G113" i="8"/>
  <c r="R112" i="8"/>
  <c r="N112" i="8"/>
  <c r="M112" i="8"/>
  <c r="B112" i="8"/>
  <c r="R113" i="8" l="1"/>
  <c r="F113" i="8"/>
  <c r="I113" i="8"/>
  <c r="P113" i="8"/>
  <c r="O113" i="8"/>
  <c r="K113" i="8"/>
  <c r="N113" i="8"/>
  <c r="Q113" i="8"/>
  <c r="H113" i="8"/>
  <c r="E113" i="8"/>
  <c r="M113" i="8"/>
  <c r="E114" i="8"/>
  <c r="L113" i="8"/>
  <c r="C114" i="8"/>
  <c r="D113" i="8"/>
  <c r="G114" i="8"/>
  <c r="J113" i="8"/>
  <c r="B113" i="8"/>
  <c r="D114" i="8" l="1"/>
  <c r="M114" i="8"/>
  <c r="Q114" i="8"/>
  <c r="N114" i="8"/>
  <c r="O114" i="8"/>
  <c r="C115" i="8"/>
  <c r="F114" i="8"/>
  <c r="H114" i="8"/>
  <c r="J114" i="8"/>
  <c r="L114" i="8"/>
  <c r="K114" i="8"/>
  <c r="P114" i="8"/>
  <c r="H115" i="8"/>
  <c r="I114" i="8"/>
  <c r="R114" i="8"/>
  <c r="B114" i="8"/>
  <c r="E115" i="8" l="1"/>
  <c r="N115" i="8"/>
  <c r="M115" i="8"/>
  <c r="R115" i="8"/>
  <c r="L115" i="8"/>
  <c r="H116" i="8"/>
  <c r="I115" i="8"/>
  <c r="K115" i="8"/>
  <c r="J115" i="8"/>
  <c r="P115" i="8"/>
  <c r="G115" i="8"/>
  <c r="E116" i="8"/>
  <c r="F115" i="8"/>
  <c r="O115" i="8"/>
  <c r="Q115" i="8"/>
  <c r="D115" i="8"/>
  <c r="B115" i="8"/>
  <c r="D116" i="8" l="1"/>
  <c r="P116" i="8"/>
  <c r="I116" i="8"/>
  <c r="R116" i="8"/>
  <c r="N116" i="8"/>
  <c r="O116" i="8"/>
  <c r="Q116" i="8"/>
  <c r="F116" i="8"/>
  <c r="C116" i="8"/>
  <c r="G116" i="8"/>
  <c r="J116" i="8"/>
  <c r="K116" i="8"/>
  <c r="L116" i="8"/>
  <c r="M116" i="8"/>
  <c r="C117" i="8"/>
  <c r="B116" i="8"/>
  <c r="L117" i="8" l="1"/>
  <c r="J117" i="8"/>
  <c r="O117" i="8"/>
  <c r="N117" i="8"/>
  <c r="G118" i="8"/>
  <c r="I117" i="8"/>
  <c r="P117" i="8"/>
  <c r="E118" i="8"/>
  <c r="F117" i="8"/>
  <c r="G117" i="8"/>
  <c r="E117" i="8"/>
  <c r="H117" i="8"/>
  <c r="M117" i="8"/>
  <c r="K117" i="8"/>
  <c r="Q117" i="8"/>
  <c r="R117" i="8"/>
  <c r="D117" i="8"/>
  <c r="B117" i="8"/>
  <c r="C118" i="8" l="1"/>
  <c r="E119" i="8"/>
  <c r="F118" i="8"/>
  <c r="G119" i="8"/>
  <c r="I118" i="8"/>
  <c r="O118" i="8"/>
  <c r="L118" i="8"/>
  <c r="K118" i="8"/>
  <c r="R118" i="8"/>
  <c r="Q118" i="8"/>
  <c r="M118" i="8"/>
  <c r="C119" i="8"/>
  <c r="D118" i="8"/>
  <c r="H118" i="8"/>
  <c r="P118" i="8"/>
  <c r="N118" i="8"/>
  <c r="J118" i="8"/>
  <c r="B118" i="8"/>
  <c r="D119" i="8" l="1"/>
  <c r="M119" i="8"/>
  <c r="R119" i="8"/>
  <c r="L119" i="8"/>
  <c r="G120" i="8"/>
  <c r="I119" i="8"/>
  <c r="J119" i="8"/>
  <c r="P119" i="8"/>
  <c r="H119" i="8"/>
  <c r="N119" i="8"/>
  <c r="Q119" i="8"/>
  <c r="K119" i="8"/>
  <c r="O119" i="8"/>
  <c r="E120" i="8"/>
  <c r="F119" i="8"/>
  <c r="B119" i="8"/>
  <c r="N120" i="8" l="1"/>
  <c r="J120" i="8"/>
  <c r="L120" i="8"/>
  <c r="M120" i="8"/>
  <c r="O120" i="8"/>
  <c r="E121" i="8"/>
  <c r="F120" i="8"/>
  <c r="K120" i="8"/>
  <c r="C120" i="8"/>
  <c r="Q120" i="8"/>
  <c r="H120" i="8"/>
  <c r="P120" i="8"/>
  <c r="H121" i="8"/>
  <c r="I120" i="8"/>
  <c r="R120" i="8"/>
  <c r="C121" i="8"/>
  <c r="D120" i="8"/>
  <c r="B120" i="8"/>
  <c r="G121" i="8" l="1"/>
  <c r="E122" i="8"/>
  <c r="F121" i="8"/>
  <c r="M121" i="8"/>
  <c r="N121" i="8"/>
  <c r="R121" i="8"/>
  <c r="Q121" i="8"/>
  <c r="C122" i="8"/>
  <c r="D121" i="8"/>
  <c r="H122" i="8"/>
  <c r="I121" i="8"/>
  <c r="P121" i="8"/>
  <c r="K121" i="8"/>
  <c r="O121" i="8"/>
  <c r="L121" i="8"/>
  <c r="J121" i="8"/>
  <c r="B121" i="8"/>
  <c r="L122" i="8" l="1"/>
  <c r="K122" i="8"/>
  <c r="I122" i="8"/>
  <c r="Q122" i="8"/>
  <c r="M122" i="8"/>
  <c r="N122" i="8"/>
  <c r="G122" i="8"/>
  <c r="J123" i="8"/>
  <c r="J122" i="8"/>
  <c r="O122" i="8"/>
  <c r="P122" i="8"/>
  <c r="D122" i="8"/>
  <c r="R123" i="8"/>
  <c r="R122" i="8"/>
  <c r="F122" i="8"/>
  <c r="C123" i="8"/>
  <c r="B123" i="8"/>
  <c r="B122" i="8"/>
  <c r="F123" i="8" l="1"/>
  <c r="D123" i="8"/>
  <c r="E123" i="8"/>
  <c r="Q123" i="8"/>
  <c r="K123" i="8"/>
  <c r="H123" i="8"/>
  <c r="G123" i="8"/>
  <c r="O123" i="8"/>
  <c r="P123" i="8"/>
  <c r="N123" i="8"/>
  <c r="M123" i="8"/>
  <c r="I123" i="8"/>
  <c r="L123" i="8"/>
</calcChain>
</file>

<file path=xl/sharedStrings.xml><?xml version="1.0" encoding="utf-8"?>
<sst xmlns="http://schemas.openxmlformats.org/spreadsheetml/2006/main" count="1023" uniqueCount="384">
  <si>
    <t>Bilanço</t>
  </si>
  <si>
    <t>2022/12</t>
  </si>
  <si>
    <t>2022/9</t>
  </si>
  <si>
    <t>2022/6</t>
  </si>
  <si>
    <t>2022/3</t>
  </si>
  <si>
    <t>2021/12</t>
  </si>
  <si>
    <t>2021/9</t>
  </si>
  <si>
    <t>2021/6</t>
  </si>
  <si>
    <t>2021/3</t>
  </si>
  <si>
    <t>2020/12</t>
  </si>
  <si>
    <t>2020/9</t>
  </si>
  <si>
    <t>2020/6</t>
  </si>
  <si>
    <t>2020/3</t>
  </si>
  <si>
    <t>2019/12</t>
  </si>
  <si>
    <t>2019/9</t>
  </si>
  <si>
    <t>2019/6</t>
  </si>
  <si>
    <t>2019/3</t>
  </si>
  <si>
    <t>2018/12</t>
  </si>
  <si>
    <t>2018/9</t>
  </si>
  <si>
    <t>2018/6</t>
  </si>
  <si>
    <t>2018/3</t>
  </si>
  <si>
    <t>Dönen Varlıklar</t>
  </si>
  <si>
    <t xml:space="preserve">  Nakit ve Nakit Benzerleri</t>
  </si>
  <si>
    <t xml:space="preserve">  Finansal Yatırımlar</t>
  </si>
  <si>
    <t xml:space="preserve">  Ticari Alacaklar</t>
  </si>
  <si>
    <t xml:space="preserve">  Finans Sektörü Faaliyetlerinden Alacaklar</t>
  </si>
  <si>
    <t xml:space="preserve">  Diğer Alacaklar</t>
  </si>
  <si>
    <t xml:space="preserve">  Müşteri Sözleşmelerinden Doğan Varlıklar</t>
  </si>
  <si>
    <t xml:space="preserve">  Stoklar</t>
  </si>
  <si>
    <t xml:space="preserve">  Canlı Varlıklar</t>
  </si>
  <si>
    <t xml:space="preserve">  Diğer Dönen Varlıklar</t>
  </si>
  <si>
    <t xml:space="preserve">    (Ara Toplam)</t>
  </si>
  <si>
    <t xml:space="preserve">  Satış Amacıyla Elde Tutulan Duran Varlıklar</t>
  </si>
  <si>
    <t>Duran Varlıklar</t>
  </si>
  <si>
    <t xml:space="preserve">  Özkaynak Yöntemiyle Değerlenen Yatırımlar</t>
  </si>
  <si>
    <t xml:space="preserve">  Yatırım Amaçlı Gayrimenkuller</t>
  </si>
  <si>
    <t xml:space="preserve">  Kullanım Hakkı Varlıkları</t>
  </si>
  <si>
    <t xml:space="preserve">  Maddi Duran Varlıklar</t>
  </si>
  <si>
    <t xml:space="preserve">  Şerefiye</t>
  </si>
  <si>
    <t xml:space="preserve">  Maddi Olmayan Duran Varlıklar</t>
  </si>
  <si>
    <t xml:space="preserve">  Ertelenmiş Vergi Varlığı</t>
  </si>
  <si>
    <t xml:space="preserve">  Diğer Duran Varlıklar</t>
  </si>
  <si>
    <t>TOPLAM VARLIKLAR</t>
  </si>
  <si>
    <t>KAYNAKLAR</t>
  </si>
  <si>
    <t>Kısa Vadeli Yükümlülükler</t>
  </si>
  <si>
    <t xml:space="preserve">  Finansal Borçlar</t>
  </si>
  <si>
    <t xml:space="preserve">  Diğer Finansal Yükümlülükler</t>
  </si>
  <si>
    <t xml:space="preserve">  Ticari Borçlar</t>
  </si>
  <si>
    <t xml:space="preserve">  Diğer Borçlar</t>
  </si>
  <si>
    <t xml:space="preserve">  Müşteri Söz. Doğan Yük.</t>
  </si>
  <si>
    <t xml:space="preserve">  Finans Sektörü Faaliyetlerinden Borçlar</t>
  </si>
  <si>
    <t xml:space="preserve">  Devlet Teşvik ve Yardımları</t>
  </si>
  <si>
    <t xml:space="preserve">  Ertelenmiş Gelirler (Müşteri Söz. Doğan Yük. Dış.Kal.)</t>
  </si>
  <si>
    <t xml:space="preserve">  Dönem Karı Vergi Yükümlülüğü</t>
  </si>
  <si>
    <t xml:space="preserve">  Borç Karşılıkları</t>
  </si>
  <si>
    <t xml:space="preserve">  Diğer Kısa Vadeli Yükümlülükler</t>
  </si>
  <si>
    <t xml:space="preserve">  Satış Amaçlı Elde Tutulan Duran Varlıklara İlişkin Yükümlülükler</t>
  </si>
  <si>
    <t>Uzun Vadeli Yükümlülükler</t>
  </si>
  <si>
    <t xml:space="preserve">  Müşteri Söz.Doğan Yük.</t>
  </si>
  <si>
    <t xml:space="preserve">  Ertelenmiş Gelirler (Müşteri Söz.Doğan Yük. Dış.Kal.)</t>
  </si>
  <si>
    <t xml:space="preserve">    Uzun vadeli karşılıklar</t>
  </si>
  <si>
    <t xml:space="preserve">  Çalışanlara Sağlanan Faydalara İliş.Karş.</t>
  </si>
  <si>
    <t xml:space="preserve">  Ertelenmiş Vergi Yükümlülüğü</t>
  </si>
  <si>
    <t xml:space="preserve">  Diğer Uzun Vadeli Yükümlülükler</t>
  </si>
  <si>
    <t>Özkaynaklar</t>
  </si>
  <si>
    <t xml:space="preserve">  Ana Ortaklığa Ait Özkaynaklar</t>
  </si>
  <si>
    <t xml:space="preserve">  Ödenmiş Sermaye</t>
  </si>
  <si>
    <t xml:space="preserve">  Karşılıklı İştirak Sermayesi Düzeltmesi (-)</t>
  </si>
  <si>
    <t xml:space="preserve">  Hisse Senedi İhraç Primleri</t>
  </si>
  <si>
    <t xml:space="preserve">  Değer Artış Fonları</t>
  </si>
  <si>
    <t xml:space="preserve">  Yabancı Para Çevrim Farkları</t>
  </si>
  <si>
    <t xml:space="preserve">  Kardan Ayrılan Kısıtlanmış Yedekler</t>
  </si>
  <si>
    <t xml:space="preserve">  Geçmiş Yıllar Kar/Zararları</t>
  </si>
  <si>
    <t xml:space="preserve">  Dönem Net Kar/Zararı</t>
  </si>
  <si>
    <t xml:space="preserve">  Diğer Özsermaye Kalemleri</t>
  </si>
  <si>
    <t xml:space="preserve">  Azınlık Payları</t>
  </si>
  <si>
    <t>TOPLAM KAYNAKLAR</t>
  </si>
  <si>
    <t>Sürdürülen Faaliyetler</t>
  </si>
  <si>
    <t>Satış Gelirleri</t>
  </si>
  <si>
    <t>Satışların Maliyeti (-)</t>
  </si>
  <si>
    <t>Ticari Faaliyetlerden Diğer Kar (Zarar)</t>
  </si>
  <si>
    <t>Ticari Faaliyetlerden Brüt Kar (Zarar)</t>
  </si>
  <si>
    <t>Faiz, Ücret, Prim, Komisyon ve Diğer Gelirler</t>
  </si>
  <si>
    <t>Faiz, Ücret, Prim, Komisyon ve Diğer Giderler (-)</t>
  </si>
  <si>
    <t>Finans Sektörü Faaliyetlerinden Diğer Kar (Zarar)</t>
  </si>
  <si>
    <t>Finans Sektörü Faaliyetlerinden Brüt Kar (Zarar)</t>
  </si>
  <si>
    <t>Diğer Gelir ve Giderler</t>
  </si>
  <si>
    <t>BRÜT KAR (ZARAR)</t>
  </si>
  <si>
    <t>Pazarlama, Satış ve Dağıtım Giderleri (-)</t>
  </si>
  <si>
    <t>Genel Yönetim Giderleri (-)</t>
  </si>
  <si>
    <t>Araştırma ve Geliştirme Giderleri (-)</t>
  </si>
  <si>
    <t>Diğer Faaliyet Gelirleri</t>
  </si>
  <si>
    <t>Diğer Faaliyet Giderleri (-)</t>
  </si>
  <si>
    <t>Faaliyet Karı Öncesi Diğer Gelir ve Giderler</t>
  </si>
  <si>
    <t>FAALİYET KARI (ZARARI)</t>
  </si>
  <si>
    <t>Net Faaliyet Kar/Zararı</t>
  </si>
  <si>
    <t xml:space="preserve">  Yatırım Faaliyetlerinden Gelirler</t>
  </si>
  <si>
    <t xml:space="preserve">  Yatırım Faaliyetlerinden Giderler (-)</t>
  </si>
  <si>
    <t xml:space="preserve">  Diğer Gelir ve Giderler</t>
  </si>
  <si>
    <t>Özkaynak Yöntemiyle Değerlenen Yatırımların Kar/Zararlarındaki Paylar</t>
  </si>
  <si>
    <t>Finansman Gideri Öncesi Faaliyet Karı/Zararı</t>
  </si>
  <si>
    <t>(Esas Faaliyet Dışı) Finansal Gelirler</t>
  </si>
  <si>
    <t>(Esas Faaliyet Dışı) Finansal Giderler (-)</t>
  </si>
  <si>
    <t>Vergi Öncesi Diğer Gelir ve Giderler</t>
  </si>
  <si>
    <t>SÜRDÜRÜLEN FAALİYETLER VERGİ ÖNCESİ KARI (ZARARI)</t>
  </si>
  <si>
    <t>Sürdürülen Faaliyetler Vergi Geliri (Gideri)</t>
  </si>
  <si>
    <t xml:space="preserve">  Dönem Vergi Geliri (Gideri)</t>
  </si>
  <si>
    <t xml:space="preserve">  Ertelenmiş Vergi Geliri (Gideri)</t>
  </si>
  <si>
    <t xml:space="preserve">  Diğer Vergi Geliri (Gideri)</t>
  </si>
  <si>
    <t>SÜRDÜRÜLEN FAALİYETLER DÖNEM KARI/ZARARI</t>
  </si>
  <si>
    <t>DURDURULAN FAALİYETLER</t>
  </si>
  <si>
    <t>Durdurulan Faaliyetler Vergi Sonrası Dönem Karı (Zararı)</t>
  </si>
  <si>
    <t>DÖNEM KARI (ZARARI)</t>
  </si>
  <si>
    <t>Dönem Kar/Zararının Dağılımı</t>
  </si>
  <si>
    <t>Azınlık Payları</t>
  </si>
  <si>
    <t>Ana Ortaklık Payları</t>
  </si>
  <si>
    <t>Hisse Başına Kazanç</t>
  </si>
  <si>
    <t>Seyreltilmiş Hisse Başına Kazanç</t>
  </si>
  <si>
    <t>Sürdürülen Faaliyetlerden Hisse Başına Kazanç</t>
  </si>
  <si>
    <t>Sürdürülen Faaliyetlerden Seyreltilmiş Hisse Başına Kazanç</t>
  </si>
  <si>
    <t>Amortisman Giderleri</t>
  </si>
  <si>
    <t>Kıdem Tazminatı</t>
  </si>
  <si>
    <t>Finansman Giderleri</t>
  </si>
  <si>
    <t>Yurtiçi Satışlar</t>
  </si>
  <si>
    <t>Yurtdışı Satışlar</t>
  </si>
  <si>
    <t>Net Yabancı Para Pozisyonu</t>
  </si>
  <si>
    <t>Parasal net yabancı para varlık/(yükümlülük) pozisyonu</t>
  </si>
  <si>
    <t>Net YPP (Hedge Dahil)</t>
  </si>
  <si>
    <t xml:space="preserve"> İşletme Faaliyetlerinden Kaynaklanan Net Nakit</t>
  </si>
  <si>
    <t xml:space="preserve"> Düzeltme Öncesi Kar</t>
  </si>
  <si>
    <t xml:space="preserve"> Düzeltmeler:</t>
  </si>
  <si>
    <t xml:space="preserve">  Amortisman &amp; İtfa Payları</t>
  </si>
  <si>
    <t xml:space="preserve">  Karşılıklardaki Değişim</t>
  </si>
  <si>
    <t xml:space="preserve">  Diğer Gelir/ Gider</t>
  </si>
  <si>
    <t xml:space="preserve"> İşletme Sermayesinde Değişikler Öncesi Faaliyet Karı (+)</t>
  </si>
  <si>
    <t xml:space="preserve">  İşletme Sermayesindeki Değişiklikler</t>
  </si>
  <si>
    <t xml:space="preserve"> Esas Faaliyet ile İlgili Oluşan Nakit (+)</t>
  </si>
  <si>
    <t xml:space="preserve">  Diğer İşletme Faaliyetlerinden Nakit</t>
  </si>
  <si>
    <t xml:space="preserve">  Sabit Sermaye Yatırımları</t>
  </si>
  <si>
    <t xml:space="preserve">  Diğer Yatırım Faaliyetlerinden Nakit</t>
  </si>
  <si>
    <t xml:space="preserve"> Yatırım Faaliyetlerinden Kaynaklanan Nakit</t>
  </si>
  <si>
    <t>Serbest Nakit Akım</t>
  </si>
  <si>
    <t>Finansal Borçlardaki Değişim</t>
  </si>
  <si>
    <t>Temettü Ödemeleri</t>
  </si>
  <si>
    <t>Sermaye Artırımı</t>
  </si>
  <si>
    <t>Diğer Finansman Faaliyetlerinden Nakit</t>
  </si>
  <si>
    <t>Finansman Faaliyetlerden Kaynaklanan Nakit</t>
  </si>
  <si>
    <t>Yab. Para Çev. Fark. Etk. Önc.Nak.Ve Nak. Benz. Net Artış/Azalış</t>
  </si>
  <si>
    <t xml:space="preserve"> Yab.ı Para Çevrim Fark. Nakit Ve Nakit Benz. Üzerindeki Etkisi</t>
  </si>
  <si>
    <t xml:space="preserve"> Diğer Nakit Girişi/Çıkışı</t>
  </si>
  <si>
    <t>Nakit ve Benzerlerindeki Değişim</t>
  </si>
  <si>
    <t>Diğer Nakit ve Nakit Benzerlerindeki Artış</t>
  </si>
  <si>
    <t>Dönem Başı Nakit Değerler</t>
  </si>
  <si>
    <t>Dönem Sonu Nakit</t>
  </si>
  <si>
    <t>GELİR TABLOSU</t>
  </si>
  <si>
    <t>Tutarlar</t>
  </si>
  <si>
    <t>FROTO</t>
  </si>
  <si>
    <t>TOASO</t>
  </si>
  <si>
    <t>Grup Toplamı (%)</t>
  </si>
  <si>
    <t>Genel Toplam (%)</t>
  </si>
  <si>
    <t>2022 Yılı Tutarları</t>
  </si>
  <si>
    <t>Gelir Tablosu</t>
  </si>
  <si>
    <t>Hasılatın %'si</t>
  </si>
  <si>
    <t>Yİ-ÜFE</t>
  </si>
  <si>
    <t>Düzeltme Katsayısı</t>
  </si>
  <si>
    <t>2022/2020</t>
  </si>
  <si>
    <t>2022/2021</t>
  </si>
  <si>
    <t>21/20 Değişim Tutarı</t>
  </si>
  <si>
    <t>21/20 Değişim Değişimi (%)</t>
  </si>
  <si>
    <t>22/20 Değişim Tutarı</t>
  </si>
  <si>
    <t>22/20 Değişim Değişimi (%)</t>
  </si>
  <si>
    <t>Devamlı Sermaye</t>
  </si>
  <si>
    <t>2022/2019</t>
  </si>
  <si>
    <t>2022/2018</t>
  </si>
  <si>
    <t>Değişim Katsayısı</t>
  </si>
  <si>
    <t>Froto</t>
  </si>
  <si>
    <t>Trend</t>
  </si>
  <si>
    <t>Yabancıl Kaynaklar</t>
  </si>
  <si>
    <t>FROTO Net Çalışma Sermayesi</t>
  </si>
  <si>
    <t>Net Çalışma Sermayesi</t>
  </si>
  <si>
    <t>FROTO Cari Oran</t>
  </si>
  <si>
    <t>Cari Oran</t>
  </si>
  <si>
    <t>FROTO Asit Test (Likitide) Oranı</t>
  </si>
  <si>
    <t>Stoklar</t>
  </si>
  <si>
    <t>Asit Test Oranı</t>
  </si>
  <si>
    <t>FROTO Stok Bağımlılık Oranı</t>
  </si>
  <si>
    <t>Nakit ve Nakit Benzeri</t>
  </si>
  <si>
    <t>Ticari Alacaklar</t>
  </si>
  <si>
    <t>Finansal Yatırımlar</t>
  </si>
  <si>
    <t>Stok Bağımlılık Oranı</t>
  </si>
  <si>
    <t>FROTO Nakit Oranı</t>
  </si>
  <si>
    <t>Nakit Oranları</t>
  </si>
  <si>
    <t>FROTO Borçların Aktif Toplamına Oranı</t>
  </si>
  <si>
    <t>Toplam Yükümlülükler</t>
  </si>
  <si>
    <t>Toplam Varlıklar</t>
  </si>
  <si>
    <t>Borçların Aktif Toplamına Oranı</t>
  </si>
  <si>
    <t>FROTO Öz Kaynakların Aktif Toplamına Oranı</t>
  </si>
  <si>
    <t>Öz Kaynaklar</t>
  </si>
  <si>
    <t>Öz Kaynakların Aktif Toplamına Oranı</t>
  </si>
  <si>
    <t>Öz Kaynakların Toplam Borçlara Oranı</t>
  </si>
  <si>
    <t>FROTO Öz Kaynakların Toplam Borçlara Oranı</t>
  </si>
  <si>
    <t>FROTO Kısa Vadeli Borçların Toplam Borçlara Oranı</t>
  </si>
  <si>
    <t>Kısa Vadeli Borçların Toplam Borçlara Oranı</t>
  </si>
  <si>
    <t>Duran Varlıkların Devamlı Sermayeye Oranı</t>
  </si>
  <si>
    <t>FROTO Duran Varlıkların Devamlı Sermayeye Oranı</t>
  </si>
  <si>
    <t>FROTO Stokların Devir Hızı</t>
  </si>
  <si>
    <t>Satışların Maliyeti</t>
  </si>
  <si>
    <t>Ortalama Stoklar</t>
  </si>
  <si>
    <t>Stokların Devir Hızları</t>
  </si>
  <si>
    <t>Stok Tutma Süresi</t>
  </si>
  <si>
    <t>Ortalama Ticari Alacaklar</t>
  </si>
  <si>
    <t>Ticari Alacakların Devir Hızı</t>
  </si>
  <si>
    <t>FROTO Ticari Alacakların Devir Hızı</t>
  </si>
  <si>
    <t>Ticari Alacakların Ortalama Tahsil Süresi</t>
  </si>
  <si>
    <t>FROTO Ticari Borç Devir Hızı</t>
  </si>
  <si>
    <t>Ticari Borçlar</t>
  </si>
  <si>
    <t>Ortalama Ticari Borçlar</t>
  </si>
  <si>
    <t>Ticari Borçların Devir Hızları</t>
  </si>
  <si>
    <t>Ticari Borçların Ortalama Ödenme Süreleri</t>
  </si>
  <si>
    <t>FROTO Nakde Dönüşüm Süresi</t>
  </si>
  <si>
    <t>Nakde Dönüşüm Süresi</t>
  </si>
  <si>
    <t>FROTO Varlıkların Devir Hızları</t>
  </si>
  <si>
    <t>Varlıklar</t>
  </si>
  <si>
    <t>Ortalama Varlıklar</t>
  </si>
  <si>
    <t>Varlıkların Devir Hızı</t>
  </si>
  <si>
    <t>Ortalama Öz Kaynaklar</t>
  </si>
  <si>
    <t>FROTO Kar Marjları</t>
  </si>
  <si>
    <t>Brüt Kar</t>
  </si>
  <si>
    <t>Esas Faliyet Karı</t>
  </si>
  <si>
    <t>Sürdürülen Faaliyetler Dönem Karı</t>
  </si>
  <si>
    <t>Dönem Karı</t>
  </si>
  <si>
    <t>Brüt Kar Marjı</t>
  </si>
  <si>
    <t>Esas Faliyet Kar Marjı</t>
  </si>
  <si>
    <t>Sürdürülen Faaliyetler Dönem Kar Marjı</t>
  </si>
  <si>
    <t>Dönem Kar Marjı</t>
  </si>
  <si>
    <t>FROTO Varlılıkların Karlılık Oranları</t>
  </si>
  <si>
    <t>Varlıkların Karlılık Oranları</t>
  </si>
  <si>
    <t>FROTO Ekonomik Rantabilite Oranı</t>
  </si>
  <si>
    <t>Vergi Öncesi Kar</t>
  </si>
  <si>
    <t>Faiz Gideri</t>
  </si>
  <si>
    <t>Kaynaklar</t>
  </si>
  <si>
    <t>Ortalama Kaynaklar</t>
  </si>
  <si>
    <t>Ekonomi Rantalibite Oranı</t>
  </si>
  <si>
    <t>FROTO Özkaynakların Karlılık Oranları</t>
  </si>
  <si>
    <t>Öz Kaynakların Karlılık Oranları</t>
  </si>
  <si>
    <t>FROTO Hisse Senedi Başına Karlılıklar</t>
  </si>
  <si>
    <t>Hisse Senedi Sayıları</t>
  </si>
  <si>
    <t>Hisse Senedi Başına Karlılk</t>
  </si>
  <si>
    <t>Satış Hasılatındaki Büyüme Oranı</t>
  </si>
  <si>
    <t>Dönem Karındaki Büyüme Oranı</t>
  </si>
  <si>
    <t>Varlıklardaki Büyüme Oranı</t>
  </si>
  <si>
    <t>Öz Kaynaklardaki Büyüme Oranı</t>
  </si>
  <si>
    <t>FROTO Büyüme Oranları</t>
  </si>
  <si>
    <t>Motorlu Kara Taşıtı İmalat Sektörü Faaliyet Oranları (TCMB)</t>
  </si>
  <si>
    <t>Stokların Devir Hızı</t>
  </si>
  <si>
    <t>Ticari Alacakların Tahsil Süresi</t>
  </si>
  <si>
    <t>Özkaynak Karlılık Oranı</t>
  </si>
  <si>
    <t>FROTO Finansal Performans Ölçümü</t>
  </si>
  <si>
    <t>Finansal Kaldıraç Oranı</t>
  </si>
  <si>
    <t>KVYK</t>
  </si>
  <si>
    <t>UVYK</t>
  </si>
  <si>
    <t>FROTO Dupond Analizi</t>
  </si>
  <si>
    <t>Dönem Kar Marjları</t>
  </si>
  <si>
    <t>Varlıkların Devir Hızları</t>
  </si>
  <si>
    <t>Öz Kaynaklar Çarpanı</t>
  </si>
  <si>
    <t>Dönem Kar Marjları (%)</t>
  </si>
  <si>
    <t>Varlıkların Devir Hızları (%)</t>
  </si>
  <si>
    <t>Öz Kaynaklar Çarpanı (%)</t>
  </si>
  <si>
    <t>Varlıkların Karlılık Oranları (%)</t>
  </si>
  <si>
    <t>Öz Kaynakların Karlılık Oranları (%)</t>
  </si>
  <si>
    <t>Froto Nakit Akış Tablosu</t>
  </si>
  <si>
    <t>Froto Nakit Akış Modeli</t>
  </si>
  <si>
    <t>İşletme Yapısı (Tahmini)</t>
  </si>
  <si>
    <t>Başarılı İşletme</t>
  </si>
  <si>
    <t>Büyüyen İşletme</t>
  </si>
  <si>
    <t>Froto Finansal Durum Tablosu</t>
  </si>
  <si>
    <t>İşletme Faaliyetlerinden Nakit Akışları/KVYK</t>
  </si>
  <si>
    <t>Froto Nakit Akış Oranları Tablosu</t>
  </si>
  <si>
    <t>İşletme Faaliyetlerinden Nakit Akışları/Toplam Borçlar</t>
  </si>
  <si>
    <t>İşletme Faaliyetlerinden Nakit Akışları/Toplam Varlıklar</t>
  </si>
  <si>
    <t>İşletme Faaliyetlerinden Nakit Akışları/Toplam Hisse senedi Sayısı</t>
  </si>
  <si>
    <t>İşletme Faaliyetlerinden Nakit Akışları/Ödenen Temettüler</t>
  </si>
  <si>
    <t>Tarih</t>
  </si>
  <si>
    <t>Fiyat</t>
  </si>
  <si>
    <t>FROTO Çarpanlar</t>
  </si>
  <si>
    <t>Ödenmiş Sermaye</t>
  </si>
  <si>
    <t>Piyasa Değeri</t>
  </si>
  <si>
    <t>Tarih2</t>
  </si>
  <si>
    <t>F/K</t>
  </si>
  <si>
    <t>PD/DD</t>
  </si>
  <si>
    <t>F/K Ortalama</t>
  </si>
  <si>
    <t>F/K Medyan</t>
  </si>
  <si>
    <t>PD/DD ortalama</t>
  </si>
  <si>
    <t>PD/DD medyan</t>
  </si>
  <si>
    <t>Ciro Büyüme</t>
  </si>
  <si>
    <t>Net Kar Büyüme</t>
  </si>
  <si>
    <t>HBK Büyüme</t>
  </si>
  <si>
    <t>Çeyreklik Satışlar</t>
  </si>
  <si>
    <t>Yıllık Satışlardaki Payları</t>
  </si>
  <si>
    <t>3 Yıllık Ortalama Ciro Büyüme</t>
  </si>
  <si>
    <t>3 Yıllık Ortalama Net Kar Büyüme</t>
  </si>
  <si>
    <t>1. Çeyrek Ciro Ortalama Pay</t>
  </si>
  <si>
    <t>Ortalamalar</t>
  </si>
  <si>
    <t>Q1</t>
  </si>
  <si>
    <t>Q2</t>
  </si>
  <si>
    <t>Q3</t>
  </si>
  <si>
    <t>Q4</t>
  </si>
  <si>
    <t>Total</t>
  </si>
  <si>
    <t>2. Çeyrek Ciro Ortalama Pay</t>
  </si>
  <si>
    <t>3. Çeyrek Ciro Ortalama Pay</t>
  </si>
  <si>
    <t>4. Çeyrek Ciro Ortalama Pay</t>
  </si>
  <si>
    <t>Net Kar Marjı</t>
  </si>
  <si>
    <t>FROTO 2023 Tahmini Veriler</t>
  </si>
  <si>
    <t>Net Kar</t>
  </si>
  <si>
    <t>1. Çeyrek Net Kar Ortalama Pay</t>
  </si>
  <si>
    <t>2. Çeyrek Net Kar Ortalama Pay</t>
  </si>
  <si>
    <t>3. Çeyrek Net Kar Ortalama Pay</t>
  </si>
  <si>
    <t>4. Çeyrek Net Kar Ortalama Pay</t>
  </si>
  <si>
    <t>Yıllık Net Kardaki Payları</t>
  </si>
  <si>
    <t>Çeyreklik Net Karlar</t>
  </si>
  <si>
    <t>FROTO 2023 FK'ya Göre Tahminler</t>
  </si>
  <si>
    <t>Tahmini Fiyat</t>
  </si>
  <si>
    <t>HBK</t>
  </si>
  <si>
    <t>F/K Ortalaması</t>
  </si>
  <si>
    <t>FROTO 2023 PD/DD'ye Göre Tahminler</t>
  </si>
  <si>
    <t>PD/DD Ortalaması</t>
  </si>
  <si>
    <t>Çeyreklik Öz Kaynaklar</t>
  </si>
  <si>
    <t>1. Çeyrek Öz Kaynaklar Ortalama Pay</t>
  </si>
  <si>
    <t>2. Çeyrek Öz Kaynaklar Ortalama Pay</t>
  </si>
  <si>
    <t>3. Çeyrek Öz Kaynaklar Ortalama Pay</t>
  </si>
  <si>
    <t>4. Çeyrek Öz Kaynaklar Ortalama Pay</t>
  </si>
  <si>
    <t>PD/Net Satışlar</t>
  </si>
  <si>
    <t>PD/Net Satışlar Ortalama</t>
  </si>
  <si>
    <t>PD/Net Satışlar Medyan</t>
  </si>
  <si>
    <t>FROTO 2023 PD/NS'ye Göre Tahminler</t>
  </si>
  <si>
    <t>PD/NS Ort.</t>
  </si>
  <si>
    <t>FAVÖK</t>
  </si>
  <si>
    <t>Net Borç</t>
  </si>
  <si>
    <t>FROTO Net Borç</t>
  </si>
  <si>
    <t>Nakit ve Benzerleri</t>
  </si>
  <si>
    <t>KV Finansal Borç</t>
  </si>
  <si>
    <t>UV Finansal Borç</t>
  </si>
  <si>
    <t>Firma Değeri</t>
  </si>
  <si>
    <t>FD/FAVÖK</t>
  </si>
  <si>
    <t>FD/FAVÖK Ortalama</t>
  </si>
  <si>
    <t>FD/FAVÖK Medyan</t>
  </si>
  <si>
    <t>Favok Marjı</t>
  </si>
  <si>
    <t>Yıllık Öz Kaynaklardaki Payları</t>
  </si>
  <si>
    <t>Yıllık FAVÖKdeki Payları</t>
  </si>
  <si>
    <t>Çeyreklik FAVÖK</t>
  </si>
  <si>
    <t>FAVÖK Marjı</t>
  </si>
  <si>
    <t>1. Çeyrek FAVÖK Ortalama Pay</t>
  </si>
  <si>
    <t>2. Çeyrek FAVÖK Ortalama Pay</t>
  </si>
  <si>
    <t>3. Çeyrek FAVÖK Ortalama Pay</t>
  </si>
  <si>
    <t>4. Çeyrek FAVÖK Ortalama Pay</t>
  </si>
  <si>
    <t>FROTO 2023 FD/FAVÖK'e Göre Tahminler</t>
  </si>
  <si>
    <t>FD/FAVOK ort.</t>
  </si>
  <si>
    <t>Beklenen FD</t>
  </si>
  <si>
    <t>Net Borç Büyüme</t>
  </si>
  <si>
    <t xml:space="preserve">Çeyreklik </t>
  </si>
  <si>
    <t>Yıllık Net borçdaki i Payları</t>
  </si>
  <si>
    <t>1. Çeyrek Net Borç Ortalama Pay</t>
  </si>
  <si>
    <t>2. Çeyrek Net Borç Ortalama Pay</t>
  </si>
  <si>
    <t>3. Çeyrek Net Borç Ortalama Pay</t>
  </si>
  <si>
    <t>4. Çeyrek Net Borç Ortalama Pay</t>
  </si>
  <si>
    <t>Net Borç ortalama Büyüme</t>
  </si>
  <si>
    <t>Beklenen PD</t>
  </si>
  <si>
    <t>FROTO 2023 Fiyat Tahmini</t>
  </si>
  <si>
    <t>Şuanki Fiyat</t>
  </si>
  <si>
    <t>İskonto</t>
  </si>
  <si>
    <t>Net Borç/FAVÖK</t>
  </si>
  <si>
    <t>Finansal Giderler</t>
  </si>
  <si>
    <t>Faiz Karşılama Oranı</t>
  </si>
  <si>
    <t>Net Faliyet Karı</t>
  </si>
  <si>
    <t>FROTO Maliyet Etkinliği</t>
  </si>
  <si>
    <t>Net Satışlar</t>
  </si>
  <si>
    <t>Net Satışlar (Yıllık)</t>
  </si>
  <si>
    <t>Esas Faaliyet Giderleri</t>
  </si>
  <si>
    <t>Finansal Gelirler</t>
  </si>
  <si>
    <t>Net Finansman Gideri</t>
  </si>
  <si>
    <t>Net Finansman Gideri/Net Satışlar</t>
  </si>
  <si>
    <t>Esas Faaliyet Giderleri/Net Satışlar (Yıllık)</t>
  </si>
  <si>
    <t>100 TL'lik Satıştan Elde Edilen Kar</t>
  </si>
  <si>
    <t>Tahmin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</si>
</sst>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7"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scheme val="minor"/>
    </font>
    <font>
      <b/>
      <sz val="11"/>
      <color theme="1"/>
      <name val="Calibri"/>
      <family val="2"/>
      <charset val="162"/>
      <scheme val="minor"/>
    </font>
    <font>
      <b/>
      <sz val="11"/>
      <color theme="1"/>
      <name val="Calibri"/>
      <family val="2"/>
      <scheme val="minor"/>
    </font>
    <font>
      <sz val="10"/>
      <name val="Arial"/>
      <family val="2"/>
      <charset val="162"/>
    </font>
  </fonts>
  <fills count="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59999389629810485"/>
        <bgColor indexed="64"/>
      </patternFill>
    </fill>
    <fill>
      <patternFill patternType="solid">
        <fgColor theme="8" tint="0.59999389629810485"/>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s>
  <cellStyleXfs count="3">
    <xf numFmtId="0" fontId="0" fillId="0" borderId="0"/>
    <xf numFmtId="9" fontId="3" fillId="0" borderId="0" applyFont="0" applyFill="0" applyBorder="0" applyAlignment="0" applyProtection="0"/>
    <xf numFmtId="0" fontId="6" fillId="0" borderId="0"/>
  </cellStyleXfs>
  <cellXfs count="54">
    <xf numFmtId="0" fontId="0" fillId="0" borderId="0" xfId="0"/>
    <xf numFmtId="0" fontId="5" fillId="0" borderId="1" xfId="0" applyFont="1" applyBorder="1" applyAlignment="1">
      <alignment horizontal="center" vertical="top"/>
    </xf>
    <xf numFmtId="0" fontId="4" fillId="0" borderId="0" xfId="0" applyFont="1"/>
    <xf numFmtId="0" fontId="4" fillId="0" borderId="1" xfId="0" applyFont="1" applyBorder="1"/>
    <xf numFmtId="0" fontId="0" fillId="0" borderId="1" xfId="0" applyBorder="1"/>
    <xf numFmtId="0" fontId="4" fillId="0" borderId="0" xfId="0" applyFont="1" applyAlignment="1">
      <alignment horizontal="center" vertical="center" wrapText="1"/>
    </xf>
    <xf numFmtId="3" fontId="0" fillId="0" borderId="0" xfId="0" applyNumberFormat="1"/>
    <xf numFmtId="3" fontId="4" fillId="0" borderId="0" xfId="0" applyNumberFormat="1" applyFont="1"/>
    <xf numFmtId="164" fontId="4" fillId="0" borderId="0" xfId="0" applyNumberFormat="1" applyFont="1"/>
    <xf numFmtId="164" fontId="2" fillId="0" borderId="0" xfId="0" applyNumberFormat="1" applyFont="1"/>
    <xf numFmtId="3" fontId="2" fillId="0" borderId="0" xfId="0" applyNumberFormat="1" applyFont="1"/>
    <xf numFmtId="1" fontId="4" fillId="0" borderId="0" xfId="0" applyNumberFormat="1" applyFont="1"/>
    <xf numFmtId="0" fontId="5" fillId="0" borderId="1" xfId="0" applyFont="1" applyBorder="1" applyAlignment="1">
      <alignment horizontal="center" vertical="center"/>
    </xf>
    <xf numFmtId="164" fontId="0" fillId="0" borderId="0" xfId="0" applyNumberFormat="1"/>
    <xf numFmtId="2" fontId="2" fillId="0" borderId="1" xfId="0" applyNumberFormat="1" applyFont="1" applyBorder="1"/>
    <xf numFmtId="2" fontId="0" fillId="0" borderId="1" xfId="0" applyNumberFormat="1" applyBorder="1"/>
    <xf numFmtId="0" fontId="0" fillId="0" borderId="2" xfId="0" applyBorder="1"/>
    <xf numFmtId="0" fontId="4" fillId="0" borderId="2" xfId="0" applyFont="1" applyBorder="1"/>
    <xf numFmtId="9" fontId="0" fillId="0" borderId="0" xfId="1" applyFont="1"/>
    <xf numFmtId="9" fontId="4" fillId="0" borderId="0" xfId="1" applyFont="1"/>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wrapText="1"/>
    </xf>
    <xf numFmtId="0" fontId="4" fillId="0" borderId="4" xfId="0" applyFont="1" applyBorder="1"/>
    <xf numFmtId="0" fontId="4" fillId="0" borderId="5" xfId="0" applyFont="1" applyBorder="1" applyAlignment="1">
      <alignment horizontal="center" vertical="center"/>
    </xf>
    <xf numFmtId="1" fontId="0" fillId="0" borderId="0" xfId="0" applyNumberFormat="1"/>
    <xf numFmtId="3" fontId="0" fillId="2" borderId="0" xfId="0" applyNumberFormat="1" applyFill="1"/>
    <xf numFmtId="2" fontId="0" fillId="0" borderId="0" xfId="1" applyNumberFormat="1" applyFont="1"/>
    <xf numFmtId="2" fontId="0" fillId="2" borderId="0" xfId="1" applyNumberFormat="1" applyFont="1" applyFill="1"/>
    <xf numFmtId="2" fontId="0" fillId="0" borderId="0" xfId="0" applyNumberFormat="1"/>
    <xf numFmtId="2" fontId="0" fillId="2" borderId="0" xfId="0" applyNumberFormat="1" applyFill="1"/>
    <xf numFmtId="0" fontId="4"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14" fontId="0" fillId="0" borderId="0" xfId="0" applyNumberFormat="1"/>
    <xf numFmtId="0" fontId="1" fillId="0" borderId="0" xfId="0" applyFont="1"/>
    <xf numFmtId="3" fontId="1" fillId="0" borderId="0" xfId="0" applyNumberFormat="1" applyFont="1"/>
    <xf numFmtId="165" fontId="0" fillId="0" borderId="0" xfId="0" applyNumberFormat="1"/>
    <xf numFmtId="2" fontId="0" fillId="3" borderId="0" xfId="0" applyNumberFormat="1" applyFill="1"/>
    <xf numFmtId="2" fontId="0" fillId="4" borderId="0" xfId="0" applyNumberFormat="1" applyFill="1"/>
    <xf numFmtId="2" fontId="0" fillId="5" borderId="0" xfId="0" applyNumberFormat="1" applyFill="1"/>
    <xf numFmtId="166" fontId="0" fillId="0" borderId="1" xfId="0" applyNumberFormat="1" applyBorder="1"/>
    <xf numFmtId="165" fontId="0" fillId="0" borderId="1" xfId="0" applyNumberFormat="1" applyBorder="1"/>
    <xf numFmtId="164" fontId="0" fillId="0" borderId="1" xfId="0" applyNumberFormat="1" applyBorder="1"/>
    <xf numFmtId="3" fontId="0" fillId="0" borderId="1" xfId="0" applyNumberFormat="1" applyBorder="1"/>
    <xf numFmtId="2" fontId="0" fillId="6" borderId="1" xfId="0" applyNumberFormat="1" applyFill="1" applyBorder="1"/>
    <xf numFmtId="2" fontId="0" fillId="7" borderId="1" xfId="0" applyNumberFormat="1" applyFill="1" applyBorder="1"/>
    <xf numFmtId="0" fontId="4" fillId="0" borderId="0" xfId="0" applyFont="1" applyAlignment="1">
      <alignment horizontal="center"/>
    </xf>
    <xf numFmtId="0" fontId="4" fillId="0" borderId="1" xfId="0" applyFont="1" applyBorder="1" applyAlignment="1">
      <alignment horizontal="center"/>
    </xf>
    <xf numFmtId="0" fontId="0" fillId="0" borderId="0" xfId="0" applyAlignment="1">
      <alignment horizontal="center" wrapText="1"/>
    </xf>
    <xf numFmtId="0" fontId="0" fillId="0" borderId="0" xfId="0" applyAlignment="1">
      <alignment horizontal="center"/>
    </xf>
    <xf numFmtId="0" fontId="4" fillId="2" borderId="4" xfId="0" applyFont="1" applyFill="1" applyBorder="1" applyAlignment="1">
      <alignment horizontal="center"/>
    </xf>
    <xf numFmtId="0" fontId="4" fillId="2" borderId="1" xfId="0" applyFont="1" applyFill="1" applyBorder="1" applyAlignment="1">
      <alignment horizontal="center"/>
    </xf>
  </cellXfs>
  <cellStyles count="3">
    <cellStyle name="Normal" xfId="0" builtinId="0"/>
    <cellStyle name="Normal 3 2" xfId="2" xr:uid="{03C1D08E-8122-441B-936A-FF336A780FB8}"/>
    <cellStyle name="Yüzd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'Trend Analizi'!$A$11</c:f>
              <c:strCache>
                <c:ptCount val="1"/>
                <c:pt idx="0">
                  <c:v>Dönen Varlıklar</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'Trend Analizi'!$G$10:$K$10</c:f>
              <c:numCache>
                <c:formatCode>General</c:formatCode>
                <c:ptCount val="5"/>
                <c:pt idx="0">
                  <c:v>2018</c:v>
                </c:pt>
                <c:pt idx="1">
                  <c:v>2019</c:v>
                </c:pt>
                <c:pt idx="2">
                  <c:v>2020</c:v>
                </c:pt>
                <c:pt idx="3">
                  <c:v>2021</c:v>
                </c:pt>
                <c:pt idx="4">
                  <c:v>2022</c:v>
                </c:pt>
              </c:numCache>
            </c:numRef>
          </c:cat>
          <c:val>
            <c:numRef>
              <c:f>'Trend Analizi'!$G$11:$K$11</c:f>
              <c:numCache>
                <c:formatCode>0</c:formatCode>
                <c:ptCount val="5"/>
                <c:pt idx="0" formatCode="General">
                  <c:v>100</c:v>
                </c:pt>
                <c:pt idx="1">
                  <c:v>127.91985287465563</c:v>
                </c:pt>
                <c:pt idx="2">
                  <c:v>177.1670761384475</c:v>
                </c:pt>
                <c:pt idx="3">
                  <c:v>183.57502902206227</c:v>
                </c:pt>
                <c:pt idx="4">
                  <c:v>155.97362796911079</c:v>
                </c:pt>
              </c:numCache>
            </c:numRef>
          </c:val>
          <c:smooth val="0"/>
          <c:extLst>
            <c:ext xmlns:c16="http://schemas.microsoft.com/office/drawing/2014/chart" uri="{C3380CC4-5D6E-409C-BE32-E72D297353CC}">
              <c16:uniqueId val="{00000000-679A-45B8-B924-4BE62401D1F3}"/>
            </c:ext>
          </c:extLst>
        </c:ser>
        <c:ser>
          <c:idx val="1"/>
          <c:order val="1"/>
          <c:tx>
            <c:strRef>
              <c:f>'Trend Analizi'!$A$41</c:f>
              <c:strCache>
                <c:ptCount val="1"/>
                <c:pt idx="0">
                  <c:v>Kısa Vadeli Yükümlülükler</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'Trend Analizi'!$G$10:$K$10</c:f>
              <c:numCache>
                <c:formatCode>General</c:formatCode>
                <c:ptCount val="5"/>
                <c:pt idx="0">
                  <c:v>2018</c:v>
                </c:pt>
                <c:pt idx="1">
                  <c:v>2019</c:v>
                </c:pt>
                <c:pt idx="2">
                  <c:v>2020</c:v>
                </c:pt>
                <c:pt idx="3">
                  <c:v>2021</c:v>
                </c:pt>
                <c:pt idx="4">
                  <c:v>2022</c:v>
                </c:pt>
              </c:numCache>
            </c:numRef>
          </c:cat>
          <c:val>
            <c:numRef>
              <c:f>'Trend Analizi'!$G$41:$K$41</c:f>
              <c:numCache>
                <c:formatCode>0</c:formatCode>
                <c:ptCount val="5"/>
                <c:pt idx="0" formatCode="General">
                  <c:v>100</c:v>
                </c:pt>
                <c:pt idx="1">
                  <c:v>111.53628214537797</c:v>
                </c:pt>
                <c:pt idx="2">
                  <c:v>128.66248527102158</c:v>
                </c:pt>
                <c:pt idx="3">
                  <c:v>119.09626270386464</c:v>
                </c:pt>
                <c:pt idx="4">
                  <c:v>133.92324003318132</c:v>
                </c:pt>
              </c:numCache>
            </c:numRef>
          </c:val>
          <c:smooth val="0"/>
          <c:extLst>
            <c:ext xmlns:c16="http://schemas.microsoft.com/office/drawing/2014/chart" uri="{C3380CC4-5D6E-409C-BE32-E72D297353CC}">
              <c16:uniqueId val="{00000001-679A-45B8-B924-4BE62401D1F3}"/>
            </c:ext>
          </c:extLst>
        </c:ser>
        <c:dLbls>
          <c:dLblPos val="ctr"/>
          <c:showLegendKey val="0"/>
          <c:showVal val="1"/>
          <c:showCatName val="0"/>
          <c:showSerName val="0"/>
          <c:showPercent val="0"/>
          <c:showBubbleSize val="0"/>
        </c:dLbls>
        <c:smooth val="0"/>
        <c:axId val="750948336"/>
        <c:axId val="750955536"/>
      </c:lineChart>
      <c:catAx>
        <c:axId val="75094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50955536"/>
        <c:crosses val="autoZero"/>
        <c:auto val="1"/>
        <c:lblAlgn val="ctr"/>
        <c:lblOffset val="100"/>
        <c:noMultiLvlLbl val="0"/>
      </c:catAx>
      <c:valAx>
        <c:axId val="75095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50948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Ticari Alacakların Devir Hızları</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lineChart>
        <c:grouping val="standard"/>
        <c:varyColors val="0"/>
        <c:ser>
          <c:idx val="3"/>
          <c:order val="0"/>
          <c:tx>
            <c:strRef>
              <c:f>'Faliyet Oranları'!$A$36</c:f>
              <c:strCache>
                <c:ptCount val="1"/>
                <c:pt idx="0">
                  <c:v>Ticari Alacakların Devir Hızı</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'Faliyet Oranları'!$F$10:$Q$10</c:f>
              <c:strCache>
                <c:ptCount val="12"/>
                <c:pt idx="0">
                  <c:v>2020/3</c:v>
                </c:pt>
                <c:pt idx="1">
                  <c:v>2020/6</c:v>
                </c:pt>
                <c:pt idx="2">
                  <c:v>2020/9</c:v>
                </c:pt>
                <c:pt idx="3">
                  <c:v>2020/12</c:v>
                </c:pt>
                <c:pt idx="4">
                  <c:v>2021/3</c:v>
                </c:pt>
                <c:pt idx="5">
                  <c:v>2021/6</c:v>
                </c:pt>
                <c:pt idx="6">
                  <c:v>2021/9</c:v>
                </c:pt>
                <c:pt idx="7">
                  <c:v>2021/12</c:v>
                </c:pt>
                <c:pt idx="8">
                  <c:v>2022/3</c:v>
                </c:pt>
                <c:pt idx="9">
                  <c:v>2022/6</c:v>
                </c:pt>
                <c:pt idx="10">
                  <c:v>2022/9</c:v>
                </c:pt>
                <c:pt idx="11">
                  <c:v>2022/12</c:v>
                </c:pt>
              </c:strCache>
            </c:strRef>
          </c:cat>
          <c:val>
            <c:numRef>
              <c:f>'Faliyet Oranları'!$F$36:$Q$36</c:f>
              <c:numCache>
                <c:formatCode>0.00</c:formatCode>
                <c:ptCount val="12"/>
                <c:pt idx="0">
                  <c:v>10.218757156126541</c:v>
                </c:pt>
                <c:pt idx="1">
                  <c:v>8.9631405554275076</c:v>
                </c:pt>
                <c:pt idx="2">
                  <c:v>8.3829653794963797</c:v>
                </c:pt>
                <c:pt idx="3">
                  <c:v>10.031448965567956</c:v>
                </c:pt>
                <c:pt idx="4">
                  <c:v>9.4665465375042928</c:v>
                </c:pt>
                <c:pt idx="5">
                  <c:v>10.516938812736379</c:v>
                </c:pt>
                <c:pt idx="6">
                  <c:v>10.744938010972081</c:v>
                </c:pt>
                <c:pt idx="7">
                  <c:v>8.2864108180617251</c:v>
                </c:pt>
                <c:pt idx="8">
                  <c:v>6.6493351672880863</c:v>
                </c:pt>
                <c:pt idx="9">
                  <c:v>8.2465516768994327</c:v>
                </c:pt>
                <c:pt idx="10">
                  <c:v>8.2320989797273274</c:v>
                </c:pt>
                <c:pt idx="11">
                  <c:v>9.222090407532491</c:v>
                </c:pt>
              </c:numCache>
            </c:numRef>
          </c:val>
          <c:smooth val="0"/>
          <c:extLst>
            <c:ext xmlns:c16="http://schemas.microsoft.com/office/drawing/2014/chart" uri="{C3380CC4-5D6E-409C-BE32-E72D297353CC}">
              <c16:uniqueId val="{00000000-D83C-40B4-93A0-F14E8B93E659}"/>
            </c:ext>
          </c:extLst>
        </c:ser>
        <c:dLbls>
          <c:dLblPos val="t"/>
          <c:showLegendKey val="0"/>
          <c:showVal val="1"/>
          <c:showCatName val="0"/>
          <c:showSerName val="0"/>
          <c:showPercent val="0"/>
          <c:showBubbleSize val="0"/>
        </c:dLbls>
        <c:smooth val="0"/>
        <c:axId val="78199247"/>
        <c:axId val="78225647"/>
      </c:lineChart>
      <c:catAx>
        <c:axId val="7819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8225647"/>
        <c:crosses val="autoZero"/>
        <c:auto val="1"/>
        <c:lblAlgn val="ctr"/>
        <c:lblOffset val="100"/>
        <c:noMultiLvlLbl val="0"/>
      </c:catAx>
      <c:valAx>
        <c:axId val="782256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8199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Ticari Borçların Devir Hızları</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lineChart>
        <c:grouping val="standard"/>
        <c:varyColors val="0"/>
        <c:ser>
          <c:idx val="3"/>
          <c:order val="0"/>
          <c:tx>
            <c:strRef>
              <c:f>'Faliyet Oranları'!$A$58</c:f>
              <c:strCache>
                <c:ptCount val="1"/>
                <c:pt idx="0">
                  <c:v>Ticari Borçların Devir Hızları</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'Faliyet Oranları'!$F$10:$Q$10</c:f>
              <c:strCache>
                <c:ptCount val="12"/>
                <c:pt idx="0">
                  <c:v>2020/3</c:v>
                </c:pt>
                <c:pt idx="1">
                  <c:v>2020/6</c:v>
                </c:pt>
                <c:pt idx="2">
                  <c:v>2020/9</c:v>
                </c:pt>
                <c:pt idx="3">
                  <c:v>2020/12</c:v>
                </c:pt>
                <c:pt idx="4">
                  <c:v>2021/3</c:v>
                </c:pt>
                <c:pt idx="5">
                  <c:v>2021/6</c:v>
                </c:pt>
                <c:pt idx="6">
                  <c:v>2021/9</c:v>
                </c:pt>
                <c:pt idx="7">
                  <c:v>2021/12</c:v>
                </c:pt>
                <c:pt idx="8">
                  <c:v>2022/3</c:v>
                </c:pt>
                <c:pt idx="9">
                  <c:v>2022/6</c:v>
                </c:pt>
                <c:pt idx="10">
                  <c:v>2022/9</c:v>
                </c:pt>
                <c:pt idx="11">
                  <c:v>2022/12</c:v>
                </c:pt>
              </c:strCache>
            </c:strRef>
          </c:cat>
          <c:val>
            <c:numRef>
              <c:f>'Faliyet Oranları'!$F$58:$Q$58</c:f>
              <c:numCache>
                <c:formatCode>0.00</c:formatCode>
                <c:ptCount val="12"/>
                <c:pt idx="0">
                  <c:v>8.2864724074342142</c:v>
                </c:pt>
                <c:pt idx="1">
                  <c:v>7.8930680123700734</c:v>
                </c:pt>
                <c:pt idx="2">
                  <c:v>6.3012629984479203</c:v>
                </c:pt>
                <c:pt idx="3">
                  <c:v>7.0388234548608244</c:v>
                </c:pt>
                <c:pt idx="4">
                  <c:v>6.2778144135115683</c:v>
                </c:pt>
                <c:pt idx="5">
                  <c:v>7.5903185379918181</c:v>
                </c:pt>
                <c:pt idx="6">
                  <c:v>6.2567368586991217</c:v>
                </c:pt>
                <c:pt idx="7">
                  <c:v>6.2684987044911233</c:v>
                </c:pt>
                <c:pt idx="8">
                  <c:v>4.7482197064013425</c:v>
                </c:pt>
                <c:pt idx="9">
                  <c:v>5.583352841779309</c:v>
                </c:pt>
                <c:pt idx="10">
                  <c:v>6.1009838744990921</c:v>
                </c:pt>
                <c:pt idx="11">
                  <c:v>7.1212986979334865</c:v>
                </c:pt>
              </c:numCache>
            </c:numRef>
          </c:val>
          <c:smooth val="0"/>
          <c:extLst>
            <c:ext xmlns:c16="http://schemas.microsoft.com/office/drawing/2014/chart" uri="{C3380CC4-5D6E-409C-BE32-E72D297353CC}">
              <c16:uniqueId val="{00000000-C477-4B59-9316-C7FA64074086}"/>
            </c:ext>
          </c:extLst>
        </c:ser>
        <c:dLbls>
          <c:dLblPos val="t"/>
          <c:showLegendKey val="0"/>
          <c:showVal val="1"/>
          <c:showCatName val="0"/>
          <c:showSerName val="0"/>
          <c:showPercent val="0"/>
          <c:showBubbleSize val="0"/>
        </c:dLbls>
        <c:smooth val="0"/>
        <c:axId val="78199247"/>
        <c:axId val="78225647"/>
      </c:lineChart>
      <c:catAx>
        <c:axId val="7819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8225647"/>
        <c:crosses val="autoZero"/>
        <c:auto val="1"/>
        <c:lblAlgn val="ctr"/>
        <c:lblOffset val="100"/>
        <c:noMultiLvlLbl val="0"/>
      </c:catAx>
      <c:valAx>
        <c:axId val="782256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8199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Nakde</a:t>
            </a:r>
            <a:r>
              <a:rPr lang="tr-TR" baseline="0"/>
              <a:t> Dönüşüm Süresi</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lineChart>
        <c:grouping val="standard"/>
        <c:varyColors val="0"/>
        <c:ser>
          <c:idx val="3"/>
          <c:order val="0"/>
          <c:tx>
            <c:strRef>
              <c:f>'Faliyet Oranları'!$A$77</c:f>
              <c:strCache>
                <c:ptCount val="1"/>
                <c:pt idx="0">
                  <c:v>Nakde Dönüşüm Süresi</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'Faliyet Oranları'!$F$10:$Q$10</c:f>
              <c:strCache>
                <c:ptCount val="12"/>
                <c:pt idx="0">
                  <c:v>2020/3</c:v>
                </c:pt>
                <c:pt idx="1">
                  <c:v>2020/6</c:v>
                </c:pt>
                <c:pt idx="2">
                  <c:v>2020/9</c:v>
                </c:pt>
                <c:pt idx="3">
                  <c:v>2020/12</c:v>
                </c:pt>
                <c:pt idx="4">
                  <c:v>2021/3</c:v>
                </c:pt>
                <c:pt idx="5">
                  <c:v>2021/6</c:v>
                </c:pt>
                <c:pt idx="6">
                  <c:v>2021/9</c:v>
                </c:pt>
                <c:pt idx="7">
                  <c:v>2021/12</c:v>
                </c:pt>
                <c:pt idx="8">
                  <c:v>2022/3</c:v>
                </c:pt>
                <c:pt idx="9">
                  <c:v>2022/6</c:v>
                </c:pt>
                <c:pt idx="10">
                  <c:v>2022/9</c:v>
                </c:pt>
                <c:pt idx="11">
                  <c:v>2022/12</c:v>
                </c:pt>
              </c:strCache>
            </c:strRef>
          </c:cat>
          <c:val>
            <c:numRef>
              <c:f>'Faliyet Oranları'!$F$77:$Q$77</c:f>
              <c:numCache>
                <c:formatCode>0.00</c:formatCode>
                <c:ptCount val="12"/>
                <c:pt idx="0">
                  <c:v>13.510045419381854</c:v>
                </c:pt>
                <c:pt idx="1">
                  <c:v>15.401762670114223</c:v>
                </c:pt>
                <c:pt idx="2">
                  <c:v>6.228631449746473</c:v>
                </c:pt>
                <c:pt idx="3">
                  <c:v>2.534016065999765</c:v>
                </c:pt>
                <c:pt idx="4">
                  <c:v>1.1122256589862758</c:v>
                </c:pt>
                <c:pt idx="5">
                  <c:v>8.6301471959996121</c:v>
                </c:pt>
                <c:pt idx="6">
                  <c:v>-4.6030146858347578</c:v>
                </c:pt>
                <c:pt idx="7">
                  <c:v>9.1900854960559002</c:v>
                </c:pt>
                <c:pt idx="8">
                  <c:v>15.296966724303516</c:v>
                </c:pt>
                <c:pt idx="9">
                  <c:v>14.080329274845951</c:v>
                </c:pt>
                <c:pt idx="10">
                  <c:v>16.146885055202354</c:v>
                </c:pt>
                <c:pt idx="11">
                  <c:v>11.764915615386634</c:v>
                </c:pt>
              </c:numCache>
            </c:numRef>
          </c:val>
          <c:smooth val="0"/>
          <c:extLst>
            <c:ext xmlns:c16="http://schemas.microsoft.com/office/drawing/2014/chart" uri="{C3380CC4-5D6E-409C-BE32-E72D297353CC}">
              <c16:uniqueId val="{00000000-7DF9-4677-BA2B-6314BC74281C}"/>
            </c:ext>
          </c:extLst>
        </c:ser>
        <c:dLbls>
          <c:dLblPos val="t"/>
          <c:showLegendKey val="0"/>
          <c:showVal val="1"/>
          <c:showCatName val="0"/>
          <c:showSerName val="0"/>
          <c:showPercent val="0"/>
          <c:showBubbleSize val="0"/>
        </c:dLbls>
        <c:smooth val="0"/>
        <c:axId val="78199247"/>
        <c:axId val="78225647"/>
      </c:lineChart>
      <c:catAx>
        <c:axId val="7819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8225647"/>
        <c:crosses val="autoZero"/>
        <c:auto val="1"/>
        <c:lblAlgn val="ctr"/>
        <c:lblOffset val="100"/>
        <c:noMultiLvlLbl val="0"/>
      </c:catAx>
      <c:valAx>
        <c:axId val="782256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8199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Varlıkların Devir Hızı</a:t>
            </a:r>
          </a:p>
        </c:rich>
      </c:tx>
      <c:layout>
        <c:manualLayout>
          <c:xMode val="edge"/>
          <c:yMode val="edge"/>
          <c:x val="0.35101780790059472"/>
          <c:y val="2.72108746367866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lineChart>
        <c:grouping val="standard"/>
        <c:varyColors val="0"/>
        <c:ser>
          <c:idx val="3"/>
          <c:order val="0"/>
          <c:tx>
            <c:strRef>
              <c:f>'Faliyet Oranları'!$A$102</c:f>
              <c:strCache>
                <c:ptCount val="1"/>
                <c:pt idx="0">
                  <c:v>Varlıkların Devir Hızı</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'Faliyet Oranları'!$F$10:$Q$10</c:f>
              <c:strCache>
                <c:ptCount val="12"/>
                <c:pt idx="0">
                  <c:v>2020/3</c:v>
                </c:pt>
                <c:pt idx="1">
                  <c:v>2020/6</c:v>
                </c:pt>
                <c:pt idx="2">
                  <c:v>2020/9</c:v>
                </c:pt>
                <c:pt idx="3">
                  <c:v>2020/12</c:v>
                </c:pt>
                <c:pt idx="4">
                  <c:v>2021/3</c:v>
                </c:pt>
                <c:pt idx="5">
                  <c:v>2021/6</c:v>
                </c:pt>
                <c:pt idx="6">
                  <c:v>2021/9</c:v>
                </c:pt>
                <c:pt idx="7">
                  <c:v>2021/12</c:v>
                </c:pt>
                <c:pt idx="8">
                  <c:v>2022/3</c:v>
                </c:pt>
                <c:pt idx="9">
                  <c:v>2022/6</c:v>
                </c:pt>
                <c:pt idx="10">
                  <c:v>2022/9</c:v>
                </c:pt>
                <c:pt idx="11">
                  <c:v>2022/12</c:v>
                </c:pt>
              </c:strCache>
            </c:strRef>
          </c:cat>
          <c:val>
            <c:numRef>
              <c:f>'Faliyet Oranları'!$F$102:$Q$102</c:f>
              <c:numCache>
                <c:formatCode>0.00</c:formatCode>
                <c:ptCount val="12"/>
                <c:pt idx="0">
                  <c:v>2.3612791237283468</c:v>
                </c:pt>
                <c:pt idx="1">
                  <c:v>2.0465879896068713</c:v>
                </c:pt>
                <c:pt idx="2">
                  <c:v>2.0709091397258281</c:v>
                </c:pt>
                <c:pt idx="3">
                  <c:v>2.4267323486805514</c:v>
                </c:pt>
                <c:pt idx="4">
                  <c:v>2.1566401333819361</c:v>
                </c:pt>
                <c:pt idx="5">
                  <c:v>2.4869671450228474</c:v>
                </c:pt>
                <c:pt idx="6">
                  <c:v>2.2317522737715709</c:v>
                </c:pt>
                <c:pt idx="7">
                  <c:v>2.1179358408455675</c:v>
                </c:pt>
                <c:pt idx="8">
                  <c:v>1.6449879579189843</c:v>
                </c:pt>
                <c:pt idx="9">
                  <c:v>1.8733788833023184</c:v>
                </c:pt>
                <c:pt idx="10">
                  <c:v>2.1960390664850551</c:v>
                </c:pt>
                <c:pt idx="11">
                  <c:v>2.474655598217006</c:v>
                </c:pt>
              </c:numCache>
            </c:numRef>
          </c:val>
          <c:smooth val="0"/>
          <c:extLst>
            <c:ext xmlns:c16="http://schemas.microsoft.com/office/drawing/2014/chart" uri="{C3380CC4-5D6E-409C-BE32-E72D297353CC}">
              <c16:uniqueId val="{00000000-8503-4592-B763-1F15EE28817A}"/>
            </c:ext>
          </c:extLst>
        </c:ser>
        <c:dLbls>
          <c:dLblPos val="t"/>
          <c:showLegendKey val="0"/>
          <c:showVal val="1"/>
          <c:showCatName val="0"/>
          <c:showSerName val="0"/>
          <c:showPercent val="0"/>
          <c:showBubbleSize val="0"/>
        </c:dLbls>
        <c:smooth val="0"/>
        <c:axId val="78199247"/>
        <c:axId val="78225647"/>
      </c:lineChart>
      <c:catAx>
        <c:axId val="7819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8225647"/>
        <c:crosses val="autoZero"/>
        <c:auto val="1"/>
        <c:lblAlgn val="ctr"/>
        <c:lblOffset val="100"/>
        <c:noMultiLvlLbl val="0"/>
      </c:catAx>
      <c:valAx>
        <c:axId val="782256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8199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Öz</a:t>
            </a:r>
            <a:r>
              <a:rPr lang="tr-TR" baseline="0"/>
              <a:t> Kaynakların</a:t>
            </a:r>
            <a:r>
              <a:rPr lang="tr-TR"/>
              <a:t> Devir Hızı</a:t>
            </a:r>
          </a:p>
        </c:rich>
      </c:tx>
      <c:layout>
        <c:manualLayout>
          <c:xMode val="edge"/>
          <c:yMode val="edge"/>
          <c:x val="0.35101780790059472"/>
          <c:y val="2.72108746367866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lineChart>
        <c:grouping val="standard"/>
        <c:varyColors val="0"/>
        <c:ser>
          <c:idx val="3"/>
          <c:order val="0"/>
          <c:tx>
            <c:strRef>
              <c:f>'Faliyet Oranları'!$A$102</c:f>
              <c:strCache>
                <c:ptCount val="1"/>
                <c:pt idx="0">
                  <c:v>Varlıkların Devir Hızı</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'Faliyet Oranları'!$F$10:$Q$10</c:f>
              <c:strCache>
                <c:ptCount val="12"/>
                <c:pt idx="0">
                  <c:v>2020/3</c:v>
                </c:pt>
                <c:pt idx="1">
                  <c:v>2020/6</c:v>
                </c:pt>
                <c:pt idx="2">
                  <c:v>2020/9</c:v>
                </c:pt>
                <c:pt idx="3">
                  <c:v>2020/12</c:v>
                </c:pt>
                <c:pt idx="4">
                  <c:v>2021/3</c:v>
                </c:pt>
                <c:pt idx="5">
                  <c:v>2021/6</c:v>
                </c:pt>
                <c:pt idx="6">
                  <c:v>2021/9</c:v>
                </c:pt>
                <c:pt idx="7">
                  <c:v>2021/12</c:v>
                </c:pt>
                <c:pt idx="8">
                  <c:v>2022/3</c:v>
                </c:pt>
                <c:pt idx="9">
                  <c:v>2022/6</c:v>
                </c:pt>
                <c:pt idx="10">
                  <c:v>2022/9</c:v>
                </c:pt>
                <c:pt idx="11">
                  <c:v>2022/12</c:v>
                </c:pt>
              </c:strCache>
            </c:strRef>
          </c:cat>
          <c:val>
            <c:numRef>
              <c:f>'Faliyet Oranları'!$F$102:$Q$102</c:f>
              <c:numCache>
                <c:formatCode>0.00</c:formatCode>
                <c:ptCount val="12"/>
                <c:pt idx="0">
                  <c:v>2.3612791237283468</c:v>
                </c:pt>
                <c:pt idx="1">
                  <c:v>2.0465879896068713</c:v>
                </c:pt>
                <c:pt idx="2">
                  <c:v>2.0709091397258281</c:v>
                </c:pt>
                <c:pt idx="3">
                  <c:v>2.4267323486805514</c:v>
                </c:pt>
                <c:pt idx="4">
                  <c:v>2.1566401333819361</c:v>
                </c:pt>
                <c:pt idx="5">
                  <c:v>2.4869671450228474</c:v>
                </c:pt>
                <c:pt idx="6">
                  <c:v>2.2317522737715709</c:v>
                </c:pt>
                <c:pt idx="7">
                  <c:v>2.1179358408455675</c:v>
                </c:pt>
                <c:pt idx="8">
                  <c:v>1.6449879579189843</c:v>
                </c:pt>
                <c:pt idx="9">
                  <c:v>1.8733788833023184</c:v>
                </c:pt>
                <c:pt idx="10">
                  <c:v>2.1960390664850551</c:v>
                </c:pt>
                <c:pt idx="11">
                  <c:v>2.474655598217006</c:v>
                </c:pt>
              </c:numCache>
            </c:numRef>
          </c:val>
          <c:smooth val="0"/>
          <c:extLst>
            <c:ext xmlns:c16="http://schemas.microsoft.com/office/drawing/2014/chart" uri="{C3380CC4-5D6E-409C-BE32-E72D297353CC}">
              <c16:uniqueId val="{00000000-CFD0-44DF-9B4A-0A00C9F25AD5}"/>
            </c:ext>
          </c:extLst>
        </c:ser>
        <c:dLbls>
          <c:dLblPos val="t"/>
          <c:showLegendKey val="0"/>
          <c:showVal val="1"/>
          <c:showCatName val="0"/>
          <c:showSerName val="0"/>
          <c:showPercent val="0"/>
          <c:showBubbleSize val="0"/>
        </c:dLbls>
        <c:smooth val="0"/>
        <c:axId val="78199247"/>
        <c:axId val="78225647"/>
      </c:lineChart>
      <c:catAx>
        <c:axId val="7819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8225647"/>
        <c:crosses val="autoZero"/>
        <c:auto val="1"/>
        <c:lblAlgn val="ctr"/>
        <c:lblOffset val="100"/>
        <c:noMultiLvlLbl val="0"/>
      </c:catAx>
      <c:valAx>
        <c:axId val="782256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8199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FROTO Kar Marjları</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lineChart>
        <c:grouping val="standard"/>
        <c:varyColors val="0"/>
        <c:ser>
          <c:idx val="0"/>
          <c:order val="0"/>
          <c:tx>
            <c:strRef>
              <c:f>'Karlılık Oranları'!$A$13</c:f>
              <c:strCache>
                <c:ptCount val="1"/>
                <c:pt idx="0">
                  <c:v>Brüt Kar Marjı</c:v>
                </c:pt>
              </c:strCache>
            </c:strRef>
          </c:tx>
          <c:spPr>
            <a:ln w="28575" cap="rnd">
              <a:solidFill>
                <a:schemeClr val="accent1"/>
              </a:solidFill>
              <a:round/>
            </a:ln>
            <a:effectLst/>
          </c:spPr>
          <c:marker>
            <c:symbol val="none"/>
          </c:marker>
          <c:cat>
            <c:strRef>
              <c:f>'Karlılık Oranları'!$B$7:$Q$7</c:f>
              <c:strCache>
                <c:ptCount val="16"/>
                <c:pt idx="0">
                  <c:v>2019/3</c:v>
                </c:pt>
                <c:pt idx="1">
                  <c:v>2019/6</c:v>
                </c:pt>
                <c:pt idx="2">
                  <c:v>2019/9</c:v>
                </c:pt>
                <c:pt idx="3">
                  <c:v>2019/12</c:v>
                </c:pt>
                <c:pt idx="4">
                  <c:v>2020/3</c:v>
                </c:pt>
                <c:pt idx="5">
                  <c:v>2020/6</c:v>
                </c:pt>
                <c:pt idx="6">
                  <c:v>2020/9</c:v>
                </c:pt>
                <c:pt idx="7">
                  <c:v>2020/12</c:v>
                </c:pt>
                <c:pt idx="8">
                  <c:v>2021/3</c:v>
                </c:pt>
                <c:pt idx="9">
                  <c:v>2021/6</c:v>
                </c:pt>
                <c:pt idx="10">
                  <c:v>2021/9</c:v>
                </c:pt>
                <c:pt idx="11">
                  <c:v>2021/12</c:v>
                </c:pt>
                <c:pt idx="12">
                  <c:v>2022/3</c:v>
                </c:pt>
                <c:pt idx="13">
                  <c:v>2022/6</c:v>
                </c:pt>
                <c:pt idx="14">
                  <c:v>2022/9</c:v>
                </c:pt>
                <c:pt idx="15">
                  <c:v>2022/12</c:v>
                </c:pt>
              </c:strCache>
            </c:strRef>
          </c:cat>
          <c:val>
            <c:numRef>
              <c:f>'Karlılık Oranları'!$B$13:$Q$13</c:f>
              <c:numCache>
                <c:formatCode>0.00</c:formatCode>
                <c:ptCount val="16"/>
                <c:pt idx="0">
                  <c:v>0.10327575690331227</c:v>
                </c:pt>
                <c:pt idx="1">
                  <c:v>0.10198591764904553</c:v>
                </c:pt>
                <c:pt idx="2">
                  <c:v>0.10124692313780242</c:v>
                </c:pt>
                <c:pt idx="3">
                  <c:v>0.10240544401276655</c:v>
                </c:pt>
                <c:pt idx="4">
                  <c:v>0.1054414819095065</c:v>
                </c:pt>
                <c:pt idx="5">
                  <c:v>0.10728132548675935</c:v>
                </c:pt>
                <c:pt idx="6">
                  <c:v>0.11376402910516958</c:v>
                </c:pt>
                <c:pt idx="7">
                  <c:v>0.12510319473822049</c:v>
                </c:pt>
                <c:pt idx="8">
                  <c:v>0.1274976951998032</c:v>
                </c:pt>
                <c:pt idx="9">
                  <c:v>0.13118883356396832</c:v>
                </c:pt>
                <c:pt idx="10">
                  <c:v>0.13046955414490408</c:v>
                </c:pt>
                <c:pt idx="11">
                  <c:v>0.15687711179456207</c:v>
                </c:pt>
                <c:pt idx="12">
                  <c:v>0.15479512657708885</c:v>
                </c:pt>
                <c:pt idx="13">
                  <c:v>0.15651718412940788</c:v>
                </c:pt>
                <c:pt idx="14">
                  <c:v>0.14533519378098717</c:v>
                </c:pt>
                <c:pt idx="15">
                  <c:v>0.13935783312320732</c:v>
                </c:pt>
              </c:numCache>
            </c:numRef>
          </c:val>
          <c:smooth val="0"/>
          <c:extLst>
            <c:ext xmlns:c16="http://schemas.microsoft.com/office/drawing/2014/chart" uri="{C3380CC4-5D6E-409C-BE32-E72D297353CC}">
              <c16:uniqueId val="{00000000-B491-404A-9BE1-AFA49566986D}"/>
            </c:ext>
          </c:extLst>
        </c:ser>
        <c:ser>
          <c:idx val="1"/>
          <c:order val="1"/>
          <c:tx>
            <c:strRef>
              <c:f>'Karlılık Oranları'!$A$14</c:f>
              <c:strCache>
                <c:ptCount val="1"/>
                <c:pt idx="0">
                  <c:v>Esas Faliyet Kar Marjı</c:v>
                </c:pt>
              </c:strCache>
            </c:strRef>
          </c:tx>
          <c:spPr>
            <a:ln w="28575" cap="rnd">
              <a:solidFill>
                <a:schemeClr val="accent2"/>
              </a:solidFill>
              <a:round/>
            </a:ln>
            <a:effectLst/>
          </c:spPr>
          <c:marker>
            <c:symbol val="none"/>
          </c:marker>
          <c:cat>
            <c:strRef>
              <c:f>'Karlılık Oranları'!$B$7:$Q$7</c:f>
              <c:strCache>
                <c:ptCount val="16"/>
                <c:pt idx="0">
                  <c:v>2019/3</c:v>
                </c:pt>
                <c:pt idx="1">
                  <c:v>2019/6</c:v>
                </c:pt>
                <c:pt idx="2">
                  <c:v>2019/9</c:v>
                </c:pt>
                <c:pt idx="3">
                  <c:v>2019/12</c:v>
                </c:pt>
                <c:pt idx="4">
                  <c:v>2020/3</c:v>
                </c:pt>
                <c:pt idx="5">
                  <c:v>2020/6</c:v>
                </c:pt>
                <c:pt idx="6">
                  <c:v>2020/9</c:v>
                </c:pt>
                <c:pt idx="7">
                  <c:v>2020/12</c:v>
                </c:pt>
                <c:pt idx="8">
                  <c:v>2021/3</c:v>
                </c:pt>
                <c:pt idx="9">
                  <c:v>2021/6</c:v>
                </c:pt>
                <c:pt idx="10">
                  <c:v>2021/9</c:v>
                </c:pt>
                <c:pt idx="11">
                  <c:v>2021/12</c:v>
                </c:pt>
                <c:pt idx="12">
                  <c:v>2022/3</c:v>
                </c:pt>
                <c:pt idx="13">
                  <c:v>2022/6</c:v>
                </c:pt>
                <c:pt idx="14">
                  <c:v>2022/9</c:v>
                </c:pt>
                <c:pt idx="15">
                  <c:v>2022/12</c:v>
                </c:pt>
              </c:strCache>
            </c:strRef>
          </c:cat>
          <c:val>
            <c:numRef>
              <c:f>'Karlılık Oranları'!$B$14:$Q$14</c:f>
              <c:numCache>
                <c:formatCode>0.00</c:formatCode>
                <c:ptCount val="16"/>
                <c:pt idx="0">
                  <c:v>6.7285180355499921E-2</c:v>
                </c:pt>
                <c:pt idx="1">
                  <c:v>6.5170330620636666E-2</c:v>
                </c:pt>
                <c:pt idx="2">
                  <c:v>5.275995585358962E-2</c:v>
                </c:pt>
                <c:pt idx="3">
                  <c:v>6.1772216234229169E-2</c:v>
                </c:pt>
                <c:pt idx="4">
                  <c:v>6.6488221292014343E-2</c:v>
                </c:pt>
                <c:pt idx="5">
                  <c:v>6.886507029420641E-2</c:v>
                </c:pt>
                <c:pt idx="6">
                  <c:v>9.022558064224219E-2</c:v>
                </c:pt>
                <c:pt idx="7">
                  <c:v>9.7179459423672218E-2</c:v>
                </c:pt>
                <c:pt idx="8">
                  <c:v>0.10175308587630509</c:v>
                </c:pt>
                <c:pt idx="9">
                  <c:v>0.10374457863861444</c:v>
                </c:pt>
                <c:pt idx="10">
                  <c:v>9.9578546308321469E-2</c:v>
                </c:pt>
                <c:pt idx="11">
                  <c:v>0.13273665284515782</c:v>
                </c:pt>
                <c:pt idx="12">
                  <c:v>0.13103729445043943</c:v>
                </c:pt>
                <c:pt idx="13">
                  <c:v>0.13141763593749703</c:v>
                </c:pt>
                <c:pt idx="14">
                  <c:v>0.1193247712497067</c:v>
                </c:pt>
                <c:pt idx="15">
                  <c:v>0.11141262023456046</c:v>
                </c:pt>
              </c:numCache>
            </c:numRef>
          </c:val>
          <c:smooth val="0"/>
          <c:extLst>
            <c:ext xmlns:c16="http://schemas.microsoft.com/office/drawing/2014/chart" uri="{C3380CC4-5D6E-409C-BE32-E72D297353CC}">
              <c16:uniqueId val="{00000001-B491-404A-9BE1-AFA49566986D}"/>
            </c:ext>
          </c:extLst>
        </c:ser>
        <c:ser>
          <c:idx val="2"/>
          <c:order val="2"/>
          <c:tx>
            <c:strRef>
              <c:f>'Karlılık Oranları'!$A$16</c:f>
              <c:strCache>
                <c:ptCount val="1"/>
                <c:pt idx="0">
                  <c:v>Dönem Kar Marjı</c:v>
                </c:pt>
              </c:strCache>
            </c:strRef>
          </c:tx>
          <c:spPr>
            <a:ln w="28575" cap="rnd">
              <a:solidFill>
                <a:schemeClr val="accent3"/>
              </a:solidFill>
              <a:round/>
            </a:ln>
            <a:effectLst/>
          </c:spPr>
          <c:marker>
            <c:symbol val="none"/>
          </c:marker>
          <c:cat>
            <c:strRef>
              <c:f>'Karlılık Oranları'!$B$7:$Q$7</c:f>
              <c:strCache>
                <c:ptCount val="16"/>
                <c:pt idx="0">
                  <c:v>2019/3</c:v>
                </c:pt>
                <c:pt idx="1">
                  <c:v>2019/6</c:v>
                </c:pt>
                <c:pt idx="2">
                  <c:v>2019/9</c:v>
                </c:pt>
                <c:pt idx="3">
                  <c:v>2019/12</c:v>
                </c:pt>
                <c:pt idx="4">
                  <c:v>2020/3</c:v>
                </c:pt>
                <c:pt idx="5">
                  <c:v>2020/6</c:v>
                </c:pt>
                <c:pt idx="6">
                  <c:v>2020/9</c:v>
                </c:pt>
                <c:pt idx="7">
                  <c:v>2020/12</c:v>
                </c:pt>
                <c:pt idx="8">
                  <c:v>2021/3</c:v>
                </c:pt>
                <c:pt idx="9">
                  <c:v>2021/6</c:v>
                </c:pt>
                <c:pt idx="10">
                  <c:v>2021/9</c:v>
                </c:pt>
                <c:pt idx="11">
                  <c:v>2021/12</c:v>
                </c:pt>
                <c:pt idx="12">
                  <c:v>2022/3</c:v>
                </c:pt>
                <c:pt idx="13">
                  <c:v>2022/6</c:v>
                </c:pt>
                <c:pt idx="14">
                  <c:v>2022/9</c:v>
                </c:pt>
                <c:pt idx="15">
                  <c:v>2022/12</c:v>
                </c:pt>
              </c:strCache>
            </c:strRef>
          </c:cat>
          <c:val>
            <c:numRef>
              <c:f>'Karlılık Oranları'!$B$16:$Q$16</c:f>
              <c:numCache>
                <c:formatCode>0.00</c:formatCode>
                <c:ptCount val="16"/>
                <c:pt idx="0">
                  <c:v>4.8985308354332138E-2</c:v>
                </c:pt>
                <c:pt idx="1">
                  <c:v>4.5625599279955936E-2</c:v>
                </c:pt>
                <c:pt idx="2">
                  <c:v>4.6446144038629483E-2</c:v>
                </c:pt>
                <c:pt idx="3">
                  <c:v>4.9975338582176718E-2</c:v>
                </c:pt>
                <c:pt idx="4">
                  <c:v>5.3725332880513628E-2</c:v>
                </c:pt>
                <c:pt idx="5">
                  <c:v>5.5180500696055061E-2</c:v>
                </c:pt>
                <c:pt idx="6">
                  <c:v>7.2125629208869071E-2</c:v>
                </c:pt>
                <c:pt idx="7">
                  <c:v>8.4828991822214483E-2</c:v>
                </c:pt>
                <c:pt idx="8">
                  <c:v>9.5579682542838038E-2</c:v>
                </c:pt>
                <c:pt idx="9">
                  <c:v>9.9830391208093602E-2</c:v>
                </c:pt>
                <c:pt idx="10">
                  <c:v>9.9641201382068251E-2</c:v>
                </c:pt>
                <c:pt idx="11">
                  <c:v>0.1237812838698297</c:v>
                </c:pt>
                <c:pt idx="12">
                  <c:v>0.11826633485140584</c:v>
                </c:pt>
                <c:pt idx="13">
                  <c:v>0.11888673001753541</c:v>
                </c:pt>
                <c:pt idx="14">
                  <c:v>0.10573942222068902</c:v>
                </c:pt>
                <c:pt idx="15">
                  <c:v>0.10834853704172151</c:v>
                </c:pt>
              </c:numCache>
            </c:numRef>
          </c:val>
          <c:smooth val="0"/>
          <c:extLst>
            <c:ext xmlns:c16="http://schemas.microsoft.com/office/drawing/2014/chart" uri="{C3380CC4-5D6E-409C-BE32-E72D297353CC}">
              <c16:uniqueId val="{00000002-B491-404A-9BE1-AFA49566986D}"/>
            </c:ext>
          </c:extLst>
        </c:ser>
        <c:dLbls>
          <c:showLegendKey val="0"/>
          <c:showVal val="0"/>
          <c:showCatName val="0"/>
          <c:showSerName val="0"/>
          <c:showPercent val="0"/>
          <c:showBubbleSize val="0"/>
        </c:dLbls>
        <c:smooth val="0"/>
        <c:axId val="1240506159"/>
        <c:axId val="1240507599"/>
      </c:lineChart>
      <c:catAx>
        <c:axId val="124050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40507599"/>
        <c:crosses val="autoZero"/>
        <c:auto val="1"/>
        <c:lblAlgn val="ctr"/>
        <c:lblOffset val="100"/>
        <c:noMultiLvlLbl val="0"/>
      </c:catAx>
      <c:valAx>
        <c:axId val="12405075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405061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lineChart>
        <c:grouping val="standard"/>
        <c:varyColors val="0"/>
        <c:ser>
          <c:idx val="0"/>
          <c:order val="0"/>
          <c:tx>
            <c:strRef>
              <c:f>'Karlılık Oranları'!$A$42</c:f>
              <c:strCache>
                <c:ptCount val="1"/>
                <c:pt idx="0">
                  <c:v>Varlıkların Karlılık Oranları</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'Karlılık Oranları'!$F$38:$Q$38</c:f>
              <c:strCache>
                <c:ptCount val="12"/>
                <c:pt idx="0">
                  <c:v>2020/3</c:v>
                </c:pt>
                <c:pt idx="1">
                  <c:v>2020/6</c:v>
                </c:pt>
                <c:pt idx="2">
                  <c:v>2020/9</c:v>
                </c:pt>
                <c:pt idx="3">
                  <c:v>2020/12</c:v>
                </c:pt>
                <c:pt idx="4">
                  <c:v>2021/3</c:v>
                </c:pt>
                <c:pt idx="5">
                  <c:v>2021/6</c:v>
                </c:pt>
                <c:pt idx="6">
                  <c:v>2021/9</c:v>
                </c:pt>
                <c:pt idx="7">
                  <c:v>2021/12</c:v>
                </c:pt>
                <c:pt idx="8">
                  <c:v>2022/3</c:v>
                </c:pt>
                <c:pt idx="9">
                  <c:v>2022/6</c:v>
                </c:pt>
                <c:pt idx="10">
                  <c:v>2022/9</c:v>
                </c:pt>
                <c:pt idx="11">
                  <c:v>2022/12</c:v>
                </c:pt>
              </c:strCache>
            </c:strRef>
          </c:cat>
          <c:val>
            <c:numRef>
              <c:f>'Karlılık Oranları'!$F$42:$Q$42</c:f>
              <c:numCache>
                <c:formatCode>0.00</c:formatCode>
                <c:ptCount val="12"/>
                <c:pt idx="0">
                  <c:v>0.12686050694611295</c:v>
                </c:pt>
                <c:pt idx="1">
                  <c:v>0.11293174998503989</c:v>
                </c:pt>
                <c:pt idx="2">
                  <c:v>0.14936562473712311</c:v>
                </c:pt>
                <c:pt idx="3">
                  <c:v>0.20585725856092585</c:v>
                </c:pt>
                <c:pt idx="4">
                  <c:v>0.20613097930778931</c:v>
                </c:pt>
                <c:pt idx="5">
                  <c:v>0.24827490300930649</c:v>
                </c:pt>
                <c:pt idx="6">
                  <c:v>0.22237447774576183</c:v>
                </c:pt>
                <c:pt idx="7">
                  <c:v>0.26216081753379167</c:v>
                </c:pt>
                <c:pt idx="8">
                  <c:v>0.19454669665777691</c:v>
                </c:pt>
                <c:pt idx="9">
                  <c:v>0.22271988951971469</c:v>
                </c:pt>
                <c:pt idx="10">
                  <c:v>0.23220790206419098</c:v>
                </c:pt>
                <c:pt idx="11">
                  <c:v>0.26812531374891874</c:v>
                </c:pt>
              </c:numCache>
            </c:numRef>
          </c:val>
          <c:smooth val="0"/>
          <c:extLst>
            <c:ext xmlns:c16="http://schemas.microsoft.com/office/drawing/2014/chart" uri="{C3380CC4-5D6E-409C-BE32-E72D297353CC}">
              <c16:uniqueId val="{00000000-036B-43FB-BDF5-FB9F4283B091}"/>
            </c:ext>
          </c:extLst>
        </c:ser>
        <c:dLbls>
          <c:dLblPos val="t"/>
          <c:showLegendKey val="0"/>
          <c:showVal val="1"/>
          <c:showCatName val="0"/>
          <c:showSerName val="0"/>
          <c:showPercent val="0"/>
          <c:showBubbleSize val="0"/>
        </c:dLbls>
        <c:smooth val="0"/>
        <c:axId val="1251404079"/>
        <c:axId val="1251396879"/>
      </c:lineChart>
      <c:catAx>
        <c:axId val="125140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51396879"/>
        <c:crosses val="autoZero"/>
        <c:auto val="1"/>
        <c:lblAlgn val="ctr"/>
        <c:lblOffset val="100"/>
        <c:noMultiLvlLbl val="0"/>
      </c:catAx>
      <c:valAx>
        <c:axId val="12513968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51404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Ekonomi Rantabilite</a:t>
            </a:r>
            <a:r>
              <a:rPr lang="tr-TR" baseline="0"/>
              <a:t> Oranları</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lineChart>
        <c:grouping val="standard"/>
        <c:varyColors val="0"/>
        <c:ser>
          <c:idx val="0"/>
          <c:order val="0"/>
          <c:tx>
            <c:strRef>
              <c:f>'Karlılık Oranları'!$A$65</c:f>
              <c:strCache>
                <c:ptCount val="1"/>
                <c:pt idx="0">
                  <c:v>Ekonomi Rantalibite Oranı</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'Karlılık Oranları'!$F$38:$Q$38</c:f>
              <c:strCache>
                <c:ptCount val="12"/>
                <c:pt idx="0">
                  <c:v>2020/3</c:v>
                </c:pt>
                <c:pt idx="1">
                  <c:v>2020/6</c:v>
                </c:pt>
                <c:pt idx="2">
                  <c:v>2020/9</c:v>
                </c:pt>
                <c:pt idx="3">
                  <c:v>2020/12</c:v>
                </c:pt>
                <c:pt idx="4">
                  <c:v>2021/3</c:v>
                </c:pt>
                <c:pt idx="5">
                  <c:v>2021/6</c:v>
                </c:pt>
                <c:pt idx="6">
                  <c:v>2021/9</c:v>
                </c:pt>
                <c:pt idx="7">
                  <c:v>2021/12</c:v>
                </c:pt>
                <c:pt idx="8">
                  <c:v>2022/3</c:v>
                </c:pt>
                <c:pt idx="9">
                  <c:v>2022/6</c:v>
                </c:pt>
                <c:pt idx="10">
                  <c:v>2022/9</c:v>
                </c:pt>
                <c:pt idx="11">
                  <c:v>2022/12</c:v>
                </c:pt>
              </c:strCache>
            </c:strRef>
          </c:cat>
          <c:val>
            <c:numRef>
              <c:f>'Karlılık Oranları'!$F$65:$Q$65</c:f>
              <c:numCache>
                <c:formatCode>0.00</c:formatCode>
                <c:ptCount val="12"/>
                <c:pt idx="0">
                  <c:v>0.15700608306970079</c:v>
                </c:pt>
                <c:pt idx="1">
                  <c:v>0.1409417328120709</c:v>
                </c:pt>
                <c:pt idx="2">
                  <c:v>0.18696647399017535</c:v>
                </c:pt>
                <c:pt idx="3">
                  <c:v>0.23588693476380679</c:v>
                </c:pt>
                <c:pt idx="4">
                  <c:v>0.21955074702439598</c:v>
                </c:pt>
                <c:pt idx="5">
                  <c:v>0.2580802936191301</c:v>
                </c:pt>
                <c:pt idx="6">
                  <c:v>0.22113312101236554</c:v>
                </c:pt>
                <c:pt idx="7">
                  <c:v>0.28008225905346446</c:v>
                </c:pt>
                <c:pt idx="8">
                  <c:v>0.21455680438973448</c:v>
                </c:pt>
                <c:pt idx="9">
                  <c:v>0.24533611460132435</c:v>
                </c:pt>
                <c:pt idx="10">
                  <c:v>0.26185079111100812</c:v>
                </c:pt>
                <c:pt idx="11">
                  <c:v>0.27550739637192811</c:v>
                </c:pt>
              </c:numCache>
            </c:numRef>
          </c:val>
          <c:smooth val="0"/>
          <c:extLst>
            <c:ext xmlns:c16="http://schemas.microsoft.com/office/drawing/2014/chart" uri="{C3380CC4-5D6E-409C-BE32-E72D297353CC}">
              <c16:uniqueId val="{00000000-85BC-4C4A-9F35-FB53DFFEB6D7}"/>
            </c:ext>
          </c:extLst>
        </c:ser>
        <c:dLbls>
          <c:dLblPos val="t"/>
          <c:showLegendKey val="0"/>
          <c:showVal val="1"/>
          <c:showCatName val="0"/>
          <c:showSerName val="0"/>
          <c:showPercent val="0"/>
          <c:showBubbleSize val="0"/>
        </c:dLbls>
        <c:smooth val="0"/>
        <c:axId val="1251404079"/>
        <c:axId val="1251396879"/>
      </c:lineChart>
      <c:catAx>
        <c:axId val="125140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51396879"/>
        <c:crosses val="autoZero"/>
        <c:auto val="1"/>
        <c:lblAlgn val="ctr"/>
        <c:lblOffset val="100"/>
        <c:noMultiLvlLbl val="0"/>
      </c:catAx>
      <c:valAx>
        <c:axId val="12513968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51404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Öz</a:t>
            </a:r>
            <a:r>
              <a:rPr lang="tr-TR" baseline="0"/>
              <a:t> Kaynakların Karlılık Oranı</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lineChart>
        <c:grouping val="standard"/>
        <c:varyColors val="0"/>
        <c:ser>
          <c:idx val="0"/>
          <c:order val="0"/>
          <c:tx>
            <c:strRef>
              <c:f>'Karlılık Oranları'!$A$85</c:f>
              <c:strCache>
                <c:ptCount val="1"/>
                <c:pt idx="0">
                  <c:v>Öz Kaynakların Karlılık Oranları</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'Karlılık Oranları'!$F$38:$Q$38</c:f>
              <c:strCache>
                <c:ptCount val="12"/>
                <c:pt idx="0">
                  <c:v>2020/3</c:v>
                </c:pt>
                <c:pt idx="1">
                  <c:v>2020/6</c:v>
                </c:pt>
                <c:pt idx="2">
                  <c:v>2020/9</c:v>
                </c:pt>
                <c:pt idx="3">
                  <c:v>2020/12</c:v>
                </c:pt>
                <c:pt idx="4">
                  <c:v>2021/3</c:v>
                </c:pt>
                <c:pt idx="5">
                  <c:v>2021/6</c:v>
                </c:pt>
                <c:pt idx="6">
                  <c:v>2021/9</c:v>
                </c:pt>
                <c:pt idx="7">
                  <c:v>2021/12</c:v>
                </c:pt>
                <c:pt idx="8">
                  <c:v>2022/3</c:v>
                </c:pt>
                <c:pt idx="9">
                  <c:v>2022/6</c:v>
                </c:pt>
                <c:pt idx="10">
                  <c:v>2022/9</c:v>
                </c:pt>
                <c:pt idx="11">
                  <c:v>2022/12</c:v>
                </c:pt>
              </c:strCache>
            </c:strRef>
          </c:cat>
          <c:val>
            <c:numRef>
              <c:f>'Karlılık Oranları'!$F$85:$Q$85</c:f>
              <c:numCache>
                <c:formatCode>0.00</c:formatCode>
                <c:ptCount val="12"/>
                <c:pt idx="0">
                  <c:v>0.45163590617488392</c:v>
                </c:pt>
                <c:pt idx="1">
                  <c:v>0.43497686300290889</c:v>
                </c:pt>
                <c:pt idx="2">
                  <c:v>0.58208495604723143</c:v>
                </c:pt>
                <c:pt idx="3">
                  <c:v>0.7165388015516162</c:v>
                </c:pt>
                <c:pt idx="4">
                  <c:v>0.75492667484934362</c:v>
                </c:pt>
                <c:pt idx="5">
                  <c:v>0.82869916132951837</c:v>
                </c:pt>
                <c:pt idx="6">
                  <c:v>0.8248363677301781</c:v>
                </c:pt>
                <c:pt idx="7">
                  <c:v>1.0238226802012977</c:v>
                </c:pt>
                <c:pt idx="8">
                  <c:v>0.91134620864472948</c:v>
                </c:pt>
                <c:pt idx="9">
                  <c:v>1.0107486457763333</c:v>
                </c:pt>
                <c:pt idx="10">
                  <c:v>1.0273166260192592</c:v>
                </c:pt>
                <c:pt idx="11">
                  <c:v>1.1799380628874556</c:v>
                </c:pt>
              </c:numCache>
            </c:numRef>
          </c:val>
          <c:smooth val="0"/>
          <c:extLst>
            <c:ext xmlns:c16="http://schemas.microsoft.com/office/drawing/2014/chart" uri="{C3380CC4-5D6E-409C-BE32-E72D297353CC}">
              <c16:uniqueId val="{00000000-1A4C-4365-95B5-00557C4A8285}"/>
            </c:ext>
          </c:extLst>
        </c:ser>
        <c:dLbls>
          <c:dLblPos val="t"/>
          <c:showLegendKey val="0"/>
          <c:showVal val="1"/>
          <c:showCatName val="0"/>
          <c:showSerName val="0"/>
          <c:showPercent val="0"/>
          <c:showBubbleSize val="0"/>
        </c:dLbls>
        <c:smooth val="0"/>
        <c:axId val="1251404079"/>
        <c:axId val="1251396879"/>
      </c:lineChart>
      <c:catAx>
        <c:axId val="125140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51396879"/>
        <c:crosses val="autoZero"/>
        <c:auto val="1"/>
        <c:lblAlgn val="ctr"/>
        <c:lblOffset val="100"/>
        <c:noMultiLvlLbl val="0"/>
      </c:catAx>
      <c:valAx>
        <c:axId val="12513968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51404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Hisse Başına Karlılıklar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lineChart>
        <c:grouping val="standard"/>
        <c:varyColors val="0"/>
        <c:ser>
          <c:idx val="0"/>
          <c:order val="0"/>
          <c:tx>
            <c:strRef>
              <c:f>'Karlılık Oranları'!$A$106</c:f>
              <c:strCache>
                <c:ptCount val="1"/>
                <c:pt idx="0">
                  <c:v>Hisse Senedi Başına Karlılk</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'Karlılık Oranları'!$B$60:$Q$60</c:f>
              <c:strCache>
                <c:ptCount val="16"/>
                <c:pt idx="0">
                  <c:v>2019/3</c:v>
                </c:pt>
                <c:pt idx="1">
                  <c:v>2019/6</c:v>
                </c:pt>
                <c:pt idx="2">
                  <c:v>2019/9</c:v>
                </c:pt>
                <c:pt idx="3">
                  <c:v>2019/12</c:v>
                </c:pt>
                <c:pt idx="4">
                  <c:v>2020/3</c:v>
                </c:pt>
                <c:pt idx="5">
                  <c:v>2020/6</c:v>
                </c:pt>
                <c:pt idx="6">
                  <c:v>2020/9</c:v>
                </c:pt>
                <c:pt idx="7">
                  <c:v>2020/12</c:v>
                </c:pt>
                <c:pt idx="8">
                  <c:v>2021/3</c:v>
                </c:pt>
                <c:pt idx="9">
                  <c:v>2021/6</c:v>
                </c:pt>
                <c:pt idx="10">
                  <c:v>2021/9</c:v>
                </c:pt>
                <c:pt idx="11">
                  <c:v>2021/12</c:v>
                </c:pt>
                <c:pt idx="12">
                  <c:v>2022/3</c:v>
                </c:pt>
                <c:pt idx="13">
                  <c:v>2022/6</c:v>
                </c:pt>
                <c:pt idx="14">
                  <c:v>2022/9</c:v>
                </c:pt>
                <c:pt idx="15">
                  <c:v>2022/12</c:v>
                </c:pt>
              </c:strCache>
            </c:strRef>
          </c:cat>
          <c:val>
            <c:numRef>
              <c:f>'Karlılık Oranları'!$B$106:$Q$106</c:f>
              <c:numCache>
                <c:formatCode>0.00</c:formatCode>
                <c:ptCount val="16"/>
                <c:pt idx="0">
                  <c:v>4.9268786868427803</c:v>
                </c:pt>
                <c:pt idx="1">
                  <c:v>4.7105098173320794</c:v>
                </c:pt>
                <c:pt idx="2">
                  <c:v>4.9971360177823376</c:v>
                </c:pt>
                <c:pt idx="3">
                  <c:v>5.5840072953178881</c:v>
                </c:pt>
                <c:pt idx="4">
                  <c:v>6.0156535863896723</c:v>
                </c:pt>
                <c:pt idx="5">
                  <c:v>5.644276310165</c:v>
                </c:pt>
                <c:pt idx="6">
                  <c:v>8.2200079792539391</c:v>
                </c:pt>
                <c:pt idx="7">
                  <c:v>11.954384315066541</c:v>
                </c:pt>
                <c:pt idx="8">
                  <c:v>15.345410504117865</c:v>
                </c:pt>
                <c:pt idx="9">
                  <c:v>17.394924624547606</c:v>
                </c:pt>
                <c:pt idx="10">
                  <c:v>18.916440112849447</c:v>
                </c:pt>
                <c:pt idx="11">
                  <c:v>25.080519221452793</c:v>
                </c:pt>
                <c:pt idx="12">
                  <c:v>27.880111709555155</c:v>
                </c:pt>
                <c:pt idx="13">
                  <c:v>35.588638112336497</c:v>
                </c:pt>
                <c:pt idx="14">
                  <c:v>41.071542560770567</c:v>
                </c:pt>
                <c:pt idx="15">
                  <c:v>53.044777863269786</c:v>
                </c:pt>
              </c:numCache>
            </c:numRef>
          </c:val>
          <c:smooth val="0"/>
          <c:extLst>
            <c:ext xmlns:c16="http://schemas.microsoft.com/office/drawing/2014/chart" uri="{C3380CC4-5D6E-409C-BE32-E72D297353CC}">
              <c16:uniqueId val="{00000000-2311-4B5C-AF4C-F77DBE9A2994}"/>
            </c:ext>
          </c:extLst>
        </c:ser>
        <c:dLbls>
          <c:dLblPos val="t"/>
          <c:showLegendKey val="0"/>
          <c:showVal val="1"/>
          <c:showCatName val="0"/>
          <c:showSerName val="0"/>
          <c:showPercent val="0"/>
          <c:showBubbleSize val="0"/>
        </c:dLbls>
        <c:smooth val="0"/>
        <c:axId val="1251404079"/>
        <c:axId val="1251396879"/>
      </c:lineChart>
      <c:catAx>
        <c:axId val="125140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51396879"/>
        <c:crosses val="autoZero"/>
        <c:auto val="1"/>
        <c:lblAlgn val="ctr"/>
        <c:lblOffset val="100"/>
        <c:noMultiLvlLbl val="0"/>
      </c:catAx>
      <c:valAx>
        <c:axId val="12513968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51404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'Trend Analizi'!$A$23</c:f>
              <c:strCache>
                <c:ptCount val="1"/>
                <c:pt idx="0">
                  <c:v>Duran Varlıklar</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'Trend Analizi'!$G$10:$K$10</c:f>
              <c:numCache>
                <c:formatCode>General</c:formatCode>
                <c:ptCount val="5"/>
                <c:pt idx="0">
                  <c:v>2018</c:v>
                </c:pt>
                <c:pt idx="1">
                  <c:v>2019</c:v>
                </c:pt>
                <c:pt idx="2">
                  <c:v>2020</c:v>
                </c:pt>
                <c:pt idx="3">
                  <c:v>2021</c:v>
                </c:pt>
                <c:pt idx="4">
                  <c:v>2022</c:v>
                </c:pt>
              </c:numCache>
            </c:numRef>
          </c:cat>
          <c:val>
            <c:numRef>
              <c:f>'Trend Analizi'!$G$23:$K$23</c:f>
              <c:numCache>
                <c:formatCode>0</c:formatCode>
                <c:ptCount val="5"/>
                <c:pt idx="0" formatCode="General">
                  <c:v>100</c:v>
                </c:pt>
                <c:pt idx="1">
                  <c:v>100.55295266556014</c:v>
                </c:pt>
                <c:pt idx="2">
                  <c:v>86.712543595874962</c:v>
                </c:pt>
                <c:pt idx="3">
                  <c:v>71.319244465175785</c:v>
                </c:pt>
                <c:pt idx="4">
                  <c:v>147.94057185762153</c:v>
                </c:pt>
              </c:numCache>
            </c:numRef>
          </c:val>
          <c:smooth val="0"/>
          <c:extLst>
            <c:ext xmlns:c16="http://schemas.microsoft.com/office/drawing/2014/chart" uri="{C3380CC4-5D6E-409C-BE32-E72D297353CC}">
              <c16:uniqueId val="{00000000-4421-4666-AD4F-52B19DF6FD10}"/>
            </c:ext>
          </c:extLst>
        </c:ser>
        <c:ser>
          <c:idx val="1"/>
          <c:order val="1"/>
          <c:tx>
            <c:strRef>
              <c:f>'Trend Analizi'!$A$82</c:f>
              <c:strCache>
                <c:ptCount val="1"/>
                <c:pt idx="0">
                  <c:v>Devamlı Sermaye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'Trend Analizi'!$G$10:$K$10</c:f>
              <c:numCache>
                <c:formatCode>General</c:formatCode>
                <c:ptCount val="5"/>
                <c:pt idx="0">
                  <c:v>2018</c:v>
                </c:pt>
                <c:pt idx="1">
                  <c:v>2019</c:v>
                </c:pt>
                <c:pt idx="2">
                  <c:v>2020</c:v>
                </c:pt>
                <c:pt idx="3">
                  <c:v>2021</c:v>
                </c:pt>
                <c:pt idx="4">
                  <c:v>2022</c:v>
                </c:pt>
              </c:numCache>
            </c:numRef>
          </c:cat>
          <c:val>
            <c:numRef>
              <c:f>'Trend Analizi'!$G$82:$K$82</c:f>
              <c:numCache>
                <c:formatCode>0</c:formatCode>
                <c:ptCount val="5"/>
                <c:pt idx="0" formatCode="General">
                  <c:v>100</c:v>
                </c:pt>
                <c:pt idx="1">
                  <c:v>121.18983706102155</c:v>
                </c:pt>
                <c:pt idx="2">
                  <c:v>148.08743409978183</c:v>
                </c:pt>
                <c:pt idx="3">
                  <c:v>152.67142134514606</c:v>
                </c:pt>
                <c:pt idx="4">
                  <c:v>174.86638601874085</c:v>
                </c:pt>
              </c:numCache>
            </c:numRef>
          </c:val>
          <c:smooth val="0"/>
          <c:extLst>
            <c:ext xmlns:c16="http://schemas.microsoft.com/office/drawing/2014/chart" uri="{C3380CC4-5D6E-409C-BE32-E72D297353CC}">
              <c16:uniqueId val="{00000001-4421-4666-AD4F-52B19DF6FD10}"/>
            </c:ext>
          </c:extLst>
        </c:ser>
        <c:dLbls>
          <c:dLblPos val="ctr"/>
          <c:showLegendKey val="0"/>
          <c:showVal val="1"/>
          <c:showCatName val="0"/>
          <c:showSerName val="0"/>
          <c:showPercent val="0"/>
          <c:showBubbleSize val="0"/>
        </c:dLbls>
        <c:smooth val="0"/>
        <c:axId val="750948336"/>
        <c:axId val="750955536"/>
      </c:lineChart>
      <c:catAx>
        <c:axId val="75094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50955536"/>
        <c:crosses val="autoZero"/>
        <c:auto val="1"/>
        <c:lblAlgn val="ctr"/>
        <c:lblOffset val="100"/>
        <c:noMultiLvlLbl val="0"/>
      </c:catAx>
      <c:valAx>
        <c:axId val="75095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50948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FROTO Büyüme Oranları</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'Büyüme Oranları'!$A$9</c:f>
              <c:strCache>
                <c:ptCount val="1"/>
                <c:pt idx="0">
                  <c:v>Satış Hasılatındaki Büyüme Oranı</c:v>
                </c:pt>
              </c:strCache>
            </c:strRef>
          </c:tx>
          <c:spPr>
            <a:solidFill>
              <a:schemeClr val="accent1"/>
            </a:solidFill>
            <a:ln>
              <a:noFill/>
            </a:ln>
            <a:effectLst/>
          </c:spPr>
          <c:invertIfNegative val="0"/>
          <c:cat>
            <c:strRef>
              <c:f>'Büyüme Oranları'!$C$4:$Q$4</c:f>
              <c:strCache>
                <c:ptCount val="15"/>
                <c:pt idx="0">
                  <c:v>2019/6</c:v>
                </c:pt>
                <c:pt idx="1">
                  <c:v>2019/9</c:v>
                </c:pt>
                <c:pt idx="2">
                  <c:v>2019/12</c:v>
                </c:pt>
                <c:pt idx="3">
                  <c:v>2020/3</c:v>
                </c:pt>
                <c:pt idx="4">
                  <c:v>2020/6</c:v>
                </c:pt>
                <c:pt idx="5">
                  <c:v>2020/9</c:v>
                </c:pt>
                <c:pt idx="6">
                  <c:v>2020/12</c:v>
                </c:pt>
                <c:pt idx="7">
                  <c:v>2021/3</c:v>
                </c:pt>
                <c:pt idx="8">
                  <c:v>2021/6</c:v>
                </c:pt>
                <c:pt idx="9">
                  <c:v>2021/9</c:v>
                </c:pt>
                <c:pt idx="10">
                  <c:v>2021/12</c:v>
                </c:pt>
                <c:pt idx="11">
                  <c:v>2022/3</c:v>
                </c:pt>
                <c:pt idx="12">
                  <c:v>2022/6</c:v>
                </c:pt>
                <c:pt idx="13">
                  <c:v>2022/9</c:v>
                </c:pt>
                <c:pt idx="14">
                  <c:v>2022/12</c:v>
                </c:pt>
              </c:strCache>
            </c:strRef>
          </c:cat>
          <c:val>
            <c:numRef>
              <c:f>'Büyüme Oranları'!$C$9:$Q$9</c:f>
              <c:numCache>
                <c:formatCode>0.00</c:formatCode>
                <c:ptCount val="15"/>
                <c:pt idx="0">
                  <c:v>2.6486657589410482E-2</c:v>
                </c:pt>
                <c:pt idx="1">
                  <c:v>4.2106667678014131E-2</c:v>
                </c:pt>
                <c:pt idx="2">
                  <c:v>3.8529233117690319E-2</c:v>
                </c:pt>
                <c:pt idx="3">
                  <c:v>2.1055614780874777E-3</c:v>
                </c:pt>
                <c:pt idx="4">
                  <c:v>-8.6478180462906354E-2</c:v>
                </c:pt>
                <c:pt idx="5">
                  <c:v>0.11419189522666254</c:v>
                </c:pt>
                <c:pt idx="6">
                  <c:v>0.23651754756012525</c:v>
                </c:pt>
                <c:pt idx="7">
                  <c:v>0.13927880757770958</c:v>
                </c:pt>
                <c:pt idx="8">
                  <c:v>8.5292623538888029E-2</c:v>
                </c:pt>
                <c:pt idx="9">
                  <c:v>8.9533721543270245E-2</c:v>
                </c:pt>
                <c:pt idx="10">
                  <c:v>6.7286670694464243E-2</c:v>
                </c:pt>
                <c:pt idx="11">
                  <c:v>0.16346100374201536</c:v>
                </c:pt>
                <c:pt idx="12">
                  <c:v>0.2698271704785945</c:v>
                </c:pt>
                <c:pt idx="13">
                  <c:v>0.297555952424018</c:v>
                </c:pt>
                <c:pt idx="14">
                  <c:v>0.26042062740937821</c:v>
                </c:pt>
              </c:numCache>
            </c:numRef>
          </c:val>
          <c:extLst>
            <c:ext xmlns:c16="http://schemas.microsoft.com/office/drawing/2014/chart" uri="{C3380CC4-5D6E-409C-BE32-E72D297353CC}">
              <c16:uniqueId val="{00000000-DA9D-4631-871C-97BF8C849E5D}"/>
            </c:ext>
          </c:extLst>
        </c:ser>
        <c:ser>
          <c:idx val="1"/>
          <c:order val="1"/>
          <c:tx>
            <c:strRef>
              <c:f>'Büyüme Oranları'!$A$10</c:f>
              <c:strCache>
                <c:ptCount val="1"/>
                <c:pt idx="0">
                  <c:v>Dönem Karındaki Büyüme Oranı</c:v>
                </c:pt>
              </c:strCache>
            </c:strRef>
          </c:tx>
          <c:spPr>
            <a:solidFill>
              <a:schemeClr val="accent2"/>
            </a:solidFill>
            <a:ln>
              <a:noFill/>
            </a:ln>
            <a:effectLst/>
          </c:spPr>
          <c:invertIfNegative val="0"/>
          <c:cat>
            <c:strRef>
              <c:f>'Büyüme Oranları'!$C$4:$Q$4</c:f>
              <c:strCache>
                <c:ptCount val="15"/>
                <c:pt idx="0">
                  <c:v>2019/6</c:v>
                </c:pt>
                <c:pt idx="1">
                  <c:v>2019/9</c:v>
                </c:pt>
                <c:pt idx="2">
                  <c:v>2019/12</c:v>
                </c:pt>
                <c:pt idx="3">
                  <c:v>2020/3</c:v>
                </c:pt>
                <c:pt idx="4">
                  <c:v>2020/6</c:v>
                </c:pt>
                <c:pt idx="5">
                  <c:v>2020/9</c:v>
                </c:pt>
                <c:pt idx="6">
                  <c:v>2020/12</c:v>
                </c:pt>
                <c:pt idx="7">
                  <c:v>2021/3</c:v>
                </c:pt>
                <c:pt idx="8">
                  <c:v>2021/6</c:v>
                </c:pt>
                <c:pt idx="9">
                  <c:v>2021/9</c:v>
                </c:pt>
                <c:pt idx="10">
                  <c:v>2021/12</c:v>
                </c:pt>
                <c:pt idx="11">
                  <c:v>2022/3</c:v>
                </c:pt>
                <c:pt idx="12">
                  <c:v>2022/6</c:v>
                </c:pt>
                <c:pt idx="13">
                  <c:v>2022/9</c:v>
                </c:pt>
                <c:pt idx="14">
                  <c:v>2022/12</c:v>
                </c:pt>
              </c:strCache>
            </c:strRef>
          </c:cat>
          <c:val>
            <c:numRef>
              <c:f>'Büyüme Oranları'!$C$10:$Q$10</c:f>
              <c:numCache>
                <c:formatCode>0.00</c:formatCode>
                <c:ptCount val="15"/>
                <c:pt idx="0">
                  <c:v>-4.3916013213094407E-2</c:v>
                </c:pt>
                <c:pt idx="1">
                  <c:v>6.0848233326174478E-2</c:v>
                </c:pt>
                <c:pt idx="2">
                  <c:v>0.11744152559529411</c:v>
                </c:pt>
                <c:pt idx="3">
                  <c:v>7.730045256812508E-2</c:v>
                </c:pt>
                <c:pt idx="4">
                  <c:v>-6.1735149953599154E-2</c:v>
                </c:pt>
                <c:pt idx="5">
                  <c:v>0.45634400719365981</c:v>
                </c:pt>
                <c:pt idx="6">
                  <c:v>0.4543032494904633</c:v>
                </c:pt>
                <c:pt idx="7">
                  <c:v>0.28366380899913779</c:v>
                </c:pt>
                <c:pt idx="8">
                  <c:v>0.13355876793779892</c:v>
                </c:pt>
                <c:pt idx="9">
                  <c:v>8.7468932527289656E-2</c:v>
                </c:pt>
                <c:pt idx="10">
                  <c:v>0.32585830483063494</c:v>
                </c:pt>
                <c:pt idx="11">
                  <c:v>0.11162418382900589</c:v>
                </c:pt>
                <c:pt idx="12">
                  <c:v>0.27648836141999567</c:v>
                </c:pt>
                <c:pt idx="13">
                  <c:v>0.15406333985377962</c:v>
                </c:pt>
                <c:pt idx="14">
                  <c:v>0.29152144175698519</c:v>
                </c:pt>
              </c:numCache>
            </c:numRef>
          </c:val>
          <c:extLst>
            <c:ext xmlns:c16="http://schemas.microsoft.com/office/drawing/2014/chart" uri="{C3380CC4-5D6E-409C-BE32-E72D297353CC}">
              <c16:uniqueId val="{00000001-DA9D-4631-871C-97BF8C849E5D}"/>
            </c:ext>
          </c:extLst>
        </c:ser>
        <c:ser>
          <c:idx val="2"/>
          <c:order val="2"/>
          <c:tx>
            <c:strRef>
              <c:f>'Büyüme Oranları'!$A$11</c:f>
              <c:strCache>
                <c:ptCount val="1"/>
                <c:pt idx="0">
                  <c:v>Varlıklardaki Büyüme Oranı</c:v>
                </c:pt>
              </c:strCache>
            </c:strRef>
          </c:tx>
          <c:spPr>
            <a:solidFill>
              <a:schemeClr val="accent3"/>
            </a:solidFill>
            <a:ln>
              <a:noFill/>
            </a:ln>
            <a:effectLst/>
          </c:spPr>
          <c:invertIfNegative val="0"/>
          <c:cat>
            <c:strRef>
              <c:f>'Büyüme Oranları'!$C$4:$Q$4</c:f>
              <c:strCache>
                <c:ptCount val="15"/>
                <c:pt idx="0">
                  <c:v>2019/6</c:v>
                </c:pt>
                <c:pt idx="1">
                  <c:v>2019/9</c:v>
                </c:pt>
                <c:pt idx="2">
                  <c:v>2019/12</c:v>
                </c:pt>
                <c:pt idx="3">
                  <c:v>2020/3</c:v>
                </c:pt>
                <c:pt idx="4">
                  <c:v>2020/6</c:v>
                </c:pt>
                <c:pt idx="5">
                  <c:v>2020/9</c:v>
                </c:pt>
                <c:pt idx="6">
                  <c:v>2020/12</c:v>
                </c:pt>
                <c:pt idx="7">
                  <c:v>2021/3</c:v>
                </c:pt>
                <c:pt idx="8">
                  <c:v>2021/6</c:v>
                </c:pt>
                <c:pt idx="9">
                  <c:v>2021/9</c:v>
                </c:pt>
                <c:pt idx="10">
                  <c:v>2021/12</c:v>
                </c:pt>
                <c:pt idx="11">
                  <c:v>2022/3</c:v>
                </c:pt>
                <c:pt idx="12">
                  <c:v>2022/6</c:v>
                </c:pt>
                <c:pt idx="13">
                  <c:v>2022/9</c:v>
                </c:pt>
                <c:pt idx="14">
                  <c:v>2022/12</c:v>
                </c:pt>
              </c:strCache>
            </c:strRef>
          </c:cat>
          <c:val>
            <c:numRef>
              <c:f>'Büyüme Oranları'!$C$11:$Q$11</c:f>
              <c:numCache>
                <c:formatCode>0.00</c:formatCode>
                <c:ptCount val="15"/>
                <c:pt idx="0">
                  <c:v>4.3090366220341576E-2</c:v>
                </c:pt>
                <c:pt idx="1">
                  <c:v>-8.3926717143976801E-2</c:v>
                </c:pt>
                <c:pt idx="2">
                  <c:v>0.12744258512338674</c:v>
                </c:pt>
                <c:pt idx="3">
                  <c:v>0.1002492202419889</c:v>
                </c:pt>
                <c:pt idx="4">
                  <c:v>6.3182527733216004E-2</c:v>
                </c:pt>
                <c:pt idx="5">
                  <c:v>0.25425993397532215</c:v>
                </c:pt>
                <c:pt idx="6">
                  <c:v>1.154525706371122E-2</c:v>
                </c:pt>
                <c:pt idx="7">
                  <c:v>0.40439466152020975</c:v>
                </c:pt>
                <c:pt idx="8">
                  <c:v>-0.12328221515255489</c:v>
                </c:pt>
                <c:pt idx="9">
                  <c:v>0.18843896401201382</c:v>
                </c:pt>
                <c:pt idx="10">
                  <c:v>0.20104989854204677</c:v>
                </c:pt>
                <c:pt idx="11">
                  <c:v>0.55120793184787187</c:v>
                </c:pt>
                <c:pt idx="12">
                  <c:v>0.2377773160967947</c:v>
                </c:pt>
                <c:pt idx="13">
                  <c:v>7.7159459428769506E-2</c:v>
                </c:pt>
                <c:pt idx="14">
                  <c:v>8.5284876774010865E-2</c:v>
                </c:pt>
              </c:numCache>
            </c:numRef>
          </c:val>
          <c:extLst>
            <c:ext xmlns:c16="http://schemas.microsoft.com/office/drawing/2014/chart" uri="{C3380CC4-5D6E-409C-BE32-E72D297353CC}">
              <c16:uniqueId val="{00000002-DA9D-4631-871C-97BF8C849E5D}"/>
            </c:ext>
          </c:extLst>
        </c:ser>
        <c:ser>
          <c:idx val="3"/>
          <c:order val="3"/>
          <c:tx>
            <c:strRef>
              <c:f>'Büyüme Oranları'!$A$12</c:f>
              <c:strCache>
                <c:ptCount val="1"/>
                <c:pt idx="0">
                  <c:v>Öz Kaynaklardaki Büyüme Oranı</c:v>
                </c:pt>
              </c:strCache>
            </c:strRef>
          </c:tx>
          <c:spPr>
            <a:solidFill>
              <a:schemeClr val="accent4"/>
            </a:solidFill>
            <a:ln>
              <a:noFill/>
            </a:ln>
            <a:effectLst/>
          </c:spPr>
          <c:invertIfNegative val="0"/>
          <c:cat>
            <c:strRef>
              <c:f>'Büyüme Oranları'!$C$4:$Q$4</c:f>
              <c:strCache>
                <c:ptCount val="15"/>
                <c:pt idx="0">
                  <c:v>2019/6</c:v>
                </c:pt>
                <c:pt idx="1">
                  <c:v>2019/9</c:v>
                </c:pt>
                <c:pt idx="2">
                  <c:v>2019/12</c:v>
                </c:pt>
                <c:pt idx="3">
                  <c:v>2020/3</c:v>
                </c:pt>
                <c:pt idx="4">
                  <c:v>2020/6</c:v>
                </c:pt>
                <c:pt idx="5">
                  <c:v>2020/9</c:v>
                </c:pt>
                <c:pt idx="6">
                  <c:v>2020/12</c:v>
                </c:pt>
                <c:pt idx="7">
                  <c:v>2021/3</c:v>
                </c:pt>
                <c:pt idx="8">
                  <c:v>2021/6</c:v>
                </c:pt>
                <c:pt idx="9">
                  <c:v>2021/9</c:v>
                </c:pt>
                <c:pt idx="10">
                  <c:v>2021/12</c:v>
                </c:pt>
                <c:pt idx="11">
                  <c:v>2022/3</c:v>
                </c:pt>
                <c:pt idx="12">
                  <c:v>2022/6</c:v>
                </c:pt>
                <c:pt idx="13">
                  <c:v>2022/9</c:v>
                </c:pt>
                <c:pt idx="14">
                  <c:v>2022/12</c:v>
                </c:pt>
              </c:strCache>
            </c:strRef>
          </c:cat>
          <c:val>
            <c:numRef>
              <c:f>'Büyüme Oranları'!$C$12:$Q$12</c:f>
              <c:numCache>
                <c:formatCode>0.00</c:formatCode>
                <c:ptCount val="15"/>
                <c:pt idx="0">
                  <c:v>2.1150858208712875E-2</c:v>
                </c:pt>
                <c:pt idx="1">
                  <c:v>0.19918704645331053</c:v>
                </c:pt>
                <c:pt idx="2">
                  <c:v>-8.3614654320432288E-2</c:v>
                </c:pt>
                <c:pt idx="3">
                  <c:v>0.11276075200416041</c:v>
                </c:pt>
                <c:pt idx="4">
                  <c:v>-6.3401414117401841E-2</c:v>
                </c:pt>
                <c:pt idx="5">
                  <c:v>-8.5418488683680297E-3</c:v>
                </c:pt>
                <c:pt idx="6">
                  <c:v>0.46129980733560305</c:v>
                </c:pt>
                <c:pt idx="7">
                  <c:v>0.28834401727905923</c:v>
                </c:pt>
                <c:pt idx="8">
                  <c:v>8.7587406634667297E-2</c:v>
                </c:pt>
                <c:pt idx="9">
                  <c:v>0.14236477618340027</c:v>
                </c:pt>
                <c:pt idx="10">
                  <c:v>-9.990290854840253E-2</c:v>
                </c:pt>
                <c:pt idx="11">
                  <c:v>0.22138469600251781</c:v>
                </c:pt>
                <c:pt idx="12">
                  <c:v>0.19734263128940566</c:v>
                </c:pt>
                <c:pt idx="13">
                  <c:v>0.13085363197933561</c:v>
                </c:pt>
                <c:pt idx="14">
                  <c:v>0.27519643925053949</c:v>
                </c:pt>
              </c:numCache>
            </c:numRef>
          </c:val>
          <c:extLst>
            <c:ext xmlns:c16="http://schemas.microsoft.com/office/drawing/2014/chart" uri="{C3380CC4-5D6E-409C-BE32-E72D297353CC}">
              <c16:uniqueId val="{00000003-DA9D-4631-871C-97BF8C849E5D}"/>
            </c:ext>
          </c:extLst>
        </c:ser>
        <c:dLbls>
          <c:showLegendKey val="0"/>
          <c:showVal val="0"/>
          <c:showCatName val="0"/>
          <c:showSerName val="0"/>
          <c:showPercent val="0"/>
          <c:showBubbleSize val="0"/>
        </c:dLbls>
        <c:gapWidth val="150"/>
        <c:axId val="1251389679"/>
        <c:axId val="1251390639"/>
      </c:barChart>
      <c:catAx>
        <c:axId val="1251389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51390639"/>
        <c:crosses val="autoZero"/>
        <c:auto val="1"/>
        <c:lblAlgn val="ctr"/>
        <c:lblOffset val="100"/>
        <c:noMultiLvlLbl val="0"/>
      </c:catAx>
      <c:valAx>
        <c:axId val="12513906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251389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'Finansal Performansın Ölçümü'!$A$5</c:f>
              <c:strCache>
                <c:ptCount val="1"/>
                <c:pt idx="0">
                  <c:v>Özkaynak Karlılık Oranı</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'Finansal Performansın Ölçümü'!$F$4:$Q$4</c:f>
              <c:strCache>
                <c:ptCount val="12"/>
                <c:pt idx="0">
                  <c:v>2020/3</c:v>
                </c:pt>
                <c:pt idx="1">
                  <c:v>2020/6</c:v>
                </c:pt>
                <c:pt idx="2">
                  <c:v>2020/9</c:v>
                </c:pt>
                <c:pt idx="3">
                  <c:v>2020/12</c:v>
                </c:pt>
                <c:pt idx="4">
                  <c:v>2021/3</c:v>
                </c:pt>
                <c:pt idx="5">
                  <c:v>2021/6</c:v>
                </c:pt>
                <c:pt idx="6">
                  <c:v>2021/9</c:v>
                </c:pt>
                <c:pt idx="7">
                  <c:v>2021/12</c:v>
                </c:pt>
                <c:pt idx="8">
                  <c:v>2022/3</c:v>
                </c:pt>
                <c:pt idx="9">
                  <c:v>2022/6</c:v>
                </c:pt>
                <c:pt idx="10">
                  <c:v>2022/9</c:v>
                </c:pt>
                <c:pt idx="11">
                  <c:v>2022/12</c:v>
                </c:pt>
              </c:strCache>
            </c:strRef>
          </c:cat>
          <c:val>
            <c:numRef>
              <c:f>'Finansal Performansın Ölçümü'!$F$5:$Q$5</c:f>
              <c:numCache>
                <c:formatCode>0.00</c:formatCode>
                <c:ptCount val="12"/>
                <c:pt idx="0">
                  <c:v>0.45163590617488392</c:v>
                </c:pt>
                <c:pt idx="1">
                  <c:v>0.43497686300290889</c:v>
                </c:pt>
                <c:pt idx="2">
                  <c:v>0.58208495604723143</c:v>
                </c:pt>
                <c:pt idx="3">
                  <c:v>0.7165388015516162</c:v>
                </c:pt>
                <c:pt idx="4">
                  <c:v>0.75492667484934362</c:v>
                </c:pt>
                <c:pt idx="5">
                  <c:v>0.82869916132951837</c:v>
                </c:pt>
                <c:pt idx="6">
                  <c:v>0.8248363677301781</c:v>
                </c:pt>
                <c:pt idx="7">
                  <c:v>1.0238226802012977</c:v>
                </c:pt>
                <c:pt idx="8">
                  <c:v>0.91134620864472948</c:v>
                </c:pt>
                <c:pt idx="9">
                  <c:v>1.0107486457763333</c:v>
                </c:pt>
                <c:pt idx="10">
                  <c:v>1.0273166260192592</c:v>
                </c:pt>
                <c:pt idx="11">
                  <c:v>1.1799380628874556</c:v>
                </c:pt>
              </c:numCache>
            </c:numRef>
          </c:val>
          <c:smooth val="0"/>
          <c:extLst>
            <c:ext xmlns:c16="http://schemas.microsoft.com/office/drawing/2014/chart" uri="{C3380CC4-5D6E-409C-BE32-E72D297353CC}">
              <c16:uniqueId val="{00000000-0144-4249-8894-05046590474C}"/>
            </c:ext>
          </c:extLst>
        </c:ser>
        <c:ser>
          <c:idx val="1"/>
          <c:order val="1"/>
          <c:tx>
            <c:strRef>
              <c:f>'Finansal Performansın Ölçümü'!$A$9</c:f>
              <c:strCache>
                <c:ptCount val="1"/>
                <c:pt idx="0">
                  <c:v>Finansal Kaldıraç Oranı</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'Finansal Performansın Ölçümü'!$F$4:$Q$4</c:f>
              <c:strCache>
                <c:ptCount val="12"/>
                <c:pt idx="0">
                  <c:v>2020/3</c:v>
                </c:pt>
                <c:pt idx="1">
                  <c:v>2020/6</c:v>
                </c:pt>
                <c:pt idx="2">
                  <c:v>2020/9</c:v>
                </c:pt>
                <c:pt idx="3">
                  <c:v>2020/12</c:v>
                </c:pt>
                <c:pt idx="4">
                  <c:v>2021/3</c:v>
                </c:pt>
                <c:pt idx="5">
                  <c:v>2021/6</c:v>
                </c:pt>
                <c:pt idx="6">
                  <c:v>2021/9</c:v>
                </c:pt>
                <c:pt idx="7">
                  <c:v>2021/12</c:v>
                </c:pt>
                <c:pt idx="8">
                  <c:v>2022/3</c:v>
                </c:pt>
                <c:pt idx="9">
                  <c:v>2022/6</c:v>
                </c:pt>
                <c:pt idx="10">
                  <c:v>2022/9</c:v>
                </c:pt>
                <c:pt idx="11">
                  <c:v>2022/12</c:v>
                </c:pt>
              </c:strCache>
            </c:strRef>
          </c:cat>
          <c:val>
            <c:numRef>
              <c:f>'Finansal Performansın Ölçümü'!$F$9:$Q$9</c:f>
              <c:numCache>
                <c:formatCode>0.00</c:formatCode>
                <c:ptCount val="12"/>
                <c:pt idx="0">
                  <c:v>0.71243073413041136</c:v>
                </c:pt>
                <c:pt idx="1">
                  <c:v>0.74666911773747824</c:v>
                </c:pt>
                <c:pt idx="2">
                  <c:v>0.79974887074923762</c:v>
                </c:pt>
                <c:pt idx="3">
                  <c:v>0.71071295668736922</c:v>
                </c:pt>
                <c:pt idx="4">
                  <c:v>0.73461788075672441</c:v>
                </c:pt>
                <c:pt idx="5">
                  <c:v>0.67078773144173287</c:v>
                </c:pt>
                <c:pt idx="6">
                  <c:v>0.68355085042079411</c:v>
                </c:pt>
                <c:pt idx="7">
                  <c:v>0.76284502461193693</c:v>
                </c:pt>
                <c:pt idx="8">
                  <c:v>0.81326974187478507</c:v>
                </c:pt>
                <c:pt idx="9">
                  <c:v>0.81936969138355842</c:v>
                </c:pt>
                <c:pt idx="10">
                  <c:v>0.81036564386411625</c:v>
                </c:pt>
                <c:pt idx="11">
                  <c:v>0.77718195390056832</c:v>
                </c:pt>
              </c:numCache>
            </c:numRef>
          </c:val>
          <c:smooth val="0"/>
          <c:extLst>
            <c:ext xmlns:c16="http://schemas.microsoft.com/office/drawing/2014/chart" uri="{C3380CC4-5D6E-409C-BE32-E72D297353CC}">
              <c16:uniqueId val="{00000001-0144-4249-8894-05046590474C}"/>
            </c:ext>
          </c:extLst>
        </c:ser>
        <c:dLbls>
          <c:dLblPos val="t"/>
          <c:showLegendKey val="0"/>
          <c:showVal val="1"/>
          <c:showCatName val="0"/>
          <c:showSerName val="0"/>
          <c:showPercent val="0"/>
          <c:showBubbleSize val="0"/>
        </c:dLbls>
        <c:smooth val="0"/>
        <c:axId val="719312623"/>
        <c:axId val="719313103"/>
      </c:lineChart>
      <c:catAx>
        <c:axId val="71931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19313103"/>
        <c:crosses val="autoZero"/>
        <c:auto val="1"/>
        <c:lblAlgn val="ctr"/>
        <c:lblOffset val="100"/>
        <c:noMultiLvlLbl val="0"/>
      </c:catAx>
      <c:valAx>
        <c:axId val="7193131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193126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Maliyet</a:t>
            </a:r>
            <a:r>
              <a:rPr lang="tr-TR" baseline="0"/>
              <a:t> Etkinliği</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lineChart>
        <c:grouping val="standard"/>
        <c:varyColors val="0"/>
        <c:ser>
          <c:idx val="1"/>
          <c:order val="1"/>
          <c:tx>
            <c:strRef>
              <c:f>'Maliyet Etkinliği'!$A$18</c:f>
              <c:strCache>
                <c:ptCount val="1"/>
                <c:pt idx="0">
                  <c:v>Net Finansman Gideri/Net Satışlar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'Maliyet Etkinliği'!$B$4:$Q$4</c:f>
              <c:strCache>
                <c:ptCount val="16"/>
                <c:pt idx="0">
                  <c:v>2019/3</c:v>
                </c:pt>
                <c:pt idx="1">
                  <c:v>2019/6</c:v>
                </c:pt>
                <c:pt idx="2">
                  <c:v>2019/9</c:v>
                </c:pt>
                <c:pt idx="3">
                  <c:v>2019/12</c:v>
                </c:pt>
                <c:pt idx="4">
                  <c:v>2020/3</c:v>
                </c:pt>
                <c:pt idx="5">
                  <c:v>2020/6</c:v>
                </c:pt>
                <c:pt idx="6">
                  <c:v>2020/9</c:v>
                </c:pt>
                <c:pt idx="7">
                  <c:v>2020/12</c:v>
                </c:pt>
                <c:pt idx="8">
                  <c:v>2021/3</c:v>
                </c:pt>
                <c:pt idx="9">
                  <c:v>2021/6</c:v>
                </c:pt>
                <c:pt idx="10">
                  <c:v>2021/9</c:v>
                </c:pt>
                <c:pt idx="11">
                  <c:v>2021/12</c:v>
                </c:pt>
                <c:pt idx="12">
                  <c:v>2022/3</c:v>
                </c:pt>
                <c:pt idx="13">
                  <c:v>2022/6</c:v>
                </c:pt>
                <c:pt idx="14">
                  <c:v>2022/9</c:v>
                </c:pt>
                <c:pt idx="15">
                  <c:v>2022/12</c:v>
                </c:pt>
              </c:strCache>
            </c:strRef>
          </c:cat>
          <c:val>
            <c:numRef>
              <c:f>'Maliyet Etkinliği'!$B$18:$Q$18</c:f>
              <c:numCache>
                <c:formatCode>0.00</c:formatCode>
                <c:ptCount val="16"/>
                <c:pt idx="0">
                  <c:v>1.3583724003269262</c:v>
                </c:pt>
                <c:pt idx="1">
                  <c:v>1.8238087410755326</c:v>
                </c:pt>
                <c:pt idx="2">
                  <c:v>1.0176193685828983</c:v>
                </c:pt>
                <c:pt idx="3">
                  <c:v>1.2003105714019522</c:v>
                </c:pt>
                <c:pt idx="4">
                  <c:v>1.9504710829714362</c:v>
                </c:pt>
                <c:pt idx="5">
                  <c:v>2.47232079947449</c:v>
                </c:pt>
                <c:pt idx="6">
                  <c:v>1.5991785803877958</c:v>
                </c:pt>
                <c:pt idx="7">
                  <c:v>1.4125401932446533</c:v>
                </c:pt>
                <c:pt idx="8">
                  <c:v>-0.57867711503935426</c:v>
                </c:pt>
                <c:pt idx="9">
                  <c:v>3.9993662536962307E-2</c:v>
                </c:pt>
                <c:pt idx="10">
                  <c:v>-0.30088382652843654</c:v>
                </c:pt>
                <c:pt idx="11">
                  <c:v>1.0068556030330715</c:v>
                </c:pt>
                <c:pt idx="12">
                  <c:v>2.9592603786174161</c:v>
                </c:pt>
                <c:pt idx="13">
                  <c:v>2.4715789139504922</c:v>
                </c:pt>
                <c:pt idx="14">
                  <c:v>1.926775764525112</c:v>
                </c:pt>
                <c:pt idx="15">
                  <c:v>2.0391630810665027</c:v>
                </c:pt>
              </c:numCache>
            </c:numRef>
          </c:val>
          <c:smooth val="0"/>
          <c:extLst>
            <c:ext xmlns:c16="http://schemas.microsoft.com/office/drawing/2014/chart" uri="{C3380CC4-5D6E-409C-BE32-E72D297353CC}">
              <c16:uniqueId val="{00000001-A2F1-42E4-A6BE-9D3DDE13060C}"/>
            </c:ext>
          </c:extLst>
        </c:ser>
        <c:ser>
          <c:idx val="2"/>
          <c:order val="2"/>
          <c:tx>
            <c:strRef>
              <c:f>'Maliyet Etkinliği'!$A$19</c:f>
              <c:strCache>
                <c:ptCount val="1"/>
                <c:pt idx="0">
                  <c:v>Esas Faaliyet Giderleri/Net Satışlar (Yıllık)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'Maliyet Etkinliği'!$B$4:$Q$4</c:f>
              <c:strCache>
                <c:ptCount val="16"/>
                <c:pt idx="0">
                  <c:v>2019/3</c:v>
                </c:pt>
                <c:pt idx="1">
                  <c:v>2019/6</c:v>
                </c:pt>
                <c:pt idx="2">
                  <c:v>2019/9</c:v>
                </c:pt>
                <c:pt idx="3">
                  <c:v>2019/12</c:v>
                </c:pt>
                <c:pt idx="4">
                  <c:v>2020/3</c:v>
                </c:pt>
                <c:pt idx="5">
                  <c:v>2020/6</c:v>
                </c:pt>
                <c:pt idx="6">
                  <c:v>2020/9</c:v>
                </c:pt>
                <c:pt idx="7">
                  <c:v>2020/12</c:v>
                </c:pt>
                <c:pt idx="8">
                  <c:v>2021/3</c:v>
                </c:pt>
                <c:pt idx="9">
                  <c:v>2021/6</c:v>
                </c:pt>
                <c:pt idx="10">
                  <c:v>2021/9</c:v>
                </c:pt>
                <c:pt idx="11">
                  <c:v>2021/12</c:v>
                </c:pt>
                <c:pt idx="12">
                  <c:v>2022/3</c:v>
                </c:pt>
                <c:pt idx="13">
                  <c:v>2022/6</c:v>
                </c:pt>
                <c:pt idx="14">
                  <c:v>2022/9</c:v>
                </c:pt>
                <c:pt idx="15">
                  <c:v>2022/12</c:v>
                </c:pt>
              </c:strCache>
            </c:strRef>
          </c:cat>
          <c:val>
            <c:numRef>
              <c:f>'Maliyet Etkinliği'!$B$19:$Q$19</c:f>
              <c:numCache>
                <c:formatCode>0.00</c:formatCode>
                <c:ptCount val="16"/>
                <c:pt idx="0">
                  <c:v>3.5060505344920245</c:v>
                </c:pt>
                <c:pt idx="1">
                  <c:v>3.5940512012318129</c:v>
                </c:pt>
                <c:pt idx="2">
                  <c:v>3.5579905818589697</c:v>
                </c:pt>
                <c:pt idx="3">
                  <c:v>3.676648987315903</c:v>
                </c:pt>
                <c:pt idx="4">
                  <c:v>3.8040622244320264</c:v>
                </c:pt>
                <c:pt idx="5">
                  <c:v>3.9036057346200357</c:v>
                </c:pt>
                <c:pt idx="6">
                  <c:v>3.7541955071906887</c:v>
                </c:pt>
                <c:pt idx="7">
                  <c:v>3.6797820535217531</c:v>
                </c:pt>
                <c:pt idx="8">
                  <c:v>3.4332399580112796</c:v>
                </c:pt>
                <c:pt idx="9">
                  <c:v>3.5611238972713637</c:v>
                </c:pt>
                <c:pt idx="10">
                  <c:v>3.4198622317902392</c:v>
                </c:pt>
                <c:pt idx="11">
                  <c:v>3.8600554718736482</c:v>
                </c:pt>
                <c:pt idx="12">
                  <c:v>3.9628368906500269</c:v>
                </c:pt>
                <c:pt idx="13">
                  <c:v>3.8612275166929098</c:v>
                </c:pt>
                <c:pt idx="14">
                  <c:v>3.6768768790272097</c:v>
                </c:pt>
                <c:pt idx="15">
                  <c:v>3.5558982315059442</c:v>
                </c:pt>
              </c:numCache>
            </c:numRef>
          </c:val>
          <c:smooth val="0"/>
          <c:extLst>
            <c:ext xmlns:c16="http://schemas.microsoft.com/office/drawing/2014/chart" uri="{C3380CC4-5D6E-409C-BE32-E72D297353CC}">
              <c16:uniqueId val="{00000002-A2F1-42E4-A6BE-9D3DDE13060C}"/>
            </c:ext>
          </c:extLst>
        </c:ser>
        <c:dLbls>
          <c:showLegendKey val="0"/>
          <c:showVal val="0"/>
          <c:showCatName val="0"/>
          <c:showSerName val="0"/>
          <c:showPercent val="0"/>
          <c:showBubbleSize val="0"/>
        </c:dLbls>
        <c:marker val="1"/>
        <c:smooth val="0"/>
        <c:axId val="1913734432"/>
        <c:axId val="1520147184"/>
      </c:lineChart>
      <c:lineChart>
        <c:grouping val="standard"/>
        <c:varyColors val="0"/>
        <c:ser>
          <c:idx val="0"/>
          <c:order val="0"/>
          <c:tx>
            <c:strRef>
              <c:f>'Maliyet Etkinliği'!$A$14</c:f>
              <c:strCache>
                <c:ptCount val="1"/>
                <c:pt idx="0">
                  <c:v>Satışların Maliyeti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'Maliyet Etkinliği'!$B$4:$Q$4</c:f>
              <c:strCache>
                <c:ptCount val="16"/>
                <c:pt idx="0">
                  <c:v>2019/3</c:v>
                </c:pt>
                <c:pt idx="1">
                  <c:v>2019/6</c:v>
                </c:pt>
                <c:pt idx="2">
                  <c:v>2019/9</c:v>
                </c:pt>
                <c:pt idx="3">
                  <c:v>2019/12</c:v>
                </c:pt>
                <c:pt idx="4">
                  <c:v>2020/3</c:v>
                </c:pt>
                <c:pt idx="5">
                  <c:v>2020/6</c:v>
                </c:pt>
                <c:pt idx="6">
                  <c:v>2020/9</c:v>
                </c:pt>
                <c:pt idx="7">
                  <c:v>2020/12</c:v>
                </c:pt>
                <c:pt idx="8">
                  <c:v>2021/3</c:v>
                </c:pt>
                <c:pt idx="9">
                  <c:v>2021/6</c:v>
                </c:pt>
                <c:pt idx="10">
                  <c:v>2021/9</c:v>
                </c:pt>
                <c:pt idx="11">
                  <c:v>2021/12</c:v>
                </c:pt>
                <c:pt idx="12">
                  <c:v>2022/3</c:v>
                </c:pt>
                <c:pt idx="13">
                  <c:v>2022/6</c:v>
                </c:pt>
                <c:pt idx="14">
                  <c:v>2022/9</c:v>
                </c:pt>
                <c:pt idx="15">
                  <c:v>2022/12</c:v>
                </c:pt>
              </c:strCache>
            </c:strRef>
          </c:cat>
          <c:val>
            <c:numRef>
              <c:f>'Maliyet Etkinliği'!$B$14:$Q$14</c:f>
              <c:numCache>
                <c:formatCode>0.00</c:formatCode>
                <c:ptCount val="16"/>
                <c:pt idx="0">
                  <c:v>89.67242430966877</c:v>
                </c:pt>
                <c:pt idx="1">
                  <c:v>89.801408235095451</c:v>
                </c:pt>
                <c:pt idx="2">
                  <c:v>89.87530768621977</c:v>
                </c:pt>
                <c:pt idx="3">
                  <c:v>89.759455598723349</c:v>
                </c:pt>
                <c:pt idx="4">
                  <c:v>89.455851809049349</c:v>
                </c:pt>
                <c:pt idx="5">
                  <c:v>89.271867451324056</c:v>
                </c:pt>
                <c:pt idx="6">
                  <c:v>88.623597089483042</c:v>
                </c:pt>
                <c:pt idx="7">
                  <c:v>87.489680526177949</c:v>
                </c:pt>
                <c:pt idx="8">
                  <c:v>87.250230480019681</c:v>
                </c:pt>
                <c:pt idx="9">
                  <c:v>86.881116643603178</c:v>
                </c:pt>
                <c:pt idx="10">
                  <c:v>86.953044585509602</c:v>
                </c:pt>
                <c:pt idx="11">
                  <c:v>84.312288820543785</c:v>
                </c:pt>
                <c:pt idx="12">
                  <c:v>84.520487342291119</c:v>
                </c:pt>
                <c:pt idx="13">
                  <c:v>84.348281587059219</c:v>
                </c:pt>
                <c:pt idx="14">
                  <c:v>85.466480621901283</c:v>
                </c:pt>
                <c:pt idx="15">
                  <c:v>86.064216687679277</c:v>
                </c:pt>
              </c:numCache>
            </c:numRef>
          </c:val>
          <c:smooth val="0"/>
          <c:extLst>
            <c:ext xmlns:c16="http://schemas.microsoft.com/office/drawing/2014/chart" uri="{C3380CC4-5D6E-409C-BE32-E72D297353CC}">
              <c16:uniqueId val="{00000000-A2F1-42E4-A6BE-9D3DDE13060C}"/>
            </c:ext>
          </c:extLst>
        </c:ser>
        <c:dLbls>
          <c:showLegendKey val="0"/>
          <c:showVal val="0"/>
          <c:showCatName val="0"/>
          <c:showSerName val="0"/>
          <c:showPercent val="0"/>
          <c:showBubbleSize val="0"/>
        </c:dLbls>
        <c:marker val="1"/>
        <c:smooth val="0"/>
        <c:axId val="1906614272"/>
        <c:axId val="1914849648"/>
      </c:lineChart>
      <c:catAx>
        <c:axId val="191373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520147184"/>
        <c:crosses val="autoZero"/>
        <c:auto val="1"/>
        <c:lblAlgn val="ctr"/>
        <c:lblOffset val="100"/>
        <c:noMultiLvlLbl val="0"/>
      </c:catAx>
      <c:valAx>
        <c:axId val="15201471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913734432"/>
        <c:crosses val="autoZero"/>
        <c:crossBetween val="between"/>
      </c:valAx>
      <c:valAx>
        <c:axId val="191484964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906614272"/>
        <c:crosses val="max"/>
        <c:crossBetween val="between"/>
      </c:valAx>
      <c:catAx>
        <c:axId val="1906614272"/>
        <c:scaling>
          <c:orientation val="minMax"/>
        </c:scaling>
        <c:delete val="1"/>
        <c:axPos val="b"/>
        <c:numFmt formatCode="General" sourceLinked="1"/>
        <c:majorTickMark val="out"/>
        <c:minorTickMark val="none"/>
        <c:tickLblPos val="nextTo"/>
        <c:crossAx val="191484964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lineChart>
        <c:grouping val="standard"/>
        <c:varyColors val="0"/>
        <c:ser>
          <c:idx val="0"/>
          <c:order val="0"/>
          <c:tx>
            <c:strRef>
              <c:f>'Maliyet Etkinliği'!$A$20</c:f>
              <c:strCache>
                <c:ptCount val="1"/>
                <c:pt idx="0">
                  <c:v>100 TL'lik Satıştan Elde Edilen Kar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'Maliyet Etkinliği'!$B$4:$Q$4</c:f>
              <c:strCache>
                <c:ptCount val="16"/>
                <c:pt idx="0">
                  <c:v>2019/3</c:v>
                </c:pt>
                <c:pt idx="1">
                  <c:v>2019/6</c:v>
                </c:pt>
                <c:pt idx="2">
                  <c:v>2019/9</c:v>
                </c:pt>
                <c:pt idx="3">
                  <c:v>2019/12</c:v>
                </c:pt>
                <c:pt idx="4">
                  <c:v>2020/3</c:v>
                </c:pt>
                <c:pt idx="5">
                  <c:v>2020/6</c:v>
                </c:pt>
                <c:pt idx="6">
                  <c:v>2020/9</c:v>
                </c:pt>
                <c:pt idx="7">
                  <c:v>2020/12</c:v>
                </c:pt>
                <c:pt idx="8">
                  <c:v>2021/3</c:v>
                </c:pt>
                <c:pt idx="9">
                  <c:v>2021/6</c:v>
                </c:pt>
                <c:pt idx="10">
                  <c:v>2021/9</c:v>
                </c:pt>
                <c:pt idx="11">
                  <c:v>2021/12</c:v>
                </c:pt>
                <c:pt idx="12">
                  <c:v>2022/3</c:v>
                </c:pt>
                <c:pt idx="13">
                  <c:v>2022/6</c:v>
                </c:pt>
                <c:pt idx="14">
                  <c:v>2022/9</c:v>
                </c:pt>
                <c:pt idx="15">
                  <c:v>2022/12</c:v>
                </c:pt>
              </c:strCache>
            </c:strRef>
          </c:cat>
          <c:val>
            <c:numRef>
              <c:f>'Maliyet Etkinliği'!$B$20:$Q$20</c:f>
              <c:numCache>
                <c:formatCode>0.00</c:formatCode>
                <c:ptCount val="16"/>
                <c:pt idx="0">
                  <c:v>5.463152755512283</c:v>
                </c:pt>
                <c:pt idx="1">
                  <c:v>4.780731822597204</c:v>
                </c:pt>
                <c:pt idx="2">
                  <c:v>5.549082363338357</c:v>
                </c:pt>
                <c:pt idx="3">
                  <c:v>5.3635848425587938</c:v>
                </c:pt>
                <c:pt idx="4">
                  <c:v>4.7896148835471877</c:v>
                </c:pt>
                <c:pt idx="5">
                  <c:v>4.3522060145814265</c:v>
                </c:pt>
                <c:pt idx="6">
                  <c:v>6.0230288229384712</c:v>
                </c:pt>
                <c:pt idx="7">
                  <c:v>7.4179972270556505</c:v>
                </c:pt>
                <c:pt idx="8">
                  <c:v>9.8952066770083889</c:v>
                </c:pt>
                <c:pt idx="9">
                  <c:v>9.5177657965885061</c:v>
                </c:pt>
                <c:pt idx="10">
                  <c:v>9.9279770092285986</c:v>
                </c:pt>
                <c:pt idx="11">
                  <c:v>10.820800104549491</c:v>
                </c:pt>
                <c:pt idx="12">
                  <c:v>8.5574153884414415</c:v>
                </c:pt>
                <c:pt idx="13">
                  <c:v>9.3189119822973794</c:v>
                </c:pt>
                <c:pt idx="14">
                  <c:v>8.929866734546394</c:v>
                </c:pt>
                <c:pt idx="15">
                  <c:v>8.3407219997482684</c:v>
                </c:pt>
              </c:numCache>
            </c:numRef>
          </c:val>
          <c:smooth val="0"/>
          <c:extLst>
            <c:ext xmlns:c16="http://schemas.microsoft.com/office/drawing/2014/chart" uri="{C3380CC4-5D6E-409C-BE32-E72D297353CC}">
              <c16:uniqueId val="{00000000-E240-4855-B89D-682A4CD4D2E2}"/>
            </c:ext>
          </c:extLst>
        </c:ser>
        <c:dLbls>
          <c:dLblPos val="t"/>
          <c:showLegendKey val="0"/>
          <c:showVal val="1"/>
          <c:showCatName val="0"/>
          <c:showSerName val="0"/>
          <c:showPercent val="0"/>
          <c:showBubbleSize val="0"/>
        </c:dLbls>
        <c:marker val="1"/>
        <c:smooth val="0"/>
        <c:axId val="1906558128"/>
        <c:axId val="1849191808"/>
      </c:lineChart>
      <c:catAx>
        <c:axId val="190655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849191808"/>
        <c:crosses val="autoZero"/>
        <c:auto val="1"/>
        <c:lblAlgn val="ctr"/>
        <c:lblOffset val="100"/>
        <c:noMultiLvlLbl val="0"/>
      </c:catAx>
      <c:valAx>
        <c:axId val="18491918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90655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F/K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Değerleme!$A$14</c:f>
              <c:strCache>
                <c:ptCount val="1"/>
                <c:pt idx="0">
                  <c:v>F/K</c:v>
                </c:pt>
              </c:strCache>
            </c:strRef>
          </c:tx>
          <c:spPr>
            <a:solidFill>
              <a:schemeClr val="accent1"/>
            </a:solidFill>
            <a:ln>
              <a:noFill/>
            </a:ln>
            <a:effectLst/>
          </c:spPr>
          <c:invertIfNegative val="0"/>
          <c:cat>
            <c:strRef>
              <c:f>Değerleme!$B$4:$R$4</c:f>
              <c:strCache>
                <c:ptCount val="17"/>
                <c:pt idx="0">
                  <c:v>2019/3</c:v>
                </c:pt>
                <c:pt idx="1">
                  <c:v>2019/6</c:v>
                </c:pt>
                <c:pt idx="2">
                  <c:v>2019/9</c:v>
                </c:pt>
                <c:pt idx="3">
                  <c:v>2019/12</c:v>
                </c:pt>
                <c:pt idx="4">
                  <c:v>2020/3</c:v>
                </c:pt>
                <c:pt idx="5">
                  <c:v>2020/6</c:v>
                </c:pt>
                <c:pt idx="6">
                  <c:v>2020/9</c:v>
                </c:pt>
                <c:pt idx="7">
                  <c:v>2020/12</c:v>
                </c:pt>
                <c:pt idx="8">
                  <c:v>2021/3</c:v>
                </c:pt>
                <c:pt idx="9">
                  <c:v>2021/6</c:v>
                </c:pt>
                <c:pt idx="10">
                  <c:v>2021/9</c:v>
                </c:pt>
                <c:pt idx="11">
                  <c:v>2021/12</c:v>
                </c:pt>
                <c:pt idx="12">
                  <c:v>2022/3</c:v>
                </c:pt>
                <c:pt idx="13">
                  <c:v>2022/6</c:v>
                </c:pt>
                <c:pt idx="14">
                  <c:v>2022/9</c:v>
                </c:pt>
                <c:pt idx="15">
                  <c:v>2022/12</c:v>
                </c:pt>
                <c:pt idx="16">
                  <c:v>2023/4</c:v>
                </c:pt>
              </c:strCache>
            </c:strRef>
          </c:cat>
          <c:val>
            <c:numRef>
              <c:f>Değerleme!$B$14:$R$14</c:f>
              <c:numCache>
                <c:formatCode>0.00</c:formatCode>
                <c:ptCount val="17"/>
                <c:pt idx="0">
                  <c:v>7.5971020151067936</c:v>
                </c:pt>
                <c:pt idx="1">
                  <c:v>10.714339202584446</c:v>
                </c:pt>
                <c:pt idx="2">
                  <c:v>9.5994985586340817</c:v>
                </c:pt>
                <c:pt idx="3">
                  <c:v>10.433367457963422</c:v>
                </c:pt>
                <c:pt idx="4">
                  <c:v>7.2194981603095849</c:v>
                </c:pt>
                <c:pt idx="5">
                  <c:v>11.06962107568641</c:v>
                </c:pt>
                <c:pt idx="6">
                  <c:v>9.3807694827807957</c:v>
                </c:pt>
                <c:pt idx="7">
                  <c:v>9.2886423151087989</c:v>
                </c:pt>
                <c:pt idx="8">
                  <c:v>11.45163239216336</c:v>
                </c:pt>
                <c:pt idx="9">
                  <c:v>8.8951233385424402</c:v>
                </c:pt>
                <c:pt idx="10">
                  <c:v>8.0311093997440164</c:v>
                </c:pt>
                <c:pt idx="11">
                  <c:v>8.7773302480796236</c:v>
                </c:pt>
                <c:pt idx="12">
                  <c:v>10.33066162002819</c:v>
                </c:pt>
                <c:pt idx="13">
                  <c:v>7.2343313387638091</c:v>
                </c:pt>
                <c:pt idx="14">
                  <c:v>7.6770917365340923</c:v>
                </c:pt>
                <c:pt idx="15">
                  <c:v>9.6588207291706016</c:v>
                </c:pt>
                <c:pt idx="16">
                  <c:v>11.456358655444472</c:v>
                </c:pt>
              </c:numCache>
            </c:numRef>
          </c:val>
          <c:extLst>
            <c:ext xmlns:c16="http://schemas.microsoft.com/office/drawing/2014/chart" uri="{C3380CC4-5D6E-409C-BE32-E72D297353CC}">
              <c16:uniqueId val="{00000000-189B-4605-A68C-25EF1909ECC1}"/>
            </c:ext>
          </c:extLst>
        </c:ser>
        <c:dLbls>
          <c:showLegendKey val="0"/>
          <c:showVal val="0"/>
          <c:showCatName val="0"/>
          <c:showSerName val="0"/>
          <c:showPercent val="0"/>
          <c:showBubbleSize val="0"/>
        </c:dLbls>
        <c:gapWidth val="219"/>
        <c:axId val="2126347823"/>
        <c:axId val="2122985503"/>
      </c:barChart>
      <c:lineChart>
        <c:grouping val="stacked"/>
        <c:varyColors val="0"/>
        <c:ser>
          <c:idx val="1"/>
          <c:order val="1"/>
          <c:tx>
            <c:strRef>
              <c:f>Değerleme!$A$18</c:f>
              <c:strCache>
                <c:ptCount val="1"/>
                <c:pt idx="0">
                  <c:v>F/K Ortalama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Değerleme!$B$4:$R$4</c:f>
              <c:strCache>
                <c:ptCount val="17"/>
                <c:pt idx="0">
                  <c:v>2019/3</c:v>
                </c:pt>
                <c:pt idx="1">
                  <c:v>2019/6</c:v>
                </c:pt>
                <c:pt idx="2">
                  <c:v>2019/9</c:v>
                </c:pt>
                <c:pt idx="3">
                  <c:v>2019/12</c:v>
                </c:pt>
                <c:pt idx="4">
                  <c:v>2020/3</c:v>
                </c:pt>
                <c:pt idx="5">
                  <c:v>2020/6</c:v>
                </c:pt>
                <c:pt idx="6">
                  <c:v>2020/9</c:v>
                </c:pt>
                <c:pt idx="7">
                  <c:v>2020/12</c:v>
                </c:pt>
                <c:pt idx="8">
                  <c:v>2021/3</c:v>
                </c:pt>
                <c:pt idx="9">
                  <c:v>2021/6</c:v>
                </c:pt>
                <c:pt idx="10">
                  <c:v>2021/9</c:v>
                </c:pt>
                <c:pt idx="11">
                  <c:v>2021/12</c:v>
                </c:pt>
                <c:pt idx="12">
                  <c:v>2022/3</c:v>
                </c:pt>
                <c:pt idx="13">
                  <c:v>2022/6</c:v>
                </c:pt>
                <c:pt idx="14">
                  <c:v>2022/9</c:v>
                </c:pt>
                <c:pt idx="15">
                  <c:v>2022/12</c:v>
                </c:pt>
                <c:pt idx="16">
                  <c:v>2023/4</c:v>
                </c:pt>
              </c:strCache>
            </c:strRef>
          </c:cat>
          <c:val>
            <c:numRef>
              <c:f>Değerleme!$B$18:$R$18</c:f>
              <c:numCache>
                <c:formatCode>#,##0.0</c:formatCode>
                <c:ptCount val="17"/>
                <c:pt idx="0">
                  <c:v>9.3420763368614672</c:v>
                </c:pt>
                <c:pt idx="1">
                  <c:v>9.3420763368614672</c:v>
                </c:pt>
                <c:pt idx="2">
                  <c:v>9.3420763368614672</c:v>
                </c:pt>
                <c:pt idx="3">
                  <c:v>9.3420763368614672</c:v>
                </c:pt>
                <c:pt idx="4">
                  <c:v>9.3420763368614672</c:v>
                </c:pt>
                <c:pt idx="5">
                  <c:v>9.3420763368614672</c:v>
                </c:pt>
                <c:pt idx="6">
                  <c:v>9.3420763368614672</c:v>
                </c:pt>
                <c:pt idx="7">
                  <c:v>9.3420763368614672</c:v>
                </c:pt>
                <c:pt idx="8">
                  <c:v>9.3420763368614672</c:v>
                </c:pt>
                <c:pt idx="9">
                  <c:v>9.3420763368614672</c:v>
                </c:pt>
                <c:pt idx="10">
                  <c:v>9.3420763368614672</c:v>
                </c:pt>
                <c:pt idx="11">
                  <c:v>9.3420763368614672</c:v>
                </c:pt>
                <c:pt idx="12">
                  <c:v>9.3420763368614672</c:v>
                </c:pt>
                <c:pt idx="13">
                  <c:v>9.3420763368614672</c:v>
                </c:pt>
                <c:pt idx="14">
                  <c:v>9.3420763368614672</c:v>
                </c:pt>
                <c:pt idx="15">
                  <c:v>9.3420763368614672</c:v>
                </c:pt>
                <c:pt idx="16">
                  <c:v>9.3420763368614672</c:v>
                </c:pt>
              </c:numCache>
            </c:numRef>
          </c:val>
          <c:smooth val="0"/>
          <c:extLst>
            <c:ext xmlns:c16="http://schemas.microsoft.com/office/drawing/2014/chart" uri="{C3380CC4-5D6E-409C-BE32-E72D297353CC}">
              <c16:uniqueId val="{00000001-189B-4605-A68C-25EF1909ECC1}"/>
            </c:ext>
          </c:extLst>
        </c:ser>
        <c:dLbls>
          <c:showLegendKey val="0"/>
          <c:showVal val="0"/>
          <c:showCatName val="0"/>
          <c:showSerName val="0"/>
          <c:showPercent val="0"/>
          <c:showBubbleSize val="0"/>
        </c:dLbls>
        <c:marker val="1"/>
        <c:smooth val="0"/>
        <c:axId val="2126347823"/>
        <c:axId val="2122985503"/>
      </c:lineChart>
      <c:catAx>
        <c:axId val="212634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122985503"/>
        <c:crosses val="autoZero"/>
        <c:auto val="1"/>
        <c:lblAlgn val="ctr"/>
        <c:lblOffset val="100"/>
        <c:noMultiLvlLbl val="0"/>
      </c:catAx>
      <c:valAx>
        <c:axId val="21229855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126347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PD/DD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Değerleme!$A$15</c:f>
              <c:strCache>
                <c:ptCount val="1"/>
                <c:pt idx="0">
                  <c:v>PD/DD</c:v>
                </c:pt>
              </c:strCache>
            </c:strRef>
          </c:tx>
          <c:spPr>
            <a:solidFill>
              <a:schemeClr val="accent1"/>
            </a:solidFill>
            <a:ln>
              <a:noFill/>
            </a:ln>
            <a:effectLst/>
          </c:spPr>
          <c:invertIfNegative val="0"/>
          <c:cat>
            <c:strRef>
              <c:f>Değerleme!$B$4:$R$4</c:f>
              <c:strCache>
                <c:ptCount val="17"/>
                <c:pt idx="0">
                  <c:v>2019/3</c:v>
                </c:pt>
                <c:pt idx="1">
                  <c:v>2019/6</c:v>
                </c:pt>
                <c:pt idx="2">
                  <c:v>2019/9</c:v>
                </c:pt>
                <c:pt idx="3">
                  <c:v>2019/12</c:v>
                </c:pt>
                <c:pt idx="4">
                  <c:v>2020/3</c:v>
                </c:pt>
                <c:pt idx="5">
                  <c:v>2020/6</c:v>
                </c:pt>
                <c:pt idx="6">
                  <c:v>2020/9</c:v>
                </c:pt>
                <c:pt idx="7">
                  <c:v>2020/12</c:v>
                </c:pt>
                <c:pt idx="8">
                  <c:v>2021/3</c:v>
                </c:pt>
                <c:pt idx="9">
                  <c:v>2021/6</c:v>
                </c:pt>
                <c:pt idx="10">
                  <c:v>2021/9</c:v>
                </c:pt>
                <c:pt idx="11">
                  <c:v>2021/12</c:v>
                </c:pt>
                <c:pt idx="12">
                  <c:v>2022/3</c:v>
                </c:pt>
                <c:pt idx="13">
                  <c:v>2022/6</c:v>
                </c:pt>
                <c:pt idx="14">
                  <c:v>2022/9</c:v>
                </c:pt>
                <c:pt idx="15">
                  <c:v>2022/12</c:v>
                </c:pt>
                <c:pt idx="16">
                  <c:v>2023/4</c:v>
                </c:pt>
              </c:strCache>
            </c:strRef>
          </c:cat>
          <c:val>
            <c:numRef>
              <c:f>Değerleme!$B$15:$R$15</c:f>
              <c:numCache>
                <c:formatCode>0.00</c:formatCode>
                <c:ptCount val="17"/>
                <c:pt idx="0">
                  <c:v>3.1595573970150745</c:v>
                </c:pt>
                <c:pt idx="1">
                  <c:v>4.1720530316147295</c:v>
                </c:pt>
                <c:pt idx="2">
                  <c:v>3.3067343382377641</c:v>
                </c:pt>
                <c:pt idx="3">
                  <c:v>4.3825000680611739</c:v>
                </c:pt>
                <c:pt idx="4">
                  <c:v>2.9358879825449757</c:v>
                </c:pt>
                <c:pt idx="5">
                  <c:v>4.5095912072578459</c:v>
                </c:pt>
                <c:pt idx="6">
                  <c:v>5.6134837486222331</c:v>
                </c:pt>
                <c:pt idx="7">
                  <c:v>5.5317416965766988</c:v>
                </c:pt>
                <c:pt idx="8">
                  <c:v>6.7951101871532567</c:v>
                </c:pt>
                <c:pt idx="9">
                  <c:v>5.5012445310563862</c:v>
                </c:pt>
                <c:pt idx="10">
                  <c:v>4.7282079891000715</c:v>
                </c:pt>
                <c:pt idx="11">
                  <c:v>7.6118675813205803</c:v>
                </c:pt>
                <c:pt idx="12">
                  <c:v>8.1538446805793399</c:v>
                </c:pt>
                <c:pt idx="13">
                  <c:v>6.0873897340032439</c:v>
                </c:pt>
                <c:pt idx="14">
                  <c:v>6.5925387314979007</c:v>
                </c:pt>
                <c:pt idx="15">
                  <c:v>8.400489525036102</c:v>
                </c:pt>
                <c:pt idx="16">
                  <c:v>9.9638479249818275</c:v>
                </c:pt>
              </c:numCache>
            </c:numRef>
          </c:val>
          <c:extLst>
            <c:ext xmlns:c16="http://schemas.microsoft.com/office/drawing/2014/chart" uri="{C3380CC4-5D6E-409C-BE32-E72D297353CC}">
              <c16:uniqueId val="{00000000-E345-4441-B687-805E8CC45FC5}"/>
            </c:ext>
          </c:extLst>
        </c:ser>
        <c:dLbls>
          <c:showLegendKey val="0"/>
          <c:showVal val="0"/>
          <c:showCatName val="0"/>
          <c:showSerName val="0"/>
          <c:showPercent val="0"/>
          <c:showBubbleSize val="0"/>
        </c:dLbls>
        <c:gapWidth val="219"/>
        <c:axId val="2126347823"/>
        <c:axId val="2122985503"/>
      </c:barChart>
      <c:lineChart>
        <c:grouping val="stacked"/>
        <c:varyColors val="0"/>
        <c:ser>
          <c:idx val="1"/>
          <c:order val="1"/>
          <c:tx>
            <c:strRef>
              <c:f>Değerleme!$A$20</c:f>
              <c:strCache>
                <c:ptCount val="1"/>
                <c:pt idx="0">
                  <c:v>PD/DD ortalama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Değerleme!$B$4:$R$4</c:f>
              <c:strCache>
                <c:ptCount val="17"/>
                <c:pt idx="0">
                  <c:v>2019/3</c:v>
                </c:pt>
                <c:pt idx="1">
                  <c:v>2019/6</c:v>
                </c:pt>
                <c:pt idx="2">
                  <c:v>2019/9</c:v>
                </c:pt>
                <c:pt idx="3">
                  <c:v>2019/12</c:v>
                </c:pt>
                <c:pt idx="4">
                  <c:v>2020/3</c:v>
                </c:pt>
                <c:pt idx="5">
                  <c:v>2020/6</c:v>
                </c:pt>
                <c:pt idx="6">
                  <c:v>2020/9</c:v>
                </c:pt>
                <c:pt idx="7">
                  <c:v>2020/12</c:v>
                </c:pt>
                <c:pt idx="8">
                  <c:v>2021/3</c:v>
                </c:pt>
                <c:pt idx="9">
                  <c:v>2021/6</c:v>
                </c:pt>
                <c:pt idx="10">
                  <c:v>2021/9</c:v>
                </c:pt>
                <c:pt idx="11">
                  <c:v>2021/12</c:v>
                </c:pt>
                <c:pt idx="12">
                  <c:v>2022/3</c:v>
                </c:pt>
                <c:pt idx="13">
                  <c:v>2022/6</c:v>
                </c:pt>
                <c:pt idx="14">
                  <c:v>2022/9</c:v>
                </c:pt>
                <c:pt idx="15">
                  <c:v>2022/12</c:v>
                </c:pt>
                <c:pt idx="16">
                  <c:v>2023/4</c:v>
                </c:pt>
              </c:strCache>
            </c:strRef>
          </c:cat>
          <c:val>
            <c:numRef>
              <c:f>Değerleme!$B$20:$R$20</c:f>
              <c:numCache>
                <c:formatCode>#,##0.0</c:formatCode>
                <c:ptCount val="17"/>
                <c:pt idx="0">
                  <c:v>5.7321229620387761</c:v>
                </c:pt>
                <c:pt idx="1">
                  <c:v>5.7321229620387761</c:v>
                </c:pt>
                <c:pt idx="2">
                  <c:v>5.7321229620387761</c:v>
                </c:pt>
                <c:pt idx="3">
                  <c:v>5.7321229620387761</c:v>
                </c:pt>
                <c:pt idx="4">
                  <c:v>5.7321229620387761</c:v>
                </c:pt>
                <c:pt idx="5">
                  <c:v>5.7321229620387761</c:v>
                </c:pt>
                <c:pt idx="6">
                  <c:v>5.7321229620387761</c:v>
                </c:pt>
                <c:pt idx="7">
                  <c:v>5.7321229620387761</c:v>
                </c:pt>
                <c:pt idx="8">
                  <c:v>5.7321229620387761</c:v>
                </c:pt>
                <c:pt idx="9">
                  <c:v>5.7321229620387761</c:v>
                </c:pt>
                <c:pt idx="10">
                  <c:v>5.7321229620387761</c:v>
                </c:pt>
                <c:pt idx="11">
                  <c:v>5.7321229620387761</c:v>
                </c:pt>
                <c:pt idx="12">
                  <c:v>5.7321229620387761</c:v>
                </c:pt>
                <c:pt idx="13">
                  <c:v>5.7321229620387761</c:v>
                </c:pt>
                <c:pt idx="14">
                  <c:v>5.7321229620387761</c:v>
                </c:pt>
                <c:pt idx="15">
                  <c:v>5.7321229620387761</c:v>
                </c:pt>
                <c:pt idx="16">
                  <c:v>5.7321229620387761</c:v>
                </c:pt>
              </c:numCache>
            </c:numRef>
          </c:val>
          <c:smooth val="0"/>
          <c:extLst>
            <c:ext xmlns:c16="http://schemas.microsoft.com/office/drawing/2014/chart" uri="{C3380CC4-5D6E-409C-BE32-E72D297353CC}">
              <c16:uniqueId val="{00000001-E345-4441-B687-805E8CC45FC5}"/>
            </c:ext>
          </c:extLst>
        </c:ser>
        <c:dLbls>
          <c:showLegendKey val="0"/>
          <c:showVal val="0"/>
          <c:showCatName val="0"/>
          <c:showSerName val="0"/>
          <c:showPercent val="0"/>
          <c:showBubbleSize val="0"/>
        </c:dLbls>
        <c:marker val="1"/>
        <c:smooth val="0"/>
        <c:axId val="2126347823"/>
        <c:axId val="2122985503"/>
      </c:lineChart>
      <c:catAx>
        <c:axId val="212634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122985503"/>
        <c:crosses val="autoZero"/>
        <c:auto val="1"/>
        <c:lblAlgn val="ctr"/>
        <c:lblOffset val="100"/>
        <c:noMultiLvlLbl val="0"/>
      </c:catAx>
      <c:valAx>
        <c:axId val="21229855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126347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PD/Net</a:t>
            </a:r>
            <a:r>
              <a:rPr lang="tr-TR" baseline="0"/>
              <a:t> Satışlar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Değerleme!$A$16</c:f>
              <c:strCache>
                <c:ptCount val="1"/>
                <c:pt idx="0">
                  <c:v>PD/Net Satışlar</c:v>
                </c:pt>
              </c:strCache>
            </c:strRef>
          </c:tx>
          <c:spPr>
            <a:solidFill>
              <a:schemeClr val="accent1"/>
            </a:solidFill>
            <a:ln>
              <a:noFill/>
            </a:ln>
            <a:effectLst/>
          </c:spPr>
          <c:invertIfNegative val="0"/>
          <c:cat>
            <c:strRef>
              <c:f>Değerleme!$B$4:$R$4</c:f>
              <c:strCache>
                <c:ptCount val="17"/>
                <c:pt idx="0">
                  <c:v>2019/3</c:v>
                </c:pt>
                <c:pt idx="1">
                  <c:v>2019/6</c:v>
                </c:pt>
                <c:pt idx="2">
                  <c:v>2019/9</c:v>
                </c:pt>
                <c:pt idx="3">
                  <c:v>2019/12</c:v>
                </c:pt>
                <c:pt idx="4">
                  <c:v>2020/3</c:v>
                </c:pt>
                <c:pt idx="5">
                  <c:v>2020/6</c:v>
                </c:pt>
                <c:pt idx="6">
                  <c:v>2020/9</c:v>
                </c:pt>
                <c:pt idx="7">
                  <c:v>2020/12</c:v>
                </c:pt>
                <c:pt idx="8">
                  <c:v>2021/3</c:v>
                </c:pt>
                <c:pt idx="9">
                  <c:v>2021/6</c:v>
                </c:pt>
                <c:pt idx="10">
                  <c:v>2021/9</c:v>
                </c:pt>
                <c:pt idx="11">
                  <c:v>2021/12</c:v>
                </c:pt>
                <c:pt idx="12">
                  <c:v>2022/3</c:v>
                </c:pt>
                <c:pt idx="13">
                  <c:v>2022/6</c:v>
                </c:pt>
                <c:pt idx="14">
                  <c:v>2022/9</c:v>
                </c:pt>
                <c:pt idx="15">
                  <c:v>2022/12</c:v>
                </c:pt>
                <c:pt idx="16">
                  <c:v>2023/4</c:v>
                </c:pt>
              </c:strCache>
            </c:strRef>
          </c:cat>
          <c:val>
            <c:numRef>
              <c:f>Değerleme!$B$16:$R$16</c:f>
              <c:numCache>
                <c:formatCode>0.00</c:formatCode>
                <c:ptCount val="17"/>
                <c:pt idx="0">
                  <c:v>0.37214638480932433</c:v>
                </c:pt>
                <c:pt idx="1">
                  <c:v>0.48884814700664059</c:v>
                </c:pt>
                <c:pt idx="2">
                  <c:v>0.44585969275293469</c:v>
                </c:pt>
                <c:pt idx="3">
                  <c:v>0.52141107126398645</c:v>
                </c:pt>
                <c:pt idx="4">
                  <c:v>0.3878699418928882</c:v>
                </c:pt>
                <c:pt idx="5">
                  <c:v>0.61082723347197976</c:v>
                </c:pt>
                <c:pt idx="6">
                  <c:v>0.67659390140892228</c:v>
                </c:pt>
                <c:pt idx="7">
                  <c:v>0.7879461629878397</c:v>
                </c:pt>
                <c:pt idx="8">
                  <c:v>1.0945433886402549</c:v>
                </c:pt>
                <c:pt idx="9">
                  <c:v>0.88800364273093546</c:v>
                </c:pt>
                <c:pt idx="10">
                  <c:v>0.80022938902131491</c:v>
                </c:pt>
                <c:pt idx="11">
                  <c:v>1.0864692070567865</c:v>
                </c:pt>
                <c:pt idx="12">
                  <c:v>1.2217694863908206</c:v>
                </c:pt>
                <c:pt idx="13">
                  <c:v>0.86006599672900841</c:v>
                </c:pt>
                <c:pt idx="14">
                  <c:v>0.81177124455634109</c:v>
                </c:pt>
                <c:pt idx="15">
                  <c:v>1.0465190955538883</c:v>
                </c:pt>
                <c:pt idx="16">
                  <c:v>1.2412797001426721</c:v>
                </c:pt>
              </c:numCache>
            </c:numRef>
          </c:val>
          <c:extLst>
            <c:ext xmlns:c16="http://schemas.microsoft.com/office/drawing/2014/chart" uri="{C3380CC4-5D6E-409C-BE32-E72D297353CC}">
              <c16:uniqueId val="{00000000-D6C3-42C9-B4D6-0D17F8212BD6}"/>
            </c:ext>
          </c:extLst>
        </c:ser>
        <c:dLbls>
          <c:showLegendKey val="0"/>
          <c:showVal val="0"/>
          <c:showCatName val="0"/>
          <c:showSerName val="0"/>
          <c:showPercent val="0"/>
          <c:showBubbleSize val="0"/>
        </c:dLbls>
        <c:gapWidth val="219"/>
        <c:axId val="2126347823"/>
        <c:axId val="2122985503"/>
      </c:barChart>
      <c:lineChart>
        <c:grouping val="stacked"/>
        <c:varyColors val="0"/>
        <c:ser>
          <c:idx val="1"/>
          <c:order val="1"/>
          <c:tx>
            <c:strRef>
              <c:f>Değerleme!$A$22</c:f>
              <c:strCache>
                <c:ptCount val="1"/>
                <c:pt idx="0">
                  <c:v>PD/Net Satışlar Ortalama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Değerleme!$B$4:$R$4</c:f>
              <c:strCache>
                <c:ptCount val="17"/>
                <c:pt idx="0">
                  <c:v>2019/3</c:v>
                </c:pt>
                <c:pt idx="1">
                  <c:v>2019/6</c:v>
                </c:pt>
                <c:pt idx="2">
                  <c:v>2019/9</c:v>
                </c:pt>
                <c:pt idx="3">
                  <c:v>2019/12</c:v>
                </c:pt>
                <c:pt idx="4">
                  <c:v>2020/3</c:v>
                </c:pt>
                <c:pt idx="5">
                  <c:v>2020/6</c:v>
                </c:pt>
                <c:pt idx="6">
                  <c:v>2020/9</c:v>
                </c:pt>
                <c:pt idx="7">
                  <c:v>2020/12</c:v>
                </c:pt>
                <c:pt idx="8">
                  <c:v>2021/3</c:v>
                </c:pt>
                <c:pt idx="9">
                  <c:v>2021/6</c:v>
                </c:pt>
                <c:pt idx="10">
                  <c:v>2021/9</c:v>
                </c:pt>
                <c:pt idx="11">
                  <c:v>2021/12</c:v>
                </c:pt>
                <c:pt idx="12">
                  <c:v>2022/3</c:v>
                </c:pt>
                <c:pt idx="13">
                  <c:v>2022/6</c:v>
                </c:pt>
                <c:pt idx="14">
                  <c:v>2022/9</c:v>
                </c:pt>
                <c:pt idx="15">
                  <c:v>2022/12</c:v>
                </c:pt>
                <c:pt idx="16">
                  <c:v>2023/4</c:v>
                </c:pt>
              </c:strCache>
            </c:strRef>
          </c:cat>
          <c:val>
            <c:numRef>
              <c:f>Değerleme!$B$22:$R$22</c:f>
              <c:numCache>
                <c:formatCode>0.00</c:formatCode>
                <c:ptCount val="17"/>
                <c:pt idx="0">
                  <c:v>0.75630462414211674</c:v>
                </c:pt>
                <c:pt idx="1">
                  <c:v>0.75630462414211674</c:v>
                </c:pt>
                <c:pt idx="2">
                  <c:v>0.75630462414211674</c:v>
                </c:pt>
                <c:pt idx="3">
                  <c:v>0.75630462414211674</c:v>
                </c:pt>
                <c:pt idx="4">
                  <c:v>0.75630462414211674</c:v>
                </c:pt>
                <c:pt idx="5">
                  <c:v>0.75630462414211674</c:v>
                </c:pt>
                <c:pt idx="6">
                  <c:v>0.75630462414211674</c:v>
                </c:pt>
                <c:pt idx="7">
                  <c:v>0.75630462414211674</c:v>
                </c:pt>
                <c:pt idx="8">
                  <c:v>0.75630462414211674</c:v>
                </c:pt>
                <c:pt idx="9">
                  <c:v>0.75630462414211674</c:v>
                </c:pt>
                <c:pt idx="10">
                  <c:v>0.75630462414211674</c:v>
                </c:pt>
                <c:pt idx="11">
                  <c:v>0.75630462414211674</c:v>
                </c:pt>
                <c:pt idx="12">
                  <c:v>0.75630462414211674</c:v>
                </c:pt>
                <c:pt idx="13">
                  <c:v>0.75630462414211674</c:v>
                </c:pt>
                <c:pt idx="14">
                  <c:v>0.75630462414211674</c:v>
                </c:pt>
                <c:pt idx="15">
                  <c:v>0.75630462414211674</c:v>
                </c:pt>
                <c:pt idx="16">
                  <c:v>0.75630462414211674</c:v>
                </c:pt>
              </c:numCache>
            </c:numRef>
          </c:val>
          <c:smooth val="0"/>
          <c:extLst>
            <c:ext xmlns:c16="http://schemas.microsoft.com/office/drawing/2014/chart" uri="{C3380CC4-5D6E-409C-BE32-E72D297353CC}">
              <c16:uniqueId val="{00000001-D6C3-42C9-B4D6-0D17F8212BD6}"/>
            </c:ext>
          </c:extLst>
        </c:ser>
        <c:dLbls>
          <c:showLegendKey val="0"/>
          <c:showVal val="0"/>
          <c:showCatName val="0"/>
          <c:showSerName val="0"/>
          <c:showPercent val="0"/>
          <c:showBubbleSize val="0"/>
        </c:dLbls>
        <c:marker val="1"/>
        <c:smooth val="0"/>
        <c:axId val="2126347823"/>
        <c:axId val="2122985503"/>
      </c:lineChart>
      <c:catAx>
        <c:axId val="212634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122985503"/>
        <c:crosses val="autoZero"/>
        <c:auto val="1"/>
        <c:lblAlgn val="ctr"/>
        <c:lblOffset val="100"/>
        <c:noMultiLvlLbl val="0"/>
      </c:catAx>
      <c:valAx>
        <c:axId val="21229855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126347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baseline="0"/>
              <a:t>FD/FAVÖK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col"/>
        <c:grouping val="clustered"/>
        <c:varyColors val="0"/>
        <c:ser>
          <c:idx val="0"/>
          <c:order val="0"/>
          <c:tx>
            <c:strRef>
              <c:f>Değerleme!$A$17</c:f>
              <c:strCache>
                <c:ptCount val="1"/>
                <c:pt idx="0">
                  <c:v>FD/FAVÖK</c:v>
                </c:pt>
              </c:strCache>
            </c:strRef>
          </c:tx>
          <c:spPr>
            <a:solidFill>
              <a:schemeClr val="accent1"/>
            </a:solidFill>
            <a:ln>
              <a:noFill/>
            </a:ln>
            <a:effectLst/>
          </c:spPr>
          <c:invertIfNegative val="0"/>
          <c:cat>
            <c:strRef>
              <c:f>Değerleme!$B$4:$R$4</c:f>
              <c:strCache>
                <c:ptCount val="17"/>
                <c:pt idx="0">
                  <c:v>2019/3</c:v>
                </c:pt>
                <c:pt idx="1">
                  <c:v>2019/6</c:v>
                </c:pt>
                <c:pt idx="2">
                  <c:v>2019/9</c:v>
                </c:pt>
                <c:pt idx="3">
                  <c:v>2019/12</c:v>
                </c:pt>
                <c:pt idx="4">
                  <c:v>2020/3</c:v>
                </c:pt>
                <c:pt idx="5">
                  <c:v>2020/6</c:v>
                </c:pt>
                <c:pt idx="6">
                  <c:v>2020/9</c:v>
                </c:pt>
                <c:pt idx="7">
                  <c:v>2020/12</c:v>
                </c:pt>
                <c:pt idx="8">
                  <c:v>2021/3</c:v>
                </c:pt>
                <c:pt idx="9">
                  <c:v>2021/6</c:v>
                </c:pt>
                <c:pt idx="10">
                  <c:v>2021/9</c:v>
                </c:pt>
                <c:pt idx="11">
                  <c:v>2021/12</c:v>
                </c:pt>
                <c:pt idx="12">
                  <c:v>2022/3</c:v>
                </c:pt>
                <c:pt idx="13">
                  <c:v>2022/6</c:v>
                </c:pt>
                <c:pt idx="14">
                  <c:v>2022/9</c:v>
                </c:pt>
                <c:pt idx="15">
                  <c:v>2022/12</c:v>
                </c:pt>
                <c:pt idx="16">
                  <c:v>2023/4</c:v>
                </c:pt>
              </c:strCache>
            </c:strRef>
          </c:cat>
          <c:val>
            <c:numRef>
              <c:f>Değerleme!$B$17:$R$17</c:f>
              <c:numCache>
                <c:formatCode>0.00</c:formatCode>
                <c:ptCount val="17"/>
                <c:pt idx="0">
                  <c:v>2.9187429626046688</c:v>
                </c:pt>
                <c:pt idx="1">
                  <c:v>4.384109074721497</c:v>
                </c:pt>
                <c:pt idx="2">
                  <c:v>4.3780431054330515</c:v>
                </c:pt>
                <c:pt idx="3">
                  <c:v>5.2062282158580642</c:v>
                </c:pt>
                <c:pt idx="4">
                  <c:v>3.301344101460439</c:v>
                </c:pt>
                <c:pt idx="5">
                  <c:v>5.7231943271071968</c:v>
                </c:pt>
                <c:pt idx="6">
                  <c:v>6.2587803751007565</c:v>
                </c:pt>
                <c:pt idx="7">
                  <c:v>7.383170950524284</c:v>
                </c:pt>
                <c:pt idx="8">
                  <c:v>10.312071052593373</c:v>
                </c:pt>
                <c:pt idx="9">
                  <c:v>7.9585488538683835</c:v>
                </c:pt>
                <c:pt idx="10">
                  <c:v>7.6571000906389095</c:v>
                </c:pt>
                <c:pt idx="11">
                  <c:v>7.6466588742286987</c:v>
                </c:pt>
                <c:pt idx="12">
                  <c:v>8.2941525839512575</c:v>
                </c:pt>
                <c:pt idx="13">
                  <c:v>5.2280769199177701</c:v>
                </c:pt>
                <c:pt idx="14">
                  <c:v>4.7976656933831885</c:v>
                </c:pt>
                <c:pt idx="15">
                  <c:v>7.7043137344555905</c:v>
                </c:pt>
                <c:pt idx="16">
                  <c:v>9.4004060065283248</c:v>
                </c:pt>
              </c:numCache>
            </c:numRef>
          </c:val>
          <c:extLst>
            <c:ext xmlns:c16="http://schemas.microsoft.com/office/drawing/2014/chart" uri="{C3380CC4-5D6E-409C-BE32-E72D297353CC}">
              <c16:uniqueId val="{00000000-6D87-427F-8D81-9113CB70BF87}"/>
            </c:ext>
          </c:extLst>
        </c:ser>
        <c:dLbls>
          <c:showLegendKey val="0"/>
          <c:showVal val="0"/>
          <c:showCatName val="0"/>
          <c:showSerName val="0"/>
          <c:showPercent val="0"/>
          <c:showBubbleSize val="0"/>
        </c:dLbls>
        <c:gapWidth val="219"/>
        <c:axId val="2126347823"/>
        <c:axId val="2122985503"/>
      </c:barChart>
      <c:lineChart>
        <c:grouping val="stacked"/>
        <c:varyColors val="0"/>
        <c:ser>
          <c:idx val="1"/>
          <c:order val="1"/>
          <c:tx>
            <c:strRef>
              <c:f>Değerleme!$A$24</c:f>
              <c:strCache>
                <c:ptCount val="1"/>
                <c:pt idx="0">
                  <c:v>FD/FAVÖK Ortalama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Değerleme!$B$4:$R$4</c:f>
              <c:strCache>
                <c:ptCount val="17"/>
                <c:pt idx="0">
                  <c:v>2019/3</c:v>
                </c:pt>
                <c:pt idx="1">
                  <c:v>2019/6</c:v>
                </c:pt>
                <c:pt idx="2">
                  <c:v>2019/9</c:v>
                </c:pt>
                <c:pt idx="3">
                  <c:v>2019/12</c:v>
                </c:pt>
                <c:pt idx="4">
                  <c:v>2020/3</c:v>
                </c:pt>
                <c:pt idx="5">
                  <c:v>2020/6</c:v>
                </c:pt>
                <c:pt idx="6">
                  <c:v>2020/9</c:v>
                </c:pt>
                <c:pt idx="7">
                  <c:v>2020/12</c:v>
                </c:pt>
                <c:pt idx="8">
                  <c:v>2021/3</c:v>
                </c:pt>
                <c:pt idx="9">
                  <c:v>2021/6</c:v>
                </c:pt>
                <c:pt idx="10">
                  <c:v>2021/9</c:v>
                </c:pt>
                <c:pt idx="11">
                  <c:v>2021/12</c:v>
                </c:pt>
                <c:pt idx="12">
                  <c:v>2022/3</c:v>
                </c:pt>
                <c:pt idx="13">
                  <c:v>2022/6</c:v>
                </c:pt>
                <c:pt idx="14">
                  <c:v>2022/9</c:v>
                </c:pt>
                <c:pt idx="15">
                  <c:v>2022/12</c:v>
                </c:pt>
                <c:pt idx="16">
                  <c:v>2023/4</c:v>
                </c:pt>
              </c:strCache>
            </c:strRef>
          </c:cat>
          <c:val>
            <c:numRef>
              <c:f>Değerleme!$B$24:$R$24</c:f>
              <c:numCache>
                <c:formatCode>0.00</c:formatCode>
                <c:ptCount val="17"/>
                <c:pt idx="0">
                  <c:v>6.1970125572404466</c:v>
                </c:pt>
                <c:pt idx="1">
                  <c:v>6.1970125572404466</c:v>
                </c:pt>
                <c:pt idx="2">
                  <c:v>6.1970125572404466</c:v>
                </c:pt>
                <c:pt idx="3">
                  <c:v>6.1970125572404466</c:v>
                </c:pt>
                <c:pt idx="4">
                  <c:v>6.1970125572404466</c:v>
                </c:pt>
                <c:pt idx="5">
                  <c:v>6.1970125572404466</c:v>
                </c:pt>
                <c:pt idx="6">
                  <c:v>6.1970125572404466</c:v>
                </c:pt>
                <c:pt idx="7">
                  <c:v>6.1970125572404466</c:v>
                </c:pt>
                <c:pt idx="8">
                  <c:v>6.1970125572404466</c:v>
                </c:pt>
                <c:pt idx="9">
                  <c:v>6.1970125572404466</c:v>
                </c:pt>
                <c:pt idx="10">
                  <c:v>6.1970125572404466</c:v>
                </c:pt>
                <c:pt idx="11">
                  <c:v>6.1970125572404466</c:v>
                </c:pt>
                <c:pt idx="12">
                  <c:v>6.1970125572404466</c:v>
                </c:pt>
                <c:pt idx="13">
                  <c:v>6.1970125572404466</c:v>
                </c:pt>
                <c:pt idx="14">
                  <c:v>6.1970125572404466</c:v>
                </c:pt>
                <c:pt idx="15">
                  <c:v>6.1970125572404466</c:v>
                </c:pt>
                <c:pt idx="16">
                  <c:v>6.1970125572404466</c:v>
                </c:pt>
              </c:numCache>
            </c:numRef>
          </c:val>
          <c:smooth val="0"/>
          <c:extLst>
            <c:ext xmlns:c16="http://schemas.microsoft.com/office/drawing/2014/chart" uri="{C3380CC4-5D6E-409C-BE32-E72D297353CC}">
              <c16:uniqueId val="{00000001-6D87-427F-8D81-9113CB70BF87}"/>
            </c:ext>
          </c:extLst>
        </c:ser>
        <c:dLbls>
          <c:showLegendKey val="0"/>
          <c:showVal val="0"/>
          <c:showCatName val="0"/>
          <c:showSerName val="0"/>
          <c:showPercent val="0"/>
          <c:showBubbleSize val="0"/>
        </c:dLbls>
        <c:marker val="1"/>
        <c:smooth val="0"/>
        <c:axId val="2126347823"/>
        <c:axId val="2122985503"/>
      </c:lineChart>
      <c:catAx>
        <c:axId val="212634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122985503"/>
        <c:crosses val="autoZero"/>
        <c:auto val="1"/>
        <c:lblAlgn val="ctr"/>
        <c:lblOffset val="100"/>
        <c:noMultiLvlLbl val="0"/>
      </c:catAx>
      <c:valAx>
        <c:axId val="21229855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126347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tr-TR"/>
              <a:t>Finansal Sağlamlık</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tr-TR"/>
        </a:p>
      </c:txPr>
    </c:title>
    <c:autoTitleDeleted val="0"/>
    <c:plotArea>
      <c:layout/>
      <c:lineChart>
        <c:grouping val="standard"/>
        <c:varyColors val="0"/>
        <c:ser>
          <c:idx val="0"/>
          <c:order val="0"/>
          <c:tx>
            <c:strRef>
              <c:f>Değerleme!$A$104</c:f>
              <c:strCache>
                <c:ptCount val="1"/>
                <c:pt idx="0">
                  <c:v>Net Borç/FAVÖK</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tr-T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Değerleme!$B$88:$Q$88</c:f>
              <c:strCache>
                <c:ptCount val="16"/>
                <c:pt idx="0">
                  <c:v>2019/3</c:v>
                </c:pt>
                <c:pt idx="1">
                  <c:v>2019/6</c:v>
                </c:pt>
                <c:pt idx="2">
                  <c:v>2019/9</c:v>
                </c:pt>
                <c:pt idx="3">
                  <c:v>2019/12</c:v>
                </c:pt>
                <c:pt idx="4">
                  <c:v>2020/3</c:v>
                </c:pt>
                <c:pt idx="5">
                  <c:v>2020/6</c:v>
                </c:pt>
                <c:pt idx="6">
                  <c:v>2020/9</c:v>
                </c:pt>
                <c:pt idx="7">
                  <c:v>2020/12</c:v>
                </c:pt>
                <c:pt idx="8">
                  <c:v>2021/3</c:v>
                </c:pt>
                <c:pt idx="9">
                  <c:v>2021/6</c:v>
                </c:pt>
                <c:pt idx="10">
                  <c:v>2021/9</c:v>
                </c:pt>
                <c:pt idx="11">
                  <c:v>2021/12</c:v>
                </c:pt>
                <c:pt idx="12">
                  <c:v>2022/3</c:v>
                </c:pt>
                <c:pt idx="13">
                  <c:v>2022/6</c:v>
                </c:pt>
                <c:pt idx="14">
                  <c:v>2022/9</c:v>
                </c:pt>
                <c:pt idx="15">
                  <c:v>2022/12</c:v>
                </c:pt>
              </c:strCache>
            </c:strRef>
          </c:cat>
          <c:val>
            <c:numRef>
              <c:f>Değerleme!$B$104:$Q$104</c:f>
              <c:numCache>
                <c:formatCode>0.00</c:formatCode>
                <c:ptCount val="16"/>
                <c:pt idx="0">
                  <c:v>1.4208392143491499</c:v>
                </c:pt>
                <c:pt idx="1">
                  <c:v>1.4171809686904961</c:v>
                </c:pt>
                <c:pt idx="2">
                  <c:v>0.89483195271276672</c:v>
                </c:pt>
                <c:pt idx="3">
                  <c:v>0.8971428759082728</c:v>
                </c:pt>
                <c:pt idx="4">
                  <c:v>1.0970358020119964</c:v>
                </c:pt>
                <c:pt idx="5">
                  <c:v>0.90390298531147562</c:v>
                </c:pt>
                <c:pt idx="6">
                  <c:v>0.61502775696820189</c:v>
                </c:pt>
                <c:pt idx="7">
                  <c:v>-8.1763637051898395E-3</c:v>
                </c:pt>
                <c:pt idx="8">
                  <c:v>-0.36454435907321581</c:v>
                </c:pt>
                <c:pt idx="9">
                  <c:v>-5.2849593542974938E-3</c:v>
                </c:pt>
                <c:pt idx="10">
                  <c:v>-0.48053282702264571</c:v>
                </c:pt>
                <c:pt idx="11">
                  <c:v>0.51588757080080083</c:v>
                </c:pt>
                <c:pt idx="12">
                  <c:v>1.2198556591486474</c:v>
                </c:pt>
                <c:pt idx="13">
                  <c:v>1.4573094545172813</c:v>
                </c:pt>
                <c:pt idx="14">
                  <c:v>1.9776654068051627</c:v>
                </c:pt>
                <c:pt idx="15">
                  <c:v>1.4094028423295692</c:v>
                </c:pt>
              </c:numCache>
            </c:numRef>
          </c:val>
          <c:smooth val="0"/>
          <c:extLst>
            <c:ext xmlns:c16="http://schemas.microsoft.com/office/drawing/2014/chart" uri="{C3380CC4-5D6E-409C-BE32-E72D297353CC}">
              <c16:uniqueId val="{00000000-DB08-432C-8B25-4DF50B8161CC}"/>
            </c:ext>
          </c:extLst>
        </c:ser>
        <c:ser>
          <c:idx val="1"/>
          <c:order val="1"/>
          <c:tx>
            <c:strRef>
              <c:f>Değerleme!$A$105</c:f>
              <c:strCache>
                <c:ptCount val="1"/>
                <c:pt idx="0">
                  <c:v>Faiz Karşılama Oranı</c:v>
                </c:pt>
              </c:strCache>
            </c:strRef>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tr-T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Değerleme!$B$88:$Q$88</c:f>
              <c:strCache>
                <c:ptCount val="16"/>
                <c:pt idx="0">
                  <c:v>2019/3</c:v>
                </c:pt>
                <c:pt idx="1">
                  <c:v>2019/6</c:v>
                </c:pt>
                <c:pt idx="2">
                  <c:v>2019/9</c:v>
                </c:pt>
                <c:pt idx="3">
                  <c:v>2019/12</c:v>
                </c:pt>
                <c:pt idx="4">
                  <c:v>2020/3</c:v>
                </c:pt>
                <c:pt idx="5">
                  <c:v>2020/6</c:v>
                </c:pt>
                <c:pt idx="6">
                  <c:v>2020/9</c:v>
                </c:pt>
                <c:pt idx="7">
                  <c:v>2020/12</c:v>
                </c:pt>
                <c:pt idx="8">
                  <c:v>2021/3</c:v>
                </c:pt>
                <c:pt idx="9">
                  <c:v>2021/6</c:v>
                </c:pt>
                <c:pt idx="10">
                  <c:v>2021/9</c:v>
                </c:pt>
                <c:pt idx="11">
                  <c:v>2021/12</c:v>
                </c:pt>
                <c:pt idx="12">
                  <c:v>2022/3</c:v>
                </c:pt>
                <c:pt idx="13">
                  <c:v>2022/6</c:v>
                </c:pt>
                <c:pt idx="14">
                  <c:v>2022/9</c:v>
                </c:pt>
                <c:pt idx="15">
                  <c:v>2022/12</c:v>
                </c:pt>
              </c:strCache>
            </c:strRef>
          </c:cat>
          <c:val>
            <c:numRef>
              <c:f>Değerleme!$B$105:$Q$105</c:f>
              <c:numCache>
                <c:formatCode>0.00</c:formatCode>
                <c:ptCount val="16"/>
                <c:pt idx="0">
                  <c:v>0.94037016524090111</c:v>
                </c:pt>
                <c:pt idx="1">
                  <c:v>0.88264444518220952</c:v>
                </c:pt>
                <c:pt idx="2">
                  <c:v>1.105151857040904</c:v>
                </c:pt>
                <c:pt idx="3">
                  <c:v>1.5539130713046669</c:v>
                </c:pt>
                <c:pt idx="4">
                  <c:v>1.4677547274278104</c:v>
                </c:pt>
                <c:pt idx="5">
                  <c:v>1.3250964783117187</c:v>
                </c:pt>
                <c:pt idx="6">
                  <c:v>1.6756017508477474</c:v>
                </c:pt>
                <c:pt idx="7">
                  <c:v>1.7098820419950076</c:v>
                </c:pt>
                <c:pt idx="8">
                  <c:v>1.8438647841250482</c:v>
                </c:pt>
                <c:pt idx="9">
                  <c:v>1.9258126266858633</c:v>
                </c:pt>
                <c:pt idx="10">
                  <c:v>1.8761244117955076</c:v>
                </c:pt>
                <c:pt idx="11">
                  <c:v>1.2883091655706853</c:v>
                </c:pt>
                <c:pt idx="12">
                  <c:v>1.1613205139113418</c:v>
                </c:pt>
                <c:pt idx="13">
                  <c:v>1.1006391119296333</c:v>
                </c:pt>
                <c:pt idx="14">
                  <c:v>1.2001640096274349</c:v>
                </c:pt>
                <c:pt idx="15">
                  <c:v>1.7486698159546381</c:v>
                </c:pt>
              </c:numCache>
            </c:numRef>
          </c:val>
          <c:smooth val="0"/>
          <c:extLst>
            <c:ext xmlns:c16="http://schemas.microsoft.com/office/drawing/2014/chart" uri="{C3380CC4-5D6E-409C-BE32-E72D297353CC}">
              <c16:uniqueId val="{00000001-DB08-432C-8B25-4DF50B8161CC}"/>
            </c:ext>
          </c:extLst>
        </c:ser>
        <c:dLbls>
          <c:dLblPos val="t"/>
          <c:showLegendKey val="0"/>
          <c:showVal val="1"/>
          <c:showCatName val="0"/>
          <c:showSerName val="0"/>
          <c:showPercent val="0"/>
          <c:showBubbleSize val="0"/>
        </c:dLbls>
        <c:smooth val="0"/>
        <c:axId val="1906565552"/>
        <c:axId val="1849184608"/>
      </c:lineChart>
      <c:catAx>
        <c:axId val="19065655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solidFill>
              <a:schemeClr val="accent1">
                <a:alpha val="95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tr-TR"/>
          </a:p>
        </c:txPr>
        <c:crossAx val="1849184608"/>
        <c:crosses val="autoZero"/>
        <c:auto val="1"/>
        <c:lblAlgn val="ctr"/>
        <c:lblOffset val="100"/>
        <c:noMultiLvlLbl val="0"/>
      </c:catAx>
      <c:valAx>
        <c:axId val="18491846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tr-TR"/>
          </a:p>
        </c:txPr>
        <c:crossAx val="19065655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'Trend Analizi'!$A$11</c:f>
              <c:strCache>
                <c:ptCount val="1"/>
                <c:pt idx="0">
                  <c:v>Dönen Varlıklar</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'Trend Analizi'!$G$10:$K$10</c:f>
              <c:numCache>
                <c:formatCode>General</c:formatCode>
                <c:ptCount val="5"/>
                <c:pt idx="0">
                  <c:v>2018</c:v>
                </c:pt>
                <c:pt idx="1">
                  <c:v>2019</c:v>
                </c:pt>
                <c:pt idx="2">
                  <c:v>2020</c:v>
                </c:pt>
                <c:pt idx="3">
                  <c:v>2021</c:v>
                </c:pt>
                <c:pt idx="4">
                  <c:v>2022</c:v>
                </c:pt>
              </c:numCache>
            </c:numRef>
          </c:cat>
          <c:val>
            <c:numRef>
              <c:f>'Trend Analizi'!$G$11:$K$11</c:f>
              <c:numCache>
                <c:formatCode>0</c:formatCode>
                <c:ptCount val="5"/>
                <c:pt idx="0" formatCode="General">
                  <c:v>100</c:v>
                </c:pt>
                <c:pt idx="1">
                  <c:v>127.91985287465563</c:v>
                </c:pt>
                <c:pt idx="2">
                  <c:v>177.1670761384475</c:v>
                </c:pt>
                <c:pt idx="3">
                  <c:v>183.57502902206227</c:v>
                </c:pt>
                <c:pt idx="4">
                  <c:v>155.97362796911079</c:v>
                </c:pt>
              </c:numCache>
            </c:numRef>
          </c:val>
          <c:smooth val="0"/>
          <c:extLst>
            <c:ext xmlns:c16="http://schemas.microsoft.com/office/drawing/2014/chart" uri="{C3380CC4-5D6E-409C-BE32-E72D297353CC}">
              <c16:uniqueId val="{00000000-FB95-48A1-94A4-88940A735E7F}"/>
            </c:ext>
          </c:extLst>
        </c:ser>
        <c:ser>
          <c:idx val="1"/>
          <c:order val="1"/>
          <c:tx>
            <c:strRef>
              <c:f>'Trend Analizi'!$A$23</c:f>
              <c:strCache>
                <c:ptCount val="1"/>
                <c:pt idx="0">
                  <c:v>Duran Varlıklar</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'Trend Analizi'!$G$10:$K$10</c:f>
              <c:numCache>
                <c:formatCode>General</c:formatCode>
                <c:ptCount val="5"/>
                <c:pt idx="0">
                  <c:v>2018</c:v>
                </c:pt>
                <c:pt idx="1">
                  <c:v>2019</c:v>
                </c:pt>
                <c:pt idx="2">
                  <c:v>2020</c:v>
                </c:pt>
                <c:pt idx="3">
                  <c:v>2021</c:v>
                </c:pt>
                <c:pt idx="4">
                  <c:v>2022</c:v>
                </c:pt>
              </c:numCache>
            </c:numRef>
          </c:cat>
          <c:val>
            <c:numRef>
              <c:f>'Trend Analizi'!$G$23:$K$23</c:f>
              <c:numCache>
                <c:formatCode>0</c:formatCode>
                <c:ptCount val="5"/>
                <c:pt idx="0" formatCode="General">
                  <c:v>100</c:v>
                </c:pt>
                <c:pt idx="1">
                  <c:v>100.55295266556014</c:v>
                </c:pt>
                <c:pt idx="2">
                  <c:v>86.712543595874962</c:v>
                </c:pt>
                <c:pt idx="3">
                  <c:v>71.319244465175785</c:v>
                </c:pt>
                <c:pt idx="4">
                  <c:v>147.94057185762153</c:v>
                </c:pt>
              </c:numCache>
            </c:numRef>
          </c:val>
          <c:smooth val="0"/>
          <c:extLst>
            <c:ext xmlns:c16="http://schemas.microsoft.com/office/drawing/2014/chart" uri="{C3380CC4-5D6E-409C-BE32-E72D297353CC}">
              <c16:uniqueId val="{00000001-FB95-48A1-94A4-88940A735E7F}"/>
            </c:ext>
          </c:extLst>
        </c:ser>
        <c:dLbls>
          <c:dLblPos val="ctr"/>
          <c:showLegendKey val="0"/>
          <c:showVal val="1"/>
          <c:showCatName val="0"/>
          <c:showSerName val="0"/>
          <c:showPercent val="0"/>
          <c:showBubbleSize val="0"/>
        </c:dLbls>
        <c:smooth val="0"/>
        <c:axId val="750948336"/>
        <c:axId val="750955536"/>
      </c:lineChart>
      <c:catAx>
        <c:axId val="75094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50955536"/>
        <c:crosses val="autoZero"/>
        <c:auto val="1"/>
        <c:lblAlgn val="ctr"/>
        <c:lblOffset val="100"/>
        <c:noMultiLvlLbl val="0"/>
      </c:catAx>
      <c:valAx>
        <c:axId val="75095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50948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'Trend Analizi'!$A$83</c:f>
              <c:strCache>
                <c:ptCount val="1"/>
                <c:pt idx="0">
                  <c:v>Yabancıl Kaynaklar</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'Trend Analizi'!$G$10:$K$10</c:f>
              <c:numCache>
                <c:formatCode>General</c:formatCode>
                <c:ptCount val="5"/>
                <c:pt idx="0">
                  <c:v>2018</c:v>
                </c:pt>
                <c:pt idx="1">
                  <c:v>2019</c:v>
                </c:pt>
                <c:pt idx="2">
                  <c:v>2020</c:v>
                </c:pt>
                <c:pt idx="3">
                  <c:v>2021</c:v>
                </c:pt>
                <c:pt idx="4">
                  <c:v>2022</c:v>
                </c:pt>
              </c:numCache>
            </c:numRef>
          </c:cat>
          <c:val>
            <c:numRef>
              <c:f>'Trend Analizi'!$G$83:$K$83</c:f>
              <c:numCache>
                <c:formatCode>0</c:formatCode>
                <c:ptCount val="5"/>
                <c:pt idx="0" formatCode="General">
                  <c:v>100</c:v>
                </c:pt>
                <c:pt idx="1">
                  <c:v>117.70537675425874</c:v>
                </c:pt>
                <c:pt idx="2">
                  <c:v>138.62154385440462</c:v>
                </c:pt>
                <c:pt idx="3">
                  <c:v>145.36416106486521</c:v>
                </c:pt>
                <c:pt idx="4">
                  <c:v>168.12411119498177</c:v>
                </c:pt>
              </c:numCache>
            </c:numRef>
          </c:val>
          <c:smooth val="0"/>
          <c:extLst>
            <c:ext xmlns:c16="http://schemas.microsoft.com/office/drawing/2014/chart" uri="{C3380CC4-5D6E-409C-BE32-E72D297353CC}">
              <c16:uniqueId val="{00000000-9FFB-486D-A6A5-3A1FB8347FB6}"/>
            </c:ext>
          </c:extLst>
        </c:ser>
        <c:ser>
          <c:idx val="1"/>
          <c:order val="1"/>
          <c:tx>
            <c:strRef>
              <c:f>'Trend Analizi'!$A$68</c:f>
              <c:strCache>
                <c:ptCount val="1"/>
                <c:pt idx="0">
                  <c:v>Özkaynaklar</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'Trend Analizi'!$G$10:$K$10</c:f>
              <c:numCache>
                <c:formatCode>General</c:formatCode>
                <c:ptCount val="5"/>
                <c:pt idx="0">
                  <c:v>2018</c:v>
                </c:pt>
                <c:pt idx="1">
                  <c:v>2019</c:v>
                </c:pt>
                <c:pt idx="2">
                  <c:v>2020</c:v>
                </c:pt>
                <c:pt idx="3">
                  <c:v>2021</c:v>
                </c:pt>
                <c:pt idx="4">
                  <c:v>2022</c:v>
                </c:pt>
              </c:numCache>
            </c:numRef>
          </c:cat>
          <c:val>
            <c:numRef>
              <c:f>'Trend Analizi'!$G$68:$K$68</c:f>
              <c:numCache>
                <c:formatCode>0</c:formatCode>
                <c:ptCount val="5"/>
                <c:pt idx="0" formatCode="General">
                  <c:v>100</c:v>
                </c:pt>
                <c:pt idx="1">
                  <c:v>111.60396272220379</c:v>
                </c:pt>
                <c:pt idx="2">
                  <c:v>134.65617422856292</c:v>
                </c:pt>
                <c:pt idx="3">
                  <c:v>107.84848748336844</c:v>
                </c:pt>
                <c:pt idx="4">
                  <c:v>115.031940332177</c:v>
                </c:pt>
              </c:numCache>
            </c:numRef>
          </c:val>
          <c:smooth val="0"/>
          <c:extLst>
            <c:ext xmlns:c16="http://schemas.microsoft.com/office/drawing/2014/chart" uri="{C3380CC4-5D6E-409C-BE32-E72D297353CC}">
              <c16:uniqueId val="{00000001-9FFB-486D-A6A5-3A1FB8347FB6}"/>
            </c:ext>
          </c:extLst>
        </c:ser>
        <c:dLbls>
          <c:dLblPos val="ctr"/>
          <c:showLegendKey val="0"/>
          <c:showVal val="1"/>
          <c:showCatName val="0"/>
          <c:showSerName val="0"/>
          <c:showPercent val="0"/>
          <c:showBubbleSize val="0"/>
        </c:dLbls>
        <c:smooth val="0"/>
        <c:axId val="750948336"/>
        <c:axId val="750955536"/>
      </c:lineChart>
      <c:catAx>
        <c:axId val="75094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50955536"/>
        <c:crosses val="autoZero"/>
        <c:auto val="1"/>
        <c:lblAlgn val="ctr"/>
        <c:lblOffset val="100"/>
        <c:noMultiLvlLbl val="0"/>
      </c:catAx>
      <c:valAx>
        <c:axId val="75095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50948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'Trend Analizi'!$A$18</c:f>
              <c:strCache>
                <c:ptCount val="1"/>
                <c:pt idx="0">
                  <c:v>  Stoklar</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'Trend Analizi'!$G$10:$K$10</c:f>
              <c:numCache>
                <c:formatCode>General</c:formatCode>
                <c:ptCount val="5"/>
                <c:pt idx="0">
                  <c:v>2018</c:v>
                </c:pt>
                <c:pt idx="1">
                  <c:v>2019</c:v>
                </c:pt>
                <c:pt idx="2">
                  <c:v>2020</c:v>
                </c:pt>
                <c:pt idx="3">
                  <c:v>2021</c:v>
                </c:pt>
                <c:pt idx="4">
                  <c:v>2022</c:v>
                </c:pt>
              </c:numCache>
            </c:numRef>
          </c:cat>
          <c:val>
            <c:numRef>
              <c:f>'Trend Analizi'!$G$18:$K$18</c:f>
              <c:numCache>
                <c:formatCode>0</c:formatCode>
                <c:ptCount val="5"/>
                <c:pt idx="0" formatCode="General">
                  <c:v>100</c:v>
                </c:pt>
                <c:pt idx="1">
                  <c:v>91.281676772532023</c:v>
                </c:pt>
                <c:pt idx="2">
                  <c:v>97.751691460871768</c:v>
                </c:pt>
                <c:pt idx="3">
                  <c:v>116.91733310151326</c:v>
                </c:pt>
                <c:pt idx="4">
                  <c:v>155.47153741774352</c:v>
                </c:pt>
              </c:numCache>
            </c:numRef>
          </c:val>
          <c:smooth val="0"/>
          <c:extLst>
            <c:ext xmlns:c16="http://schemas.microsoft.com/office/drawing/2014/chart" uri="{C3380CC4-5D6E-409C-BE32-E72D297353CC}">
              <c16:uniqueId val="{00000000-0703-42C1-A320-92C42AD2E1A4}"/>
            </c:ext>
          </c:extLst>
        </c:ser>
        <c:ser>
          <c:idx val="1"/>
          <c:order val="1"/>
          <c:tx>
            <c:strRef>
              <c:f>'Trend Analizi'!$M$11</c:f>
              <c:strCache>
                <c:ptCount val="1"/>
                <c:pt idx="0">
                  <c:v>Satış Gelirleri</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'Trend Analizi'!$G$10:$K$10</c:f>
              <c:numCache>
                <c:formatCode>General</c:formatCode>
                <c:ptCount val="5"/>
                <c:pt idx="0">
                  <c:v>2018</c:v>
                </c:pt>
                <c:pt idx="1">
                  <c:v>2019</c:v>
                </c:pt>
                <c:pt idx="2">
                  <c:v>2020</c:v>
                </c:pt>
                <c:pt idx="3">
                  <c:v>2021</c:v>
                </c:pt>
                <c:pt idx="4">
                  <c:v>2022</c:v>
                </c:pt>
              </c:numCache>
            </c:numRef>
          </c:cat>
          <c:val>
            <c:numRef>
              <c:f>'Trend Analizi'!$S$11:$W$11</c:f>
              <c:numCache>
                <c:formatCode>0</c:formatCode>
                <c:ptCount val="5"/>
                <c:pt idx="0" formatCode="General">
                  <c:v>100</c:v>
                </c:pt>
                <c:pt idx="1">
                  <c:v>109.69632704349604</c:v>
                </c:pt>
                <c:pt idx="2">
                  <c:v>110.55093165903156</c:v>
                </c:pt>
                <c:pt idx="3">
                  <c:v>88.360598574465428</c:v>
                </c:pt>
                <c:pt idx="4">
                  <c:v>107.98083232955564</c:v>
                </c:pt>
              </c:numCache>
            </c:numRef>
          </c:val>
          <c:smooth val="0"/>
          <c:extLst>
            <c:ext xmlns:c16="http://schemas.microsoft.com/office/drawing/2014/chart" uri="{C3380CC4-5D6E-409C-BE32-E72D297353CC}">
              <c16:uniqueId val="{00000001-0703-42C1-A320-92C42AD2E1A4}"/>
            </c:ext>
          </c:extLst>
        </c:ser>
        <c:dLbls>
          <c:dLblPos val="ctr"/>
          <c:showLegendKey val="0"/>
          <c:showVal val="1"/>
          <c:showCatName val="0"/>
          <c:showSerName val="0"/>
          <c:showPercent val="0"/>
          <c:showBubbleSize val="0"/>
        </c:dLbls>
        <c:smooth val="0"/>
        <c:axId val="750948336"/>
        <c:axId val="750955536"/>
      </c:lineChart>
      <c:catAx>
        <c:axId val="75094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50955536"/>
        <c:crosses val="autoZero"/>
        <c:auto val="1"/>
        <c:lblAlgn val="ctr"/>
        <c:lblOffset val="100"/>
        <c:noMultiLvlLbl val="0"/>
      </c:catAx>
      <c:valAx>
        <c:axId val="75095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50948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'Trend Analizi'!$A$14</c:f>
              <c:strCache>
                <c:ptCount val="1"/>
                <c:pt idx="0">
                  <c:v>  Ticari Alacaklar</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'Trend Analizi'!$G$10:$K$10</c:f>
              <c:numCache>
                <c:formatCode>General</c:formatCode>
                <c:ptCount val="5"/>
                <c:pt idx="0">
                  <c:v>2018</c:v>
                </c:pt>
                <c:pt idx="1">
                  <c:v>2019</c:v>
                </c:pt>
                <c:pt idx="2">
                  <c:v>2020</c:v>
                </c:pt>
                <c:pt idx="3">
                  <c:v>2021</c:v>
                </c:pt>
                <c:pt idx="4">
                  <c:v>2022</c:v>
                </c:pt>
              </c:numCache>
            </c:numRef>
          </c:cat>
          <c:val>
            <c:numRef>
              <c:f>'Trend Analizi'!$G$14:$K$14</c:f>
              <c:numCache>
                <c:formatCode>0</c:formatCode>
                <c:ptCount val="5"/>
                <c:pt idx="0" formatCode="General">
                  <c:v>100</c:v>
                </c:pt>
                <c:pt idx="1">
                  <c:v>121.72374894629338</c:v>
                </c:pt>
                <c:pt idx="2">
                  <c:v>136.33694483356143</c:v>
                </c:pt>
                <c:pt idx="3">
                  <c:v>150.2413304914964</c:v>
                </c:pt>
                <c:pt idx="4">
                  <c:v>172.20825222071565</c:v>
                </c:pt>
              </c:numCache>
            </c:numRef>
          </c:val>
          <c:smooth val="0"/>
          <c:extLst>
            <c:ext xmlns:c16="http://schemas.microsoft.com/office/drawing/2014/chart" uri="{C3380CC4-5D6E-409C-BE32-E72D297353CC}">
              <c16:uniqueId val="{00000000-0CF7-48EC-B843-277138DFA997}"/>
            </c:ext>
          </c:extLst>
        </c:ser>
        <c:ser>
          <c:idx val="1"/>
          <c:order val="1"/>
          <c:tx>
            <c:strRef>
              <c:f>'Trend Analizi'!$M$11</c:f>
              <c:strCache>
                <c:ptCount val="1"/>
                <c:pt idx="0">
                  <c:v>Satış Gelirleri</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'Trend Analizi'!$G$10:$K$10</c:f>
              <c:numCache>
                <c:formatCode>General</c:formatCode>
                <c:ptCount val="5"/>
                <c:pt idx="0">
                  <c:v>2018</c:v>
                </c:pt>
                <c:pt idx="1">
                  <c:v>2019</c:v>
                </c:pt>
                <c:pt idx="2">
                  <c:v>2020</c:v>
                </c:pt>
                <c:pt idx="3">
                  <c:v>2021</c:v>
                </c:pt>
                <c:pt idx="4">
                  <c:v>2022</c:v>
                </c:pt>
              </c:numCache>
            </c:numRef>
          </c:cat>
          <c:val>
            <c:numRef>
              <c:f>'Trend Analizi'!$S$11:$W$11</c:f>
              <c:numCache>
                <c:formatCode>0</c:formatCode>
                <c:ptCount val="5"/>
                <c:pt idx="0" formatCode="General">
                  <c:v>100</c:v>
                </c:pt>
                <c:pt idx="1">
                  <c:v>109.69632704349604</c:v>
                </c:pt>
                <c:pt idx="2">
                  <c:v>110.55093165903156</c:v>
                </c:pt>
                <c:pt idx="3">
                  <c:v>88.360598574465428</c:v>
                </c:pt>
                <c:pt idx="4">
                  <c:v>107.98083232955564</c:v>
                </c:pt>
              </c:numCache>
            </c:numRef>
          </c:val>
          <c:smooth val="0"/>
          <c:extLst>
            <c:ext xmlns:c16="http://schemas.microsoft.com/office/drawing/2014/chart" uri="{C3380CC4-5D6E-409C-BE32-E72D297353CC}">
              <c16:uniqueId val="{00000001-0CF7-48EC-B843-277138DFA997}"/>
            </c:ext>
          </c:extLst>
        </c:ser>
        <c:dLbls>
          <c:dLblPos val="ctr"/>
          <c:showLegendKey val="0"/>
          <c:showVal val="1"/>
          <c:showCatName val="0"/>
          <c:showSerName val="0"/>
          <c:showPercent val="0"/>
          <c:showBubbleSize val="0"/>
        </c:dLbls>
        <c:smooth val="0"/>
        <c:axId val="750948336"/>
        <c:axId val="750955536"/>
      </c:lineChart>
      <c:catAx>
        <c:axId val="75094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50955536"/>
        <c:crosses val="autoZero"/>
        <c:auto val="1"/>
        <c:lblAlgn val="ctr"/>
        <c:lblOffset val="100"/>
        <c:noMultiLvlLbl val="0"/>
      </c:catAx>
      <c:valAx>
        <c:axId val="75095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50948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'Trend Analizi'!$M$12</c:f>
              <c:strCache>
                <c:ptCount val="1"/>
                <c:pt idx="0">
                  <c:v>Satışların Maliyeti (-)</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'Trend Analizi'!$G$10:$K$10</c:f>
              <c:numCache>
                <c:formatCode>General</c:formatCode>
                <c:ptCount val="5"/>
                <c:pt idx="0">
                  <c:v>2018</c:v>
                </c:pt>
                <c:pt idx="1">
                  <c:v>2019</c:v>
                </c:pt>
                <c:pt idx="2">
                  <c:v>2020</c:v>
                </c:pt>
                <c:pt idx="3">
                  <c:v>2021</c:v>
                </c:pt>
                <c:pt idx="4">
                  <c:v>2022</c:v>
                </c:pt>
              </c:numCache>
            </c:numRef>
          </c:cat>
          <c:val>
            <c:numRef>
              <c:f>'Trend Analizi'!$S$12:$W$12</c:f>
              <c:numCache>
                <c:formatCode>0</c:formatCode>
                <c:ptCount val="5"/>
                <c:pt idx="0" formatCode="General">
                  <c:v>100</c:v>
                </c:pt>
                <c:pt idx="1">
                  <c:v>109.87754909499729</c:v>
                </c:pt>
                <c:pt idx="2">
                  <c:v>107.9334116784799</c:v>
                </c:pt>
                <c:pt idx="3">
                  <c:v>83.13543925877768</c:v>
                </c:pt>
                <c:pt idx="4">
                  <c:v>103.70649546372164</c:v>
                </c:pt>
              </c:numCache>
            </c:numRef>
          </c:val>
          <c:smooth val="0"/>
          <c:extLst>
            <c:ext xmlns:c16="http://schemas.microsoft.com/office/drawing/2014/chart" uri="{C3380CC4-5D6E-409C-BE32-E72D297353CC}">
              <c16:uniqueId val="{00000000-DE10-4D6C-BA25-8E415CDF1D91}"/>
            </c:ext>
          </c:extLst>
        </c:ser>
        <c:ser>
          <c:idx val="1"/>
          <c:order val="1"/>
          <c:tx>
            <c:strRef>
              <c:f>'Trend Analizi'!$M$11</c:f>
              <c:strCache>
                <c:ptCount val="1"/>
                <c:pt idx="0">
                  <c:v>Satış Gelirleri</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'Trend Analizi'!$G$10:$K$10</c:f>
              <c:numCache>
                <c:formatCode>General</c:formatCode>
                <c:ptCount val="5"/>
                <c:pt idx="0">
                  <c:v>2018</c:v>
                </c:pt>
                <c:pt idx="1">
                  <c:v>2019</c:v>
                </c:pt>
                <c:pt idx="2">
                  <c:v>2020</c:v>
                </c:pt>
                <c:pt idx="3">
                  <c:v>2021</c:v>
                </c:pt>
                <c:pt idx="4">
                  <c:v>2022</c:v>
                </c:pt>
              </c:numCache>
            </c:numRef>
          </c:cat>
          <c:val>
            <c:numRef>
              <c:f>'Trend Analizi'!$S$11:$W$11</c:f>
              <c:numCache>
                <c:formatCode>0</c:formatCode>
                <c:ptCount val="5"/>
                <c:pt idx="0" formatCode="General">
                  <c:v>100</c:v>
                </c:pt>
                <c:pt idx="1">
                  <c:v>109.69632704349604</c:v>
                </c:pt>
                <c:pt idx="2">
                  <c:v>110.55093165903156</c:v>
                </c:pt>
                <c:pt idx="3">
                  <c:v>88.360598574465428</c:v>
                </c:pt>
                <c:pt idx="4">
                  <c:v>107.98083232955564</c:v>
                </c:pt>
              </c:numCache>
            </c:numRef>
          </c:val>
          <c:smooth val="0"/>
          <c:extLst>
            <c:ext xmlns:c16="http://schemas.microsoft.com/office/drawing/2014/chart" uri="{C3380CC4-5D6E-409C-BE32-E72D297353CC}">
              <c16:uniqueId val="{00000001-DE10-4D6C-BA25-8E415CDF1D91}"/>
            </c:ext>
          </c:extLst>
        </c:ser>
        <c:dLbls>
          <c:dLblPos val="ctr"/>
          <c:showLegendKey val="0"/>
          <c:showVal val="1"/>
          <c:showCatName val="0"/>
          <c:showSerName val="0"/>
          <c:showPercent val="0"/>
          <c:showBubbleSize val="0"/>
        </c:dLbls>
        <c:smooth val="0"/>
        <c:axId val="750948336"/>
        <c:axId val="750955536"/>
      </c:lineChart>
      <c:catAx>
        <c:axId val="75094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50955536"/>
        <c:crosses val="autoZero"/>
        <c:auto val="1"/>
        <c:lblAlgn val="ctr"/>
        <c:lblOffset val="100"/>
        <c:noMultiLvlLbl val="0"/>
      </c:catAx>
      <c:valAx>
        <c:axId val="75095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50948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'Trend Analizi'!$M$20</c:f>
              <c:strCache>
                <c:ptCount val="1"/>
                <c:pt idx="0">
                  <c:v>BRÜT KAR (ZARAR)</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'Trend Analizi'!$S$10:$W$10</c:f>
              <c:numCache>
                <c:formatCode>General</c:formatCode>
                <c:ptCount val="5"/>
                <c:pt idx="0">
                  <c:v>2018</c:v>
                </c:pt>
                <c:pt idx="1">
                  <c:v>2019</c:v>
                </c:pt>
                <c:pt idx="2">
                  <c:v>2020</c:v>
                </c:pt>
                <c:pt idx="3">
                  <c:v>2021</c:v>
                </c:pt>
                <c:pt idx="4">
                  <c:v>2022</c:v>
                </c:pt>
              </c:numCache>
            </c:numRef>
          </c:cat>
          <c:val>
            <c:numRef>
              <c:f>'Trend Analizi'!$S$20:$W$20</c:f>
              <c:numCache>
                <c:formatCode>0</c:formatCode>
                <c:ptCount val="5"/>
                <c:pt idx="0" formatCode="General">
                  <c:v>100</c:v>
                </c:pt>
                <c:pt idx="1">
                  <c:v>108.13311476786014</c:v>
                </c:pt>
                <c:pt idx="2">
                  <c:v>133.12952698683281</c:v>
                </c:pt>
                <c:pt idx="3">
                  <c:v>133.43255928108067</c:v>
                </c:pt>
                <c:pt idx="4">
                  <c:v>144.85104654202888</c:v>
                </c:pt>
              </c:numCache>
            </c:numRef>
          </c:val>
          <c:smooth val="0"/>
          <c:extLst>
            <c:ext xmlns:c16="http://schemas.microsoft.com/office/drawing/2014/chart" uri="{C3380CC4-5D6E-409C-BE32-E72D297353CC}">
              <c16:uniqueId val="{00000000-8D17-46CB-BCC9-A6AA8D6110B8}"/>
            </c:ext>
          </c:extLst>
        </c:ser>
        <c:ser>
          <c:idx val="1"/>
          <c:order val="1"/>
          <c:tx>
            <c:strRef>
              <c:f>'Trend Analizi'!$M$27</c:f>
              <c:strCache>
                <c:ptCount val="1"/>
                <c:pt idx="0">
                  <c:v>FAALİYET KARI (ZARARI)</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'Trend Analizi'!$S$10:$W$10</c:f>
              <c:numCache>
                <c:formatCode>General</c:formatCode>
                <c:ptCount val="5"/>
                <c:pt idx="0">
                  <c:v>2018</c:v>
                </c:pt>
                <c:pt idx="1">
                  <c:v>2019</c:v>
                </c:pt>
                <c:pt idx="2">
                  <c:v>2020</c:v>
                </c:pt>
                <c:pt idx="3">
                  <c:v>2021</c:v>
                </c:pt>
                <c:pt idx="4">
                  <c:v>2022</c:v>
                </c:pt>
              </c:numCache>
            </c:numRef>
          </c:cat>
          <c:val>
            <c:numRef>
              <c:f>'Trend Analizi'!$S$27:$W$27</c:f>
              <c:numCache>
                <c:formatCode>0</c:formatCode>
                <c:ptCount val="5"/>
                <c:pt idx="0" formatCode="General">
                  <c:v>100</c:v>
                </c:pt>
                <c:pt idx="1">
                  <c:v>98.733260931173902</c:v>
                </c:pt>
                <c:pt idx="2">
                  <c:v>156.53631192974888</c:v>
                </c:pt>
                <c:pt idx="3">
                  <c:v>170.89435719576136</c:v>
                </c:pt>
                <c:pt idx="4">
                  <c:v>175.29085952512781</c:v>
                </c:pt>
              </c:numCache>
            </c:numRef>
          </c:val>
          <c:smooth val="0"/>
          <c:extLst>
            <c:ext xmlns:c16="http://schemas.microsoft.com/office/drawing/2014/chart" uri="{C3380CC4-5D6E-409C-BE32-E72D297353CC}">
              <c16:uniqueId val="{00000001-8D17-46CB-BCC9-A6AA8D6110B8}"/>
            </c:ext>
          </c:extLst>
        </c:ser>
        <c:ser>
          <c:idx val="2"/>
          <c:order val="2"/>
          <c:tx>
            <c:strRef>
              <c:f>'Trend Analizi'!$M$45</c:f>
              <c:strCache>
                <c:ptCount val="1"/>
                <c:pt idx="0">
                  <c:v>DÖNEM KARI (ZARARI)</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'Trend Analizi'!$S$10:$W$10</c:f>
              <c:numCache>
                <c:formatCode>General</c:formatCode>
                <c:ptCount val="5"/>
                <c:pt idx="0">
                  <c:v>2018</c:v>
                </c:pt>
                <c:pt idx="1">
                  <c:v>2019</c:v>
                </c:pt>
                <c:pt idx="2">
                  <c:v>2020</c:v>
                </c:pt>
                <c:pt idx="3">
                  <c:v>2021</c:v>
                </c:pt>
                <c:pt idx="4">
                  <c:v>2022</c:v>
                </c:pt>
              </c:numCache>
            </c:numRef>
          </c:cat>
          <c:val>
            <c:numRef>
              <c:f>'Trend Analizi'!$S$45:$W$45</c:f>
              <c:numCache>
                <c:formatCode>0</c:formatCode>
                <c:ptCount val="5"/>
                <c:pt idx="0" formatCode="General">
                  <c:v>100</c:v>
                </c:pt>
                <c:pt idx="1">
                  <c:v>108.43098885244117</c:v>
                </c:pt>
                <c:pt idx="2">
                  <c:v>185.48649695613929</c:v>
                </c:pt>
                <c:pt idx="3">
                  <c:v>216.33122973929773</c:v>
                </c:pt>
                <c:pt idx="4">
                  <c:v>231.40636979098628</c:v>
                </c:pt>
              </c:numCache>
            </c:numRef>
          </c:val>
          <c:smooth val="0"/>
          <c:extLst>
            <c:ext xmlns:c16="http://schemas.microsoft.com/office/drawing/2014/chart" uri="{C3380CC4-5D6E-409C-BE32-E72D297353CC}">
              <c16:uniqueId val="{00000002-8D17-46CB-BCC9-A6AA8D6110B8}"/>
            </c:ext>
          </c:extLst>
        </c:ser>
        <c:dLbls>
          <c:dLblPos val="ctr"/>
          <c:showLegendKey val="0"/>
          <c:showVal val="1"/>
          <c:showCatName val="0"/>
          <c:showSerName val="0"/>
          <c:showPercent val="0"/>
          <c:showBubbleSize val="0"/>
        </c:dLbls>
        <c:smooth val="0"/>
        <c:axId val="750948336"/>
        <c:axId val="750955536"/>
      </c:lineChart>
      <c:catAx>
        <c:axId val="75094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50955536"/>
        <c:crosses val="autoZero"/>
        <c:auto val="1"/>
        <c:lblAlgn val="ctr"/>
        <c:lblOffset val="100"/>
        <c:noMultiLvlLbl val="0"/>
      </c:catAx>
      <c:valAx>
        <c:axId val="75095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50948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lineChart>
        <c:grouping val="standard"/>
        <c:varyColors val="0"/>
        <c:ser>
          <c:idx val="3"/>
          <c:order val="0"/>
          <c:tx>
            <c:strRef>
              <c:f>'Faliyet Oranları'!$A$14</c:f>
              <c:strCache>
                <c:ptCount val="1"/>
                <c:pt idx="0">
                  <c:v>Stokların Devir Hızları</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'Faliyet Oranları'!$F$10:$Q$10</c:f>
              <c:strCache>
                <c:ptCount val="12"/>
                <c:pt idx="0">
                  <c:v>2020/3</c:v>
                </c:pt>
                <c:pt idx="1">
                  <c:v>2020/6</c:v>
                </c:pt>
                <c:pt idx="2">
                  <c:v>2020/9</c:v>
                </c:pt>
                <c:pt idx="3">
                  <c:v>2020/12</c:v>
                </c:pt>
                <c:pt idx="4">
                  <c:v>2021/3</c:v>
                </c:pt>
                <c:pt idx="5">
                  <c:v>2021/6</c:v>
                </c:pt>
                <c:pt idx="6">
                  <c:v>2021/9</c:v>
                </c:pt>
                <c:pt idx="7">
                  <c:v>2021/12</c:v>
                </c:pt>
                <c:pt idx="8">
                  <c:v>2022/3</c:v>
                </c:pt>
                <c:pt idx="9">
                  <c:v>2022/6</c:v>
                </c:pt>
                <c:pt idx="10">
                  <c:v>2022/9</c:v>
                </c:pt>
                <c:pt idx="11">
                  <c:v>2022/12</c:v>
                </c:pt>
              </c:strCache>
            </c:strRef>
          </c:cat>
          <c:val>
            <c:numRef>
              <c:f>'Faliyet Oranları'!$F$14:$Q$14</c:f>
              <c:numCache>
                <c:formatCode>0.00</c:formatCode>
                <c:ptCount val="12"/>
                <c:pt idx="0">
                  <c:v>16.570761000366552</c:v>
                </c:pt>
                <c:pt idx="1">
                  <c:v>17.268745944594265</c:v>
                </c:pt>
                <c:pt idx="2">
                  <c:v>17.633397844754676</c:v>
                </c:pt>
                <c:pt idx="3">
                  <c:v>20.234053449105588</c:v>
                </c:pt>
                <c:pt idx="4">
                  <c:v>17.622549516064993</c:v>
                </c:pt>
                <c:pt idx="5">
                  <c:v>16.492205266237928</c:v>
                </c:pt>
                <c:pt idx="6">
                  <c:v>18.527270691938156</c:v>
                </c:pt>
                <c:pt idx="7">
                  <c:v>15.533658299203625</c:v>
                </c:pt>
                <c:pt idx="8">
                  <c:v>9.736543786069463</c:v>
                </c:pt>
                <c:pt idx="9">
                  <c:v>10.314268424147594</c:v>
                </c:pt>
                <c:pt idx="10">
                  <c:v>11.456755551062139</c:v>
                </c:pt>
                <c:pt idx="11">
                  <c:v>15.463392798967794</c:v>
                </c:pt>
              </c:numCache>
            </c:numRef>
          </c:val>
          <c:smooth val="0"/>
          <c:extLst>
            <c:ext xmlns:c16="http://schemas.microsoft.com/office/drawing/2014/chart" uri="{C3380CC4-5D6E-409C-BE32-E72D297353CC}">
              <c16:uniqueId val="{00000003-9EBE-4AFB-9099-DB377F3C1517}"/>
            </c:ext>
          </c:extLst>
        </c:ser>
        <c:dLbls>
          <c:dLblPos val="t"/>
          <c:showLegendKey val="0"/>
          <c:showVal val="1"/>
          <c:showCatName val="0"/>
          <c:showSerName val="0"/>
          <c:showPercent val="0"/>
          <c:showBubbleSize val="0"/>
        </c:dLbls>
        <c:smooth val="0"/>
        <c:axId val="78199247"/>
        <c:axId val="78225647"/>
      </c:lineChart>
      <c:catAx>
        <c:axId val="7819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8225647"/>
        <c:crosses val="autoZero"/>
        <c:auto val="1"/>
        <c:lblAlgn val="ctr"/>
        <c:lblOffset val="100"/>
        <c:noMultiLvlLbl val="0"/>
      </c:catAx>
      <c:valAx>
        <c:axId val="782256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78199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5" Type="http://schemas.openxmlformats.org/officeDocument/2006/relationships/chart" Target="../charts/chart28.xml"/><Relationship Id="rId4"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5" Type="http://schemas.openxmlformats.org/officeDocument/2006/relationships/chart" Target="../charts/chart19.xml"/><Relationship Id="rId4" Type="http://schemas.openxmlformats.org/officeDocument/2006/relationships/chart" Target="../charts/chart1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9</xdr:col>
      <xdr:colOff>228600</xdr:colOff>
      <xdr:row>43</xdr:row>
      <xdr:rowOff>171449</xdr:rowOff>
    </xdr:from>
    <xdr:to>
      <xdr:col>19</xdr:col>
      <xdr:colOff>114300</xdr:colOff>
      <xdr:row>84</xdr:row>
      <xdr:rowOff>104775</xdr:rowOff>
    </xdr:to>
    <xdr:sp macro="" textlink="">
      <xdr:nvSpPr>
        <xdr:cNvPr id="2" name="Metin kutusu 1">
          <a:extLst>
            <a:ext uri="{FF2B5EF4-FFF2-40B4-BE49-F238E27FC236}">
              <a16:creationId xmlns:a16="http://schemas.microsoft.com/office/drawing/2014/main" id="{0ED0F741-0EE3-F5A2-B560-9565860314DE}"/>
            </a:ext>
          </a:extLst>
        </xdr:cNvPr>
        <xdr:cNvSpPr txBox="1"/>
      </xdr:nvSpPr>
      <xdr:spPr>
        <a:xfrm>
          <a:off x="9848850" y="8934449"/>
          <a:ext cx="10372725" cy="7743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tr-TR" sz="1100" b="1" baseline="0">
              <a:solidFill>
                <a:schemeClr val="dk1"/>
              </a:solidFill>
              <a:effectLst/>
              <a:latin typeface="+mn-lt"/>
              <a:ea typeface="+mn-ea"/>
              <a:cs typeface="+mn-cs"/>
            </a:rPr>
            <a:t>Ford AŞ. için:</a:t>
          </a:r>
          <a:endParaRPr lang="tr-TR" sz="1100" b="1"/>
        </a:p>
        <a:p>
          <a:r>
            <a:rPr lang="tr-TR" sz="1100"/>
            <a:t>1)</a:t>
          </a:r>
          <a:r>
            <a:rPr lang="tr-TR" sz="1100" baseline="0"/>
            <a:t> Dönen Varlıklar ile Kısa Vadeli Borçlardaki Değişimler:</a:t>
          </a:r>
        </a:p>
        <a:p>
          <a:r>
            <a:rPr lang="tr-TR" sz="1100" baseline="0"/>
            <a:t>* Dönen varlıklarında 2021 yılında %4 artış ve 2022 yılında %12 azalış olmuştur.</a:t>
          </a:r>
        </a:p>
        <a:p>
          <a:pPr marL="0" marR="0" lvl="0" indent="0" defTabSz="914400" eaLnBrk="1" fontAlgn="auto" latinLnBrk="0" hangingPunct="1">
            <a:lnSpc>
              <a:spcPct val="100000"/>
            </a:lnSpc>
            <a:spcBef>
              <a:spcPts val="0"/>
            </a:spcBef>
            <a:spcAft>
              <a:spcPts val="0"/>
            </a:spcAft>
            <a:buClrTx/>
            <a:buSzTx/>
            <a:buFontTx/>
            <a:buNone/>
            <a:tabLst/>
            <a:defRPr/>
          </a:pPr>
          <a:r>
            <a:rPr lang="tr-TR" sz="1100" baseline="0"/>
            <a:t>* </a:t>
          </a:r>
          <a:r>
            <a:rPr lang="tr-TR" sz="1100" baseline="0">
              <a:solidFill>
                <a:schemeClr val="dk1"/>
              </a:solidFill>
              <a:effectLst/>
              <a:latin typeface="+mn-lt"/>
              <a:ea typeface="+mn-ea"/>
              <a:cs typeface="+mn-cs"/>
            </a:rPr>
            <a:t>Kısa Vadeli YK.'da 2021 yılında %7 azalış ve 2022 yılında %4 artış olmuştur. </a:t>
          </a:r>
        </a:p>
        <a:p>
          <a:pPr marL="0" marR="0" lvl="0" indent="0" defTabSz="914400" eaLnBrk="1" fontAlgn="auto" latinLnBrk="0" hangingPunct="1">
            <a:lnSpc>
              <a:spcPct val="100000"/>
            </a:lnSpc>
            <a:spcBef>
              <a:spcPts val="0"/>
            </a:spcBef>
            <a:spcAft>
              <a:spcPts val="0"/>
            </a:spcAft>
            <a:buClrTx/>
            <a:buSzTx/>
            <a:buFontTx/>
            <a:buNone/>
            <a:tabLst/>
            <a:defRPr/>
          </a:pPr>
          <a:r>
            <a:rPr lang="tr-TR" sz="1100" baseline="0">
              <a:solidFill>
                <a:schemeClr val="dk1"/>
              </a:solidFill>
              <a:effectLst/>
              <a:latin typeface="+mn-lt"/>
              <a:ea typeface="+mn-ea"/>
              <a:cs typeface="+mn-cs"/>
            </a:rPr>
            <a:t>* Genel olarak dönen varlıklar kvyk ile finanse edildiği için bu durum borç ödeme gücüne olumsuz yansıyacaktır.</a:t>
          </a:r>
          <a:endParaRPr lang="tr-TR">
            <a:effectLst/>
          </a:endParaRPr>
        </a:p>
        <a:p>
          <a:endParaRPr lang="tr-TR" sz="1100"/>
        </a:p>
        <a:p>
          <a:r>
            <a:rPr lang="tr-TR" sz="1100"/>
            <a:t>2) Duran Varlıklar ile Devamlı Sermayedeki</a:t>
          </a:r>
          <a:r>
            <a:rPr lang="tr-TR" sz="1100" baseline="0"/>
            <a:t> Değişimler:</a:t>
          </a:r>
        </a:p>
        <a:p>
          <a:r>
            <a:rPr lang="tr-TR" sz="1100"/>
            <a:t>Duran varlıkların</a:t>
          </a:r>
          <a:r>
            <a:rPr lang="tr-TR" sz="1100" baseline="0"/>
            <a:t> nasıl finanse edildiği hakkında bigi verir.</a:t>
          </a:r>
        </a:p>
        <a:p>
          <a:r>
            <a:rPr lang="tr-TR" sz="1100" baseline="0"/>
            <a:t>* </a:t>
          </a:r>
          <a:r>
            <a:rPr lang="tr-TR" sz="1100" baseline="0">
              <a:solidFill>
                <a:schemeClr val="dk1"/>
              </a:solidFill>
              <a:effectLst/>
              <a:latin typeface="+mn-lt"/>
              <a:ea typeface="+mn-ea"/>
              <a:cs typeface="+mn-cs"/>
            </a:rPr>
            <a:t>Duran varlıklarında 2021 yılında %18 azalış ve 2022 yılında %71 artış olmuştur.</a:t>
          </a:r>
        </a:p>
        <a:p>
          <a:pPr marL="0" marR="0" lvl="0" indent="0" defTabSz="914400" eaLnBrk="1" fontAlgn="auto" latinLnBrk="0" hangingPunct="1">
            <a:lnSpc>
              <a:spcPct val="100000"/>
            </a:lnSpc>
            <a:spcBef>
              <a:spcPts val="0"/>
            </a:spcBef>
            <a:spcAft>
              <a:spcPts val="0"/>
            </a:spcAft>
            <a:buClrTx/>
            <a:buSzTx/>
            <a:buFontTx/>
            <a:buNone/>
            <a:tabLst/>
            <a:defRPr/>
          </a:pPr>
          <a:r>
            <a:rPr lang="tr-TR" sz="1100" baseline="0">
              <a:solidFill>
                <a:schemeClr val="dk1"/>
              </a:solidFill>
              <a:effectLst/>
              <a:latin typeface="+mn-lt"/>
              <a:ea typeface="+mn-ea"/>
              <a:cs typeface="+mn-cs"/>
            </a:rPr>
            <a:t>* Özkaynaklarında 2021 yılında %20 azalış ve 2022 yılında %15 azalış olmuştur.</a:t>
          </a:r>
        </a:p>
        <a:p>
          <a:pPr marL="0" marR="0" lvl="0" indent="0" defTabSz="914400" eaLnBrk="1" fontAlgn="auto" latinLnBrk="0" hangingPunct="1">
            <a:lnSpc>
              <a:spcPct val="100000"/>
            </a:lnSpc>
            <a:spcBef>
              <a:spcPts val="0"/>
            </a:spcBef>
            <a:spcAft>
              <a:spcPts val="0"/>
            </a:spcAft>
            <a:buClrTx/>
            <a:buSzTx/>
            <a:buFontTx/>
            <a:buNone/>
            <a:tabLst/>
            <a:defRPr/>
          </a:pPr>
          <a:r>
            <a:rPr lang="tr-TR" sz="1100" baseline="0">
              <a:solidFill>
                <a:schemeClr val="dk1"/>
              </a:solidFill>
              <a:effectLst/>
              <a:latin typeface="+mn-lt"/>
              <a:ea typeface="+mn-ea"/>
              <a:cs typeface="+mn-cs"/>
            </a:rPr>
            <a:t>* Uzun Vadeli Borçlarında 2021 yılında %37 artış ve 2022 yılında %66 artış olmuştur.</a:t>
          </a:r>
        </a:p>
        <a:p>
          <a:pPr marL="0" marR="0" lvl="0" indent="0" defTabSz="914400" eaLnBrk="1" fontAlgn="auto" latinLnBrk="0" hangingPunct="1">
            <a:lnSpc>
              <a:spcPct val="100000"/>
            </a:lnSpc>
            <a:spcBef>
              <a:spcPts val="0"/>
            </a:spcBef>
            <a:spcAft>
              <a:spcPts val="0"/>
            </a:spcAft>
            <a:buClrTx/>
            <a:buSzTx/>
            <a:buFontTx/>
            <a:buNone/>
            <a:tabLst/>
            <a:defRPr/>
          </a:pPr>
          <a:r>
            <a:rPr lang="tr-TR" sz="1100" baseline="0">
              <a:solidFill>
                <a:schemeClr val="dk1"/>
              </a:solidFill>
              <a:effectLst/>
              <a:latin typeface="+mn-lt"/>
              <a:ea typeface="+mn-ea"/>
              <a:cs typeface="+mn-cs"/>
            </a:rPr>
            <a:t>* Devamlı Sermayesinde 2021 yılında %3 artış ve 2022 yılında %18 artış olmuştur.</a:t>
          </a:r>
        </a:p>
        <a:p>
          <a:pPr marL="0" marR="0" lvl="0" indent="0" defTabSz="914400" eaLnBrk="1" fontAlgn="auto" latinLnBrk="0" hangingPunct="1">
            <a:lnSpc>
              <a:spcPct val="100000"/>
            </a:lnSpc>
            <a:spcBef>
              <a:spcPts val="0"/>
            </a:spcBef>
            <a:spcAft>
              <a:spcPts val="0"/>
            </a:spcAft>
            <a:buClrTx/>
            <a:buSzTx/>
            <a:buFontTx/>
            <a:buNone/>
            <a:tabLst/>
            <a:defRPr/>
          </a:pPr>
          <a:r>
            <a:rPr lang="tr-TR" sz="1100" baseline="0">
              <a:solidFill>
                <a:schemeClr val="dk1"/>
              </a:solidFill>
              <a:effectLst/>
              <a:latin typeface="+mn-lt"/>
              <a:ea typeface="+mn-ea"/>
              <a:cs typeface="+mn-cs"/>
            </a:rPr>
            <a:t>İlgili dönemde duran varlıkların ağırlıklı olarak uzun vadeli borçlar ile finanse edildiği söylenebilir. Aynı zamanda tamamı devamlı sermaye ile finanse edilir ve dönen varlıkların bir kısmı da devamlı sermaye ile finanse edilir.</a:t>
          </a:r>
        </a:p>
        <a:p>
          <a:pPr marL="0" marR="0" lvl="0" indent="0" defTabSz="914400" eaLnBrk="1" fontAlgn="auto" latinLnBrk="0" hangingPunct="1">
            <a:lnSpc>
              <a:spcPct val="100000"/>
            </a:lnSpc>
            <a:spcBef>
              <a:spcPts val="0"/>
            </a:spcBef>
            <a:spcAft>
              <a:spcPts val="0"/>
            </a:spcAft>
            <a:buClrTx/>
            <a:buSzTx/>
            <a:buFontTx/>
            <a:buNone/>
            <a:tabLst/>
            <a:defRPr/>
          </a:pPr>
          <a:endParaRPr lang="tr-TR"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tr-TR" sz="1100" baseline="0">
              <a:solidFill>
                <a:schemeClr val="dk1"/>
              </a:solidFill>
              <a:effectLst/>
              <a:latin typeface="+mn-lt"/>
              <a:ea typeface="+mn-ea"/>
              <a:cs typeface="+mn-cs"/>
            </a:rPr>
            <a:t>3) Stoklar ile Satış Gelirlerindeki Değişimler:</a:t>
          </a:r>
        </a:p>
        <a:p>
          <a:pPr marL="0" marR="0" lvl="0" indent="0" defTabSz="914400" eaLnBrk="1" fontAlgn="auto" latinLnBrk="0" hangingPunct="1">
            <a:lnSpc>
              <a:spcPct val="100000"/>
            </a:lnSpc>
            <a:spcBef>
              <a:spcPts val="0"/>
            </a:spcBef>
            <a:spcAft>
              <a:spcPts val="0"/>
            </a:spcAft>
            <a:buClrTx/>
            <a:buSzTx/>
            <a:buFontTx/>
            <a:buNone/>
            <a:tabLst/>
            <a:defRPr/>
          </a:pPr>
          <a:r>
            <a:rPr lang="tr-TR" sz="1100" baseline="0">
              <a:solidFill>
                <a:schemeClr val="dk1"/>
              </a:solidFill>
              <a:effectLst/>
              <a:latin typeface="+mn-lt"/>
              <a:ea typeface="+mn-ea"/>
              <a:cs typeface="+mn-cs"/>
            </a:rPr>
            <a:t>Stoklar artarken satış gelirleri de artmışsa, bu durum şirketin satış taleplerini karşılamak için elinde daha çok stok tuttuğu anlamı taşır.</a:t>
          </a:r>
        </a:p>
        <a:p>
          <a:pPr marL="0" marR="0" lvl="0" indent="0" defTabSz="914400" eaLnBrk="1" fontAlgn="auto" latinLnBrk="0" hangingPunct="1">
            <a:lnSpc>
              <a:spcPct val="100000"/>
            </a:lnSpc>
            <a:spcBef>
              <a:spcPts val="0"/>
            </a:spcBef>
            <a:spcAft>
              <a:spcPts val="0"/>
            </a:spcAft>
            <a:buClrTx/>
            <a:buSzTx/>
            <a:buFontTx/>
            <a:buNone/>
            <a:tabLst/>
            <a:defRPr/>
          </a:pPr>
          <a:r>
            <a:rPr lang="tr-TR" sz="1100" baseline="0">
              <a:solidFill>
                <a:schemeClr val="dk1"/>
              </a:solidFill>
              <a:effectLst/>
              <a:latin typeface="+mn-lt"/>
              <a:ea typeface="+mn-ea"/>
              <a:cs typeface="+mn-cs"/>
            </a:rPr>
            <a:t>* Stoklarında 2021 yılında %20 artış ve 2022 yılında %59 artış olmuştur.</a:t>
          </a:r>
        </a:p>
        <a:p>
          <a:pPr marL="0" marR="0" lvl="0" indent="0" defTabSz="914400" eaLnBrk="1" fontAlgn="auto" latinLnBrk="0" hangingPunct="1">
            <a:lnSpc>
              <a:spcPct val="100000"/>
            </a:lnSpc>
            <a:spcBef>
              <a:spcPts val="0"/>
            </a:spcBef>
            <a:spcAft>
              <a:spcPts val="0"/>
            </a:spcAft>
            <a:buClrTx/>
            <a:buSzTx/>
            <a:buFontTx/>
            <a:buNone/>
            <a:tabLst/>
            <a:defRPr/>
          </a:pPr>
          <a:r>
            <a:rPr lang="tr-TR" sz="1100" baseline="0">
              <a:solidFill>
                <a:schemeClr val="dk1"/>
              </a:solidFill>
              <a:effectLst/>
              <a:latin typeface="+mn-lt"/>
              <a:ea typeface="+mn-ea"/>
              <a:cs typeface="+mn-cs"/>
            </a:rPr>
            <a:t>* Satış gelirlerinde 2021 yılında %20 azalış ve 2022 yılında %2 azalış olmuştur.</a:t>
          </a:r>
        </a:p>
        <a:p>
          <a:pPr marL="0" marR="0" lvl="0" indent="0" defTabSz="914400" eaLnBrk="1" fontAlgn="auto" latinLnBrk="0" hangingPunct="1">
            <a:lnSpc>
              <a:spcPct val="100000"/>
            </a:lnSpc>
            <a:spcBef>
              <a:spcPts val="0"/>
            </a:spcBef>
            <a:spcAft>
              <a:spcPts val="0"/>
            </a:spcAft>
            <a:buClrTx/>
            <a:buSzTx/>
            <a:buFontTx/>
            <a:buNone/>
            <a:tabLst/>
            <a:defRPr/>
          </a:pPr>
          <a:r>
            <a:rPr lang="tr-TR" sz="1100" baseline="0">
              <a:solidFill>
                <a:schemeClr val="dk1"/>
              </a:solidFill>
              <a:effectLst/>
              <a:latin typeface="+mn-lt"/>
              <a:ea typeface="+mn-ea"/>
              <a:cs typeface="+mn-cs"/>
            </a:rPr>
            <a:t>Stoklardaki artışların yeni yatırımlar sonucu faaliyet hacminin büyümesi ve bunun sonucunda üretim artışından kaynaklanabilir (Faaliyet raporundan elde edilen bilgilere göre). Henüz bu durum satışlara yansımamış.</a:t>
          </a:r>
        </a:p>
        <a:p>
          <a:pPr marL="0" marR="0" lvl="0" indent="0" defTabSz="914400" eaLnBrk="1" fontAlgn="auto" latinLnBrk="0" hangingPunct="1">
            <a:lnSpc>
              <a:spcPct val="100000"/>
            </a:lnSpc>
            <a:spcBef>
              <a:spcPts val="0"/>
            </a:spcBef>
            <a:spcAft>
              <a:spcPts val="0"/>
            </a:spcAft>
            <a:buClrTx/>
            <a:buSzTx/>
            <a:buFontTx/>
            <a:buNone/>
            <a:tabLst/>
            <a:defRPr/>
          </a:pPr>
          <a:endParaRPr lang="tr-TR"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tr-TR" sz="1100" baseline="0">
              <a:solidFill>
                <a:schemeClr val="dk1"/>
              </a:solidFill>
              <a:effectLst/>
              <a:latin typeface="+mn-lt"/>
              <a:ea typeface="+mn-ea"/>
              <a:cs typeface="+mn-cs"/>
            </a:rPr>
            <a:t>4) Ticari Alacaklar ile Satış Gelirlerindeki Değişimler:</a:t>
          </a:r>
        </a:p>
        <a:p>
          <a:pPr marL="0" marR="0" lvl="0" indent="0" defTabSz="914400" eaLnBrk="1" fontAlgn="auto" latinLnBrk="0" hangingPunct="1">
            <a:lnSpc>
              <a:spcPct val="100000"/>
            </a:lnSpc>
            <a:spcBef>
              <a:spcPts val="0"/>
            </a:spcBef>
            <a:spcAft>
              <a:spcPts val="0"/>
            </a:spcAft>
            <a:buClrTx/>
            <a:buSzTx/>
            <a:buFontTx/>
            <a:buNone/>
            <a:tabLst/>
            <a:defRPr/>
          </a:pPr>
          <a:r>
            <a:rPr lang="tr-TR" sz="1100" baseline="0">
              <a:solidFill>
                <a:schemeClr val="dk1"/>
              </a:solidFill>
              <a:effectLst/>
              <a:latin typeface="+mn-lt"/>
              <a:ea typeface="+mn-ea"/>
              <a:cs typeface="+mn-cs"/>
            </a:rPr>
            <a:t>İşletme pazar payını ve satış gelirini artırmak amacıyla satışlarını daha çok kredili yapmaya başlamış olabilir. Böyle bir durumda hem satış gelirleri hem de ticari alacaklar birbirine paralel olarak artar. Ancak satış gelirleri artmadan ve şirketin kredili satış politikasında bir değişiklik olmadan ticari alacaklar artıyorsa bu durum ticari alacakların tahsilinde bir sıkıntının olabileceğini gösterir.</a:t>
          </a:r>
          <a:endParaRPr lang="tr-TR">
            <a:effectLst/>
          </a:endParaRPr>
        </a:p>
        <a:p>
          <a:pPr eaLnBrk="1" fontAlgn="auto" latinLnBrk="0" hangingPunct="1"/>
          <a:r>
            <a:rPr lang="tr-TR" sz="1100" baseline="0">
              <a:solidFill>
                <a:schemeClr val="dk1"/>
              </a:solidFill>
              <a:effectLst/>
              <a:latin typeface="+mn-lt"/>
              <a:ea typeface="+mn-ea"/>
              <a:cs typeface="+mn-cs"/>
            </a:rPr>
            <a:t>* Ticari alacaklarında 2021 yılında %10 artış ve 2022 yılında %26 artış olmuştur.</a:t>
          </a:r>
          <a:endParaRPr lang="tr-TR">
            <a:effectLst/>
          </a:endParaRPr>
        </a:p>
        <a:p>
          <a:pPr eaLnBrk="1" fontAlgn="auto" latinLnBrk="0" hangingPunct="1"/>
          <a:r>
            <a:rPr lang="tr-TR" sz="1100" baseline="0">
              <a:solidFill>
                <a:schemeClr val="dk1"/>
              </a:solidFill>
              <a:effectLst/>
              <a:latin typeface="+mn-lt"/>
              <a:ea typeface="+mn-ea"/>
              <a:cs typeface="+mn-cs"/>
            </a:rPr>
            <a:t>* Satış gelirlerinde 2021 yılında %20 azalış ve 2022 yılında %2 azalış olmuştur.</a:t>
          </a:r>
        </a:p>
        <a:p>
          <a:pPr eaLnBrk="1" fontAlgn="auto" latinLnBrk="0" hangingPunct="1"/>
          <a:r>
            <a:rPr lang="tr-TR" sz="1100" baseline="0">
              <a:solidFill>
                <a:schemeClr val="dk1"/>
              </a:solidFill>
              <a:effectLst/>
              <a:latin typeface="+mn-lt"/>
              <a:ea typeface="+mn-ea"/>
              <a:cs typeface="+mn-cs"/>
            </a:rPr>
            <a:t>Finansal raporda yer alan dipnotlara bakıldığında Ticari alacakların büyük bir kısmı ilişkili taraflardan alacaklara ait ve firma bu alacakları düzenli olarak tahsil etmektedir.</a:t>
          </a:r>
          <a:endParaRPr lang="tr-TR">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tr-TR">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tr-TR">
              <a:effectLst/>
            </a:rPr>
            <a:t>5) Satış Gelirleri ile Satışların Maliyetindeki Değişimler:</a:t>
          </a:r>
        </a:p>
        <a:p>
          <a:pPr marL="0" marR="0" lvl="0" indent="0" defTabSz="914400" eaLnBrk="1" fontAlgn="auto" latinLnBrk="0" hangingPunct="1">
            <a:lnSpc>
              <a:spcPct val="100000"/>
            </a:lnSpc>
            <a:spcBef>
              <a:spcPts val="0"/>
            </a:spcBef>
            <a:spcAft>
              <a:spcPts val="0"/>
            </a:spcAft>
            <a:buClrTx/>
            <a:buSzTx/>
            <a:buFontTx/>
            <a:buNone/>
            <a:tabLst/>
            <a:defRPr/>
          </a:pPr>
          <a:r>
            <a:rPr lang="tr-TR">
              <a:effectLst/>
            </a:rPr>
            <a:t>İşletmelerde ana gelir kalemi satış gelirleri ve ana gider kalemi de satışların maliyetidir. Genel olarak bu iki kalemin birlikte hareket etmesi gerekir. Çünkü bir işletmede</a:t>
          </a:r>
          <a:r>
            <a:rPr lang="tr-TR" baseline="0">
              <a:effectLst/>
            </a:rPr>
            <a:t> üretim maliyetlerinin artması satış fiyatlarının artması ile sonuçlanır. Fakat talebin zayıf olduğu dönemlerde işletmeler maliyet artışını tam olarak fiyatlara yansıtamayabilirler. Böyle bir durumda karlılık azalır..</a:t>
          </a:r>
        </a:p>
        <a:p>
          <a:pPr marL="0" marR="0" lvl="0" indent="0" defTabSz="914400" eaLnBrk="1" fontAlgn="auto" latinLnBrk="0" hangingPunct="1">
            <a:lnSpc>
              <a:spcPct val="100000"/>
            </a:lnSpc>
            <a:spcBef>
              <a:spcPts val="0"/>
            </a:spcBef>
            <a:spcAft>
              <a:spcPts val="0"/>
            </a:spcAft>
            <a:buClrTx/>
            <a:buSzTx/>
            <a:buFontTx/>
            <a:buNone/>
            <a:tabLst/>
            <a:defRPr/>
          </a:pPr>
          <a:r>
            <a:rPr lang="tr-TR" sz="1100" baseline="0">
              <a:solidFill>
                <a:schemeClr val="dk1"/>
              </a:solidFill>
              <a:effectLst/>
              <a:latin typeface="+mn-lt"/>
              <a:ea typeface="+mn-ea"/>
              <a:cs typeface="+mn-cs"/>
            </a:rPr>
            <a:t>* Satış gelirlerinde 2021 yılında %20 azalış ve 2022 yılında %2 azalış olmuştur.</a:t>
          </a:r>
          <a:endParaRPr lang="tr-TR">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tr-TR" sz="1100" baseline="0">
              <a:solidFill>
                <a:schemeClr val="dk1"/>
              </a:solidFill>
              <a:effectLst/>
              <a:latin typeface="+mn-lt"/>
              <a:ea typeface="+mn-ea"/>
              <a:cs typeface="+mn-cs"/>
            </a:rPr>
            <a:t>* Satışların maliyetinde 2021 yılında %23 azalış ve 2022 yılında %4 azalış olmuştur.</a:t>
          </a:r>
        </a:p>
        <a:p>
          <a:pPr marL="0" marR="0" lvl="0" indent="0" defTabSz="914400" eaLnBrk="1" fontAlgn="auto" latinLnBrk="0" hangingPunct="1">
            <a:lnSpc>
              <a:spcPct val="100000"/>
            </a:lnSpc>
            <a:spcBef>
              <a:spcPts val="0"/>
            </a:spcBef>
            <a:spcAft>
              <a:spcPts val="0"/>
            </a:spcAft>
            <a:buClrTx/>
            <a:buSzTx/>
            <a:buFontTx/>
            <a:buNone/>
            <a:tabLst/>
            <a:defRPr/>
          </a:pPr>
          <a:r>
            <a:rPr lang="tr-TR" sz="1100" baseline="0">
              <a:solidFill>
                <a:schemeClr val="dk1"/>
              </a:solidFill>
              <a:effectLst/>
              <a:latin typeface="+mn-lt"/>
              <a:ea typeface="+mn-ea"/>
              <a:cs typeface="+mn-cs"/>
            </a:rPr>
            <a:t>Satışların maliyetinin her iki dönemde de satış gelirlerinden daha fazla düştüğü görülür. Bu durum brüt kara pozitif yansır.</a:t>
          </a:r>
        </a:p>
        <a:p>
          <a:pPr marL="0" marR="0" lvl="0" indent="0" defTabSz="914400" eaLnBrk="1" fontAlgn="auto" latinLnBrk="0" hangingPunct="1">
            <a:lnSpc>
              <a:spcPct val="100000"/>
            </a:lnSpc>
            <a:spcBef>
              <a:spcPts val="0"/>
            </a:spcBef>
            <a:spcAft>
              <a:spcPts val="0"/>
            </a:spcAft>
            <a:buClrTx/>
            <a:buSzTx/>
            <a:buFontTx/>
            <a:buNone/>
            <a:tabLst/>
            <a:defRPr/>
          </a:pPr>
          <a:endParaRPr lang="tr-TR"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tr-TR" sz="1100" baseline="0">
              <a:solidFill>
                <a:schemeClr val="dk1"/>
              </a:solidFill>
              <a:effectLst/>
              <a:latin typeface="+mn-lt"/>
              <a:ea typeface="+mn-ea"/>
              <a:cs typeface="+mn-cs"/>
            </a:rPr>
            <a:t>6) Satış Gelirleri ile Dönem Karında ki Değişimler:</a:t>
          </a:r>
        </a:p>
        <a:p>
          <a:pPr marL="0" marR="0" lvl="0" indent="0" defTabSz="914400" eaLnBrk="1" fontAlgn="auto" latinLnBrk="0" hangingPunct="1">
            <a:lnSpc>
              <a:spcPct val="100000"/>
            </a:lnSpc>
            <a:spcBef>
              <a:spcPts val="0"/>
            </a:spcBef>
            <a:spcAft>
              <a:spcPts val="0"/>
            </a:spcAft>
            <a:buClrTx/>
            <a:buSzTx/>
            <a:buFontTx/>
            <a:buNone/>
            <a:tabLst/>
            <a:defRPr/>
          </a:pPr>
          <a:r>
            <a:rPr lang="tr-TR" sz="1100" baseline="0">
              <a:solidFill>
                <a:schemeClr val="dk1"/>
              </a:solidFill>
              <a:effectLst/>
              <a:latin typeface="+mn-lt"/>
              <a:ea typeface="+mn-ea"/>
              <a:cs typeface="+mn-cs"/>
            </a:rPr>
            <a:t>Bir işletmenin faaliyet sonuçlarını(bir dönemdeki performansını) görmek önemlidir. Genel olarak faaliyet sonuçları karlılık üzerinden değerlendirilir.</a:t>
          </a:r>
        </a:p>
        <a:p>
          <a:pPr marL="0" marR="0" lvl="0" indent="0" defTabSz="914400" eaLnBrk="1" fontAlgn="auto" latinLnBrk="0" hangingPunct="1">
            <a:lnSpc>
              <a:spcPct val="100000"/>
            </a:lnSpc>
            <a:spcBef>
              <a:spcPts val="0"/>
            </a:spcBef>
            <a:spcAft>
              <a:spcPts val="0"/>
            </a:spcAft>
            <a:buClrTx/>
            <a:buSzTx/>
            <a:buFontTx/>
            <a:buNone/>
            <a:tabLst/>
            <a:defRPr/>
          </a:pPr>
          <a:r>
            <a:rPr lang="tr-TR" sz="1100" baseline="0">
              <a:solidFill>
                <a:schemeClr val="dk1"/>
              </a:solidFill>
              <a:effectLst/>
              <a:latin typeface="+mn-lt"/>
              <a:ea typeface="+mn-ea"/>
              <a:cs typeface="+mn-cs"/>
            </a:rPr>
            <a:t>* Satış gelirlerinde 2021 yılında %20 azalış ve 2022 yılında %2 azalış olmuştur.</a:t>
          </a:r>
          <a:endParaRPr lang="tr-TR">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tr-TR" sz="1100" baseline="0">
              <a:solidFill>
                <a:schemeClr val="dk1"/>
              </a:solidFill>
              <a:effectLst/>
              <a:latin typeface="+mn-lt"/>
              <a:ea typeface="+mn-ea"/>
              <a:cs typeface="+mn-cs"/>
            </a:rPr>
            <a:t>* Dönem Karında 2021 yılında %17 artış ve 2022 yılında %25 artış olmuştur.</a:t>
          </a:r>
        </a:p>
        <a:p>
          <a:pPr marL="0" marR="0" lvl="0" indent="0" defTabSz="914400" eaLnBrk="1" fontAlgn="auto" latinLnBrk="0" hangingPunct="1">
            <a:lnSpc>
              <a:spcPct val="100000"/>
            </a:lnSpc>
            <a:spcBef>
              <a:spcPts val="0"/>
            </a:spcBef>
            <a:spcAft>
              <a:spcPts val="0"/>
            </a:spcAft>
            <a:buClrTx/>
            <a:buSzTx/>
            <a:buFontTx/>
            <a:buNone/>
            <a:tabLst/>
            <a:defRPr/>
          </a:pPr>
          <a:r>
            <a:rPr lang="tr-TR" sz="1100" baseline="0">
              <a:solidFill>
                <a:schemeClr val="dk1"/>
              </a:solidFill>
              <a:effectLst/>
              <a:latin typeface="+mn-lt"/>
              <a:ea typeface="+mn-ea"/>
              <a:cs typeface="+mn-cs"/>
            </a:rPr>
            <a:t>Her iki dönemde de yüksek kar artışı var ve büyük çoğunluğu faaliyet karı artışından kaynaklanmaktadır.</a:t>
          </a:r>
          <a:endParaRPr lang="tr-TR">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tr-TR">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tr-TR">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tr-TR">
            <a:effectLst/>
          </a:endParaRPr>
        </a:p>
        <a:p>
          <a:endParaRPr lang="tr-TR"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104775</xdr:colOff>
      <xdr:row>2</xdr:row>
      <xdr:rowOff>9524</xdr:rowOff>
    </xdr:from>
    <xdr:to>
      <xdr:col>13</xdr:col>
      <xdr:colOff>95250</xdr:colOff>
      <xdr:row>9</xdr:row>
      <xdr:rowOff>19049</xdr:rowOff>
    </xdr:to>
    <xdr:sp macro="" textlink="">
      <xdr:nvSpPr>
        <xdr:cNvPr id="2" name="Metin kutusu 1">
          <a:extLst>
            <a:ext uri="{FF2B5EF4-FFF2-40B4-BE49-F238E27FC236}">
              <a16:creationId xmlns:a16="http://schemas.microsoft.com/office/drawing/2014/main" id="{BCEBD5E4-8241-5514-7C67-A4FC85F1BA6D}"/>
            </a:ext>
          </a:extLst>
        </xdr:cNvPr>
        <xdr:cNvSpPr txBox="1"/>
      </xdr:nvSpPr>
      <xdr:spPr>
        <a:xfrm>
          <a:off x="6896100" y="390524"/>
          <a:ext cx="4257675" cy="1343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FROTO 3 yılda da esas faaliyetlerinden yüksek miktarda nakit akışına sahiptir. Son yılda faliyetlerinden sağladığı nakit akışının biraz üzerinde yatırım yapmıştır ve borçlarının</a:t>
          </a:r>
          <a:r>
            <a:rPr lang="tr-TR" sz="1100" baseline="0"/>
            <a:t> bir kısmını ödemiştir. Büyüen bir firma olduğu için yüksek tutarlı yatırımlar yapıyor. Bu yatırımın finansmanı için gerçekleşen esas faaliyetlerden oluşan nakit akışı yetresiz kalmaktadır. Kalan tutar finansman ile karşılanmaktadır.</a:t>
          </a:r>
          <a:endParaRPr lang="tr-TR" sz="1100"/>
        </a:p>
      </xdr:txBody>
    </xdr:sp>
    <xdr:clientData/>
  </xdr:twoCellAnchor>
  <xdr:twoCellAnchor>
    <xdr:from>
      <xdr:col>4</xdr:col>
      <xdr:colOff>710293</xdr:colOff>
      <xdr:row>18</xdr:row>
      <xdr:rowOff>153761</xdr:rowOff>
    </xdr:from>
    <xdr:to>
      <xdr:col>11</xdr:col>
      <xdr:colOff>122464</xdr:colOff>
      <xdr:row>31</xdr:row>
      <xdr:rowOff>1361</xdr:rowOff>
    </xdr:to>
    <xdr:sp macro="" textlink="">
      <xdr:nvSpPr>
        <xdr:cNvPr id="3" name="Metin kutusu 2">
          <a:extLst>
            <a:ext uri="{FF2B5EF4-FFF2-40B4-BE49-F238E27FC236}">
              <a16:creationId xmlns:a16="http://schemas.microsoft.com/office/drawing/2014/main" id="{6F074845-FDC4-764B-8D46-420670C2E339}"/>
            </a:ext>
          </a:extLst>
        </xdr:cNvPr>
        <xdr:cNvSpPr txBox="1"/>
      </xdr:nvSpPr>
      <xdr:spPr>
        <a:xfrm>
          <a:off x="7854043" y="4154261"/>
          <a:ext cx="4093028" cy="2324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FROTO 2022 yılında işletme faaliyetlerinden</a:t>
          </a:r>
          <a:r>
            <a:rPr lang="tr-TR" sz="1100" baseline="0"/>
            <a:t> elde ettiği nakit ile kısa vadeli borçlarının %45'ini, toplam borçlarının %28'ini karşılamaktadır. </a:t>
          </a:r>
        </a:p>
        <a:p>
          <a:endParaRPr lang="tr-TR" sz="1100" baseline="0"/>
        </a:p>
        <a:p>
          <a:r>
            <a:rPr lang="tr-TR" sz="1100" baseline="0"/>
            <a:t>İşletme faaliyetlerinden sağladığı nakit akışları 2022 de toplam varlıklarının %22'sine denk gelmektedir ve hisse başı işletme faaliyetinden sağlanan nakit akışı 59,15'dir. (bir yıllık faaliyetlerinden sağladığı nakit akışları ile hisse başına ödeyebileceği fon akışını gösterir.)</a:t>
          </a:r>
        </a:p>
        <a:p>
          <a:endParaRPr lang="tr-TR" sz="1100" baseline="0"/>
        </a:p>
        <a:p>
          <a:r>
            <a:rPr lang="tr-TR" sz="1100" baseline="0"/>
            <a:t>*FROTO'nun 1 yıllık faaliyetlerinden sağladığı nakit akışı ile 2022 yılında temettü ödeme kapasitesi 3,16'dır.</a:t>
          </a:r>
          <a:endParaRPr lang="tr-T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571500</xdr:colOff>
      <xdr:row>40</xdr:row>
      <xdr:rowOff>180975</xdr:rowOff>
    </xdr:from>
    <xdr:to>
      <xdr:col>6</xdr:col>
      <xdr:colOff>428625</xdr:colOff>
      <xdr:row>57</xdr:row>
      <xdr:rowOff>104775</xdr:rowOff>
    </xdr:to>
    <xdr:graphicFrame macro="">
      <xdr:nvGraphicFramePr>
        <xdr:cNvPr id="2" name="Grafik 1">
          <a:extLst>
            <a:ext uri="{FF2B5EF4-FFF2-40B4-BE49-F238E27FC236}">
              <a16:creationId xmlns:a16="http://schemas.microsoft.com/office/drawing/2014/main" id="{78B2B6F6-8CA3-7223-3B7E-281A25FB2D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41</xdr:row>
      <xdr:rowOff>0</xdr:rowOff>
    </xdr:from>
    <xdr:to>
      <xdr:col>13</xdr:col>
      <xdr:colOff>400050</xdr:colOff>
      <xdr:row>57</xdr:row>
      <xdr:rowOff>114300</xdr:rowOff>
    </xdr:to>
    <xdr:graphicFrame macro="">
      <xdr:nvGraphicFramePr>
        <xdr:cNvPr id="3" name="Grafik 2">
          <a:extLst>
            <a:ext uri="{FF2B5EF4-FFF2-40B4-BE49-F238E27FC236}">
              <a16:creationId xmlns:a16="http://schemas.microsoft.com/office/drawing/2014/main" id="{FE7E1F65-9AA9-496E-982B-30F8725EF2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41</xdr:row>
      <xdr:rowOff>0</xdr:rowOff>
    </xdr:from>
    <xdr:to>
      <xdr:col>21</xdr:col>
      <xdr:colOff>371475</xdr:colOff>
      <xdr:row>57</xdr:row>
      <xdr:rowOff>114300</xdr:rowOff>
    </xdr:to>
    <xdr:graphicFrame macro="">
      <xdr:nvGraphicFramePr>
        <xdr:cNvPr id="4" name="Grafik 3">
          <a:extLst>
            <a:ext uri="{FF2B5EF4-FFF2-40B4-BE49-F238E27FC236}">
              <a16:creationId xmlns:a16="http://schemas.microsoft.com/office/drawing/2014/main" id="{3EB32E2C-923F-4265-9DCE-CA2C45D68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0</xdr:colOff>
      <xdr:row>41</xdr:row>
      <xdr:rowOff>0</xdr:rowOff>
    </xdr:from>
    <xdr:to>
      <xdr:col>33</xdr:col>
      <xdr:colOff>66675</xdr:colOff>
      <xdr:row>57</xdr:row>
      <xdr:rowOff>114300</xdr:rowOff>
    </xdr:to>
    <xdr:graphicFrame macro="">
      <xdr:nvGraphicFramePr>
        <xdr:cNvPr id="5" name="Grafik 4">
          <a:extLst>
            <a:ext uri="{FF2B5EF4-FFF2-40B4-BE49-F238E27FC236}">
              <a16:creationId xmlns:a16="http://schemas.microsoft.com/office/drawing/2014/main" id="{FBEBC799-D657-4F70-9756-39CC731C3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285748</xdr:colOff>
      <xdr:row>106</xdr:row>
      <xdr:rowOff>16327</xdr:rowOff>
    </xdr:from>
    <xdr:to>
      <xdr:col>9</xdr:col>
      <xdr:colOff>830036</xdr:colOff>
      <xdr:row>128</xdr:row>
      <xdr:rowOff>81642</xdr:rowOff>
    </xdr:to>
    <xdr:graphicFrame macro="">
      <xdr:nvGraphicFramePr>
        <xdr:cNvPr id="6" name="Grafik 5">
          <a:extLst>
            <a:ext uri="{FF2B5EF4-FFF2-40B4-BE49-F238E27FC236}">
              <a16:creationId xmlns:a16="http://schemas.microsoft.com/office/drawing/2014/main" id="{D1BF3D9A-924B-1F65-F229-694D5C699F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266701</xdr:colOff>
      <xdr:row>45</xdr:row>
      <xdr:rowOff>161926</xdr:rowOff>
    </xdr:from>
    <xdr:to>
      <xdr:col>15</xdr:col>
      <xdr:colOff>342900</xdr:colOff>
      <xdr:row>59</xdr:row>
      <xdr:rowOff>152400</xdr:rowOff>
    </xdr:to>
    <xdr:graphicFrame macro="">
      <xdr:nvGraphicFramePr>
        <xdr:cNvPr id="2" name="Grafik 1">
          <a:extLst>
            <a:ext uri="{FF2B5EF4-FFF2-40B4-BE49-F238E27FC236}">
              <a16:creationId xmlns:a16="http://schemas.microsoft.com/office/drawing/2014/main" id="{2A8DF33E-BFE0-D19D-001A-48BA72186A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952500</xdr:colOff>
      <xdr:row>46</xdr:row>
      <xdr:rowOff>28575</xdr:rowOff>
    </xdr:from>
    <xdr:to>
      <xdr:col>20</xdr:col>
      <xdr:colOff>600075</xdr:colOff>
      <xdr:row>52</xdr:row>
      <xdr:rowOff>123825</xdr:rowOff>
    </xdr:to>
    <xdr:sp macro="" textlink="">
      <xdr:nvSpPr>
        <xdr:cNvPr id="3" name="Metin kutusu 2">
          <a:extLst>
            <a:ext uri="{FF2B5EF4-FFF2-40B4-BE49-F238E27FC236}">
              <a16:creationId xmlns:a16="http://schemas.microsoft.com/office/drawing/2014/main" id="{DEA48BFC-8CDD-668A-2E2A-B463252C1FFE}"/>
            </a:ext>
          </a:extLst>
        </xdr:cNvPr>
        <xdr:cNvSpPr txBox="1"/>
      </xdr:nvSpPr>
      <xdr:spPr>
        <a:xfrm>
          <a:off x="17306925" y="8791575"/>
          <a:ext cx="3981450"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FORD</a:t>
          </a:r>
          <a:r>
            <a:rPr lang="tr-TR" sz="1100" baseline="0"/>
            <a:t> AŞ. için:</a:t>
          </a:r>
        </a:p>
        <a:p>
          <a:r>
            <a:rPr lang="tr-TR" sz="1100" b="1" baseline="0"/>
            <a:t>Dönen Varlıklar ile Kısa Vadeli Borçlardaki Değişimler</a:t>
          </a:r>
        </a:p>
        <a:p>
          <a:r>
            <a:rPr lang="tr-TR" sz="1100" baseline="0"/>
            <a:t>2021 yılı itibariyle KVYK artarken Dönen Varlıklar azalma eğilimindedir. Net işteme sermayesi azalmıştır.</a:t>
          </a:r>
          <a:endParaRPr lang="tr-TR" sz="1100"/>
        </a:p>
      </xdr:txBody>
    </xdr:sp>
    <xdr:clientData/>
  </xdr:twoCellAnchor>
  <xdr:twoCellAnchor>
    <xdr:from>
      <xdr:col>12</xdr:col>
      <xdr:colOff>276225</xdr:colOff>
      <xdr:row>60</xdr:row>
      <xdr:rowOff>95250</xdr:rowOff>
    </xdr:from>
    <xdr:to>
      <xdr:col>15</xdr:col>
      <xdr:colOff>352424</xdr:colOff>
      <xdr:row>74</xdr:row>
      <xdr:rowOff>85724</xdr:rowOff>
    </xdr:to>
    <xdr:graphicFrame macro="">
      <xdr:nvGraphicFramePr>
        <xdr:cNvPr id="4" name="Grafik 3">
          <a:extLst>
            <a:ext uri="{FF2B5EF4-FFF2-40B4-BE49-F238E27FC236}">
              <a16:creationId xmlns:a16="http://schemas.microsoft.com/office/drawing/2014/main" id="{803DBFF5-55AA-4BD4-9624-095E2360C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619125</xdr:colOff>
      <xdr:row>61</xdr:row>
      <xdr:rowOff>123825</xdr:rowOff>
    </xdr:from>
    <xdr:to>
      <xdr:col>20</xdr:col>
      <xdr:colOff>266700</xdr:colOff>
      <xdr:row>68</xdr:row>
      <xdr:rowOff>28575</xdr:rowOff>
    </xdr:to>
    <xdr:sp macro="" textlink="">
      <xdr:nvSpPr>
        <xdr:cNvPr id="5" name="Metin kutusu 4">
          <a:extLst>
            <a:ext uri="{FF2B5EF4-FFF2-40B4-BE49-F238E27FC236}">
              <a16:creationId xmlns:a16="http://schemas.microsoft.com/office/drawing/2014/main" id="{DB8C39A2-5AF8-4D37-8C6A-26356C117808}"/>
            </a:ext>
          </a:extLst>
        </xdr:cNvPr>
        <xdr:cNvSpPr txBox="1"/>
      </xdr:nvSpPr>
      <xdr:spPr>
        <a:xfrm>
          <a:off x="16973550" y="11744325"/>
          <a:ext cx="3981450"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FORD</a:t>
          </a:r>
          <a:r>
            <a:rPr lang="tr-TR" sz="1100" baseline="0"/>
            <a:t> AŞ. için:</a:t>
          </a:r>
        </a:p>
        <a:p>
          <a:r>
            <a:rPr lang="tr-TR" sz="1100" b="1" baseline="0"/>
            <a:t>Duran Varlıklar ile Devamlı Sermayedeki Değişimler</a:t>
          </a:r>
        </a:p>
        <a:p>
          <a:r>
            <a:rPr lang="tr-TR" sz="1100" b="0" baseline="0"/>
            <a:t>Duran varlıklarda son yılda önemli bir artış söz konusudur. Tüm yıllarda duran varlıklar devamlı sermaye ile finanse edilmektedir.</a:t>
          </a:r>
        </a:p>
      </xdr:txBody>
    </xdr:sp>
    <xdr:clientData/>
  </xdr:twoCellAnchor>
  <xdr:twoCellAnchor>
    <xdr:from>
      <xdr:col>22</xdr:col>
      <xdr:colOff>0</xdr:colOff>
      <xdr:row>46</xdr:row>
      <xdr:rowOff>0</xdr:rowOff>
    </xdr:from>
    <xdr:to>
      <xdr:col>30</xdr:col>
      <xdr:colOff>504824</xdr:colOff>
      <xdr:row>59</xdr:row>
      <xdr:rowOff>180974</xdr:rowOff>
    </xdr:to>
    <xdr:graphicFrame macro="">
      <xdr:nvGraphicFramePr>
        <xdr:cNvPr id="6" name="Grafik 5">
          <a:extLst>
            <a:ext uri="{FF2B5EF4-FFF2-40B4-BE49-F238E27FC236}">
              <a16:creationId xmlns:a16="http://schemas.microsoft.com/office/drawing/2014/main" id="{50275827-6DBE-430D-8EC7-BD468A4BE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0</xdr:colOff>
      <xdr:row>47</xdr:row>
      <xdr:rowOff>0</xdr:rowOff>
    </xdr:from>
    <xdr:to>
      <xdr:col>37</xdr:col>
      <xdr:colOff>323850</xdr:colOff>
      <xdr:row>51</xdr:row>
      <xdr:rowOff>133350</xdr:rowOff>
    </xdr:to>
    <xdr:sp macro="" textlink="">
      <xdr:nvSpPr>
        <xdr:cNvPr id="7" name="Metin kutusu 6">
          <a:extLst>
            <a:ext uri="{FF2B5EF4-FFF2-40B4-BE49-F238E27FC236}">
              <a16:creationId xmlns:a16="http://schemas.microsoft.com/office/drawing/2014/main" id="{A89C9983-F79A-4A43-B204-50E17792EFD1}"/>
            </a:ext>
          </a:extLst>
        </xdr:cNvPr>
        <xdr:cNvSpPr txBox="1"/>
      </xdr:nvSpPr>
      <xdr:spPr>
        <a:xfrm>
          <a:off x="27393900" y="8953500"/>
          <a:ext cx="3981450" cy="895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FORD</a:t>
          </a:r>
          <a:r>
            <a:rPr lang="tr-TR" sz="1100" baseline="0"/>
            <a:t> AŞ. için:</a:t>
          </a:r>
        </a:p>
        <a:p>
          <a:r>
            <a:rPr lang="tr-TR" sz="1100" b="1" baseline="0"/>
            <a:t>Dönen Varlıklar ile Duran Varlıklardaki Değişimler</a:t>
          </a:r>
        </a:p>
        <a:p>
          <a:r>
            <a:rPr lang="tr-TR" sz="1100" baseline="0"/>
            <a:t>Son yılda şirket yatırım yapmıştır ve nakit çıkışı olmuştur.</a:t>
          </a:r>
          <a:endParaRPr lang="tr-TR" sz="1100"/>
        </a:p>
      </xdr:txBody>
    </xdr:sp>
    <xdr:clientData/>
  </xdr:twoCellAnchor>
  <xdr:twoCellAnchor>
    <xdr:from>
      <xdr:col>22</xdr:col>
      <xdr:colOff>0</xdr:colOff>
      <xdr:row>62</xdr:row>
      <xdr:rowOff>0</xdr:rowOff>
    </xdr:from>
    <xdr:to>
      <xdr:col>30</xdr:col>
      <xdr:colOff>504824</xdr:colOff>
      <xdr:row>75</xdr:row>
      <xdr:rowOff>180974</xdr:rowOff>
    </xdr:to>
    <xdr:graphicFrame macro="">
      <xdr:nvGraphicFramePr>
        <xdr:cNvPr id="8" name="Grafik 7">
          <a:extLst>
            <a:ext uri="{FF2B5EF4-FFF2-40B4-BE49-F238E27FC236}">
              <a16:creationId xmlns:a16="http://schemas.microsoft.com/office/drawing/2014/main" id="{E452C428-B168-4542-B0E5-5DF294FD7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0</xdr:colOff>
      <xdr:row>62</xdr:row>
      <xdr:rowOff>190499</xdr:rowOff>
    </xdr:from>
    <xdr:to>
      <xdr:col>37</xdr:col>
      <xdr:colOff>323850</xdr:colOff>
      <xdr:row>74</xdr:row>
      <xdr:rowOff>123825</xdr:rowOff>
    </xdr:to>
    <xdr:sp macro="" textlink="">
      <xdr:nvSpPr>
        <xdr:cNvPr id="9" name="Metin kutusu 8">
          <a:extLst>
            <a:ext uri="{FF2B5EF4-FFF2-40B4-BE49-F238E27FC236}">
              <a16:creationId xmlns:a16="http://schemas.microsoft.com/office/drawing/2014/main" id="{C6944FE8-18E9-441F-9679-8340280B43A6}"/>
            </a:ext>
          </a:extLst>
        </xdr:cNvPr>
        <xdr:cNvSpPr txBox="1"/>
      </xdr:nvSpPr>
      <xdr:spPr>
        <a:xfrm>
          <a:off x="27393900" y="12001499"/>
          <a:ext cx="3981450" cy="22193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FORD</a:t>
          </a:r>
          <a:r>
            <a:rPr lang="tr-TR" sz="1100" baseline="0"/>
            <a:t> AŞ. için:</a:t>
          </a:r>
        </a:p>
        <a:p>
          <a:r>
            <a:rPr lang="tr-TR" sz="1100" b="1" baseline="0"/>
            <a:t>Yabancıl Kaynaklar ile Öz Kaynaklardaki Değişimler</a:t>
          </a:r>
        </a:p>
        <a:p>
          <a:r>
            <a:rPr lang="tr-TR" sz="1100" b="0" baseline="0"/>
            <a:t>Bir işletme yabancı kaynak kullandıkça finansman(kaynak) maliyeti düşeceği için karlılık artacaktır. Fakat yabancı kaynak kullanımı arrtıkça işletmenin finansal riski artar. Bu nedenle kaynak yapısı için bir optimal denge oluşturulmalı ve mümkün olduğunca bu denge korunmalıdır.</a:t>
          </a:r>
        </a:p>
        <a:p>
          <a:endParaRPr lang="tr-TR" sz="1100" b="0" baseline="0"/>
        </a:p>
        <a:p>
          <a:r>
            <a:rPr lang="tr-TR" sz="1100" b="0" baseline="0"/>
            <a:t>FORD AŞ'de ilgili dönemde yabancıl kaynak %68 artarken Özkaynak %15 artmıştır. Zaman içerisinde finansal risk artmakla birlikte karlılıkta artacaktır.</a:t>
          </a:r>
        </a:p>
      </xdr:txBody>
    </xdr:sp>
    <xdr:clientData/>
  </xdr:twoCellAnchor>
  <xdr:twoCellAnchor>
    <xdr:from>
      <xdr:col>22</xdr:col>
      <xdr:colOff>0</xdr:colOff>
      <xdr:row>78</xdr:row>
      <xdr:rowOff>0</xdr:rowOff>
    </xdr:from>
    <xdr:to>
      <xdr:col>30</xdr:col>
      <xdr:colOff>504824</xdr:colOff>
      <xdr:row>91</xdr:row>
      <xdr:rowOff>180974</xdr:rowOff>
    </xdr:to>
    <xdr:graphicFrame macro="">
      <xdr:nvGraphicFramePr>
        <xdr:cNvPr id="10" name="Grafik 9">
          <a:extLst>
            <a:ext uri="{FF2B5EF4-FFF2-40B4-BE49-F238E27FC236}">
              <a16:creationId xmlns:a16="http://schemas.microsoft.com/office/drawing/2014/main" id="{0FD70EFE-6A64-4E80-9A52-90F2108AD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0</xdr:colOff>
      <xdr:row>77</xdr:row>
      <xdr:rowOff>190499</xdr:rowOff>
    </xdr:from>
    <xdr:to>
      <xdr:col>37</xdr:col>
      <xdr:colOff>323850</xdr:colOff>
      <xdr:row>83</xdr:row>
      <xdr:rowOff>104774</xdr:rowOff>
    </xdr:to>
    <xdr:sp macro="" textlink="">
      <xdr:nvSpPr>
        <xdr:cNvPr id="11" name="Metin kutusu 10">
          <a:extLst>
            <a:ext uri="{FF2B5EF4-FFF2-40B4-BE49-F238E27FC236}">
              <a16:creationId xmlns:a16="http://schemas.microsoft.com/office/drawing/2014/main" id="{F64C6533-874D-4B03-ACBB-3E8972F0701F}"/>
            </a:ext>
          </a:extLst>
        </xdr:cNvPr>
        <xdr:cNvSpPr txBox="1"/>
      </xdr:nvSpPr>
      <xdr:spPr>
        <a:xfrm>
          <a:off x="27393900" y="14858999"/>
          <a:ext cx="3981450"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FORD</a:t>
          </a:r>
          <a:r>
            <a:rPr lang="tr-TR" sz="1100" baseline="0"/>
            <a:t> AŞ. için:</a:t>
          </a:r>
        </a:p>
        <a:p>
          <a:r>
            <a:rPr lang="tr-TR" sz="1100" b="1" baseline="0"/>
            <a:t>Stoklar ile Satışlardaki Değişimler</a:t>
          </a:r>
        </a:p>
        <a:p>
          <a:r>
            <a:rPr lang="tr-TR" sz="1100" b="0" baseline="0"/>
            <a:t>Stoklar önceki dönemlere göre artmıştır. Yeni yatırım yapıldığı için iş hacmi büyümüştür. Satışlarda ki artış zayıftır. Şuan için aralarında kuvvetli bir ilişki yoktur.</a:t>
          </a:r>
        </a:p>
      </xdr:txBody>
    </xdr:sp>
    <xdr:clientData/>
  </xdr:twoCellAnchor>
  <xdr:twoCellAnchor>
    <xdr:from>
      <xdr:col>12</xdr:col>
      <xdr:colOff>0</xdr:colOff>
      <xdr:row>76</xdr:row>
      <xdr:rowOff>0</xdr:rowOff>
    </xdr:from>
    <xdr:to>
      <xdr:col>15</xdr:col>
      <xdr:colOff>76199</xdr:colOff>
      <xdr:row>89</xdr:row>
      <xdr:rowOff>180974</xdr:rowOff>
    </xdr:to>
    <xdr:graphicFrame macro="">
      <xdr:nvGraphicFramePr>
        <xdr:cNvPr id="12" name="Grafik 11">
          <a:extLst>
            <a:ext uri="{FF2B5EF4-FFF2-40B4-BE49-F238E27FC236}">
              <a16:creationId xmlns:a16="http://schemas.microsoft.com/office/drawing/2014/main" id="{0EF25DF8-386B-4B99-9875-0690478391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247650</xdr:colOff>
      <xdr:row>77</xdr:row>
      <xdr:rowOff>47625</xdr:rowOff>
    </xdr:from>
    <xdr:to>
      <xdr:col>19</xdr:col>
      <xdr:colOff>504825</xdr:colOff>
      <xdr:row>84</xdr:row>
      <xdr:rowOff>47625</xdr:rowOff>
    </xdr:to>
    <xdr:sp macro="" textlink="">
      <xdr:nvSpPr>
        <xdr:cNvPr id="13" name="Metin kutusu 12">
          <a:extLst>
            <a:ext uri="{FF2B5EF4-FFF2-40B4-BE49-F238E27FC236}">
              <a16:creationId xmlns:a16="http://schemas.microsoft.com/office/drawing/2014/main" id="{A6E51548-94FD-4829-98C1-69744EEC539F}"/>
            </a:ext>
          </a:extLst>
        </xdr:cNvPr>
        <xdr:cNvSpPr txBox="1"/>
      </xdr:nvSpPr>
      <xdr:spPr>
        <a:xfrm>
          <a:off x="16602075" y="14716125"/>
          <a:ext cx="3981450"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FORD</a:t>
          </a:r>
          <a:r>
            <a:rPr lang="tr-TR" sz="1100" baseline="0"/>
            <a:t> AŞ. için:</a:t>
          </a:r>
        </a:p>
        <a:p>
          <a:r>
            <a:rPr lang="tr-TR" sz="1100" b="1" baseline="0"/>
            <a:t>Ticari Alacaklar ile Satışlardaki Değişimler</a:t>
          </a:r>
        </a:p>
        <a:p>
          <a:r>
            <a:rPr lang="tr-TR" sz="1100" b="0" baseline="0"/>
            <a:t>Ticari alacaklar sürekli artış eğilimindedir. Ticari Alacakların büyük bölümünü ilişkili taraflardan alacaklar oluşturur ve tahsilatı düzenli olarak yapılmaktadır. Son dönemlerde piyasada ki olumsuz şartlardan dolayı mevcut satış düzeyini korumak amacıyla kredili satışlar arttırılmış.</a:t>
          </a:r>
        </a:p>
      </xdr:txBody>
    </xdr:sp>
    <xdr:clientData/>
  </xdr:twoCellAnchor>
  <xdr:twoCellAnchor>
    <xdr:from>
      <xdr:col>12</xdr:col>
      <xdr:colOff>0</xdr:colOff>
      <xdr:row>93</xdr:row>
      <xdr:rowOff>0</xdr:rowOff>
    </xdr:from>
    <xdr:to>
      <xdr:col>15</xdr:col>
      <xdr:colOff>76199</xdr:colOff>
      <xdr:row>106</xdr:row>
      <xdr:rowOff>180974</xdr:rowOff>
    </xdr:to>
    <xdr:graphicFrame macro="">
      <xdr:nvGraphicFramePr>
        <xdr:cNvPr id="14" name="Grafik 13">
          <a:extLst>
            <a:ext uri="{FF2B5EF4-FFF2-40B4-BE49-F238E27FC236}">
              <a16:creationId xmlns:a16="http://schemas.microsoft.com/office/drawing/2014/main" id="{326F5B69-1BE2-4D11-9333-6B65C67B0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381000</xdr:colOff>
      <xdr:row>93</xdr:row>
      <xdr:rowOff>57150</xdr:rowOff>
    </xdr:from>
    <xdr:to>
      <xdr:col>20</xdr:col>
      <xdr:colOff>28575</xdr:colOff>
      <xdr:row>100</xdr:row>
      <xdr:rowOff>57150</xdr:rowOff>
    </xdr:to>
    <xdr:sp macro="" textlink="">
      <xdr:nvSpPr>
        <xdr:cNvPr id="15" name="Metin kutusu 14">
          <a:extLst>
            <a:ext uri="{FF2B5EF4-FFF2-40B4-BE49-F238E27FC236}">
              <a16:creationId xmlns:a16="http://schemas.microsoft.com/office/drawing/2014/main" id="{64B656FD-8A89-4E01-A14D-15E40F7942F8}"/>
            </a:ext>
          </a:extLst>
        </xdr:cNvPr>
        <xdr:cNvSpPr txBox="1"/>
      </xdr:nvSpPr>
      <xdr:spPr>
        <a:xfrm>
          <a:off x="16735425" y="17773650"/>
          <a:ext cx="3981450"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FORD</a:t>
          </a:r>
          <a:r>
            <a:rPr lang="tr-TR" sz="1100" baseline="0"/>
            <a:t> AŞ. için:</a:t>
          </a:r>
        </a:p>
        <a:p>
          <a:r>
            <a:rPr lang="tr-TR" sz="1100" b="1" baseline="0"/>
            <a:t>Satışlar ile Satışların Maliyetindeki Değişimler</a:t>
          </a:r>
        </a:p>
        <a:p>
          <a:r>
            <a:rPr lang="tr-TR" sz="1100" b="0" baseline="0"/>
            <a:t>Aynı yön ve oranda değişim sergilerler. İlgili dönemde satışlar satışların maliyetinden daha fazla artış göstermiştir. Bu durum Brüt kara pozitif yansır.</a:t>
          </a:r>
        </a:p>
      </xdr:txBody>
    </xdr:sp>
    <xdr:clientData/>
  </xdr:twoCellAnchor>
  <xdr:twoCellAnchor>
    <xdr:from>
      <xdr:col>21</xdr:col>
      <xdr:colOff>428625</xdr:colOff>
      <xdr:row>93</xdr:row>
      <xdr:rowOff>9525</xdr:rowOff>
    </xdr:from>
    <xdr:to>
      <xdr:col>30</xdr:col>
      <xdr:colOff>323849</xdr:colOff>
      <xdr:row>106</xdr:row>
      <xdr:rowOff>190499</xdr:rowOff>
    </xdr:to>
    <xdr:graphicFrame macro="">
      <xdr:nvGraphicFramePr>
        <xdr:cNvPr id="16" name="Grafik 15">
          <a:extLst>
            <a:ext uri="{FF2B5EF4-FFF2-40B4-BE49-F238E27FC236}">
              <a16:creationId xmlns:a16="http://schemas.microsoft.com/office/drawing/2014/main" id="{C31A654A-20B7-454A-AFEA-B2F00B72A8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31</xdr:col>
      <xdr:colOff>0</xdr:colOff>
      <xdr:row>94</xdr:row>
      <xdr:rowOff>0</xdr:rowOff>
    </xdr:from>
    <xdr:to>
      <xdr:col>37</xdr:col>
      <xdr:colOff>323850</xdr:colOff>
      <xdr:row>99</xdr:row>
      <xdr:rowOff>66675</xdr:rowOff>
    </xdr:to>
    <xdr:sp macro="" textlink="">
      <xdr:nvSpPr>
        <xdr:cNvPr id="17" name="Metin kutusu 16">
          <a:extLst>
            <a:ext uri="{FF2B5EF4-FFF2-40B4-BE49-F238E27FC236}">
              <a16:creationId xmlns:a16="http://schemas.microsoft.com/office/drawing/2014/main" id="{B94ECE14-D9BB-42BB-8E63-6CBBF96A7164}"/>
            </a:ext>
          </a:extLst>
        </xdr:cNvPr>
        <xdr:cNvSpPr txBox="1"/>
      </xdr:nvSpPr>
      <xdr:spPr>
        <a:xfrm>
          <a:off x="27393900" y="17907000"/>
          <a:ext cx="3981450" cy="1019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FORD</a:t>
          </a:r>
          <a:r>
            <a:rPr lang="tr-TR" sz="1100" baseline="0"/>
            <a:t> AŞ. için:</a:t>
          </a:r>
        </a:p>
        <a:p>
          <a:r>
            <a:rPr lang="tr-TR" sz="1100" b="1" baseline="0"/>
            <a:t>Brüt Kar, Faaliyet Karı ve Dönem Karındaki Değişimler</a:t>
          </a:r>
        </a:p>
        <a:p>
          <a:r>
            <a:rPr lang="tr-TR" sz="1100" b="0" baseline="0"/>
            <a:t>Genel olarak karlılıklar arasında güçlü ilişki vardır. Son 3 yılda hep birlikte artma eğilimindedir.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95250</xdr:colOff>
      <xdr:row>22</xdr:row>
      <xdr:rowOff>57151</xdr:rowOff>
    </xdr:from>
    <xdr:to>
      <xdr:col>9</xdr:col>
      <xdr:colOff>542925</xdr:colOff>
      <xdr:row>25</xdr:row>
      <xdr:rowOff>180975</xdr:rowOff>
    </xdr:to>
    <xdr:sp macro="" textlink="">
      <xdr:nvSpPr>
        <xdr:cNvPr id="2" name="Metin kutusu 1">
          <a:extLst>
            <a:ext uri="{FF2B5EF4-FFF2-40B4-BE49-F238E27FC236}">
              <a16:creationId xmlns:a16="http://schemas.microsoft.com/office/drawing/2014/main" id="{0D5553B9-50CC-74FF-858C-205DACBBB6C6}"/>
            </a:ext>
          </a:extLst>
        </xdr:cNvPr>
        <xdr:cNvSpPr txBox="1"/>
      </xdr:nvSpPr>
      <xdr:spPr>
        <a:xfrm>
          <a:off x="1962150" y="4248151"/>
          <a:ext cx="7839075" cy="695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Stokların nakde dönüşmesi zaman alıcı ve belirsiz olduğundan likitide oranı ile işletmenin stoklarını nakde dönüştürememesi durumunda kısa vadeli yükümlülüklerini ödeme durumu tespit</a:t>
          </a:r>
          <a:r>
            <a:rPr lang="tr-TR" sz="1100" baseline="0"/>
            <a:t> edilir. Böylece cari orana göre daha hassas bir ölçü olarak kabul edilir.</a:t>
          </a:r>
        </a:p>
        <a:p>
          <a:r>
            <a:rPr lang="tr-TR" sz="1100" baseline="0"/>
            <a:t>Arzu edilen değer %70.</a:t>
          </a:r>
          <a:endParaRPr lang="tr-TR" sz="1100"/>
        </a:p>
      </xdr:txBody>
    </xdr:sp>
    <xdr:clientData/>
  </xdr:twoCellAnchor>
  <xdr:twoCellAnchor>
    <xdr:from>
      <xdr:col>1</xdr:col>
      <xdr:colOff>133350</xdr:colOff>
      <xdr:row>35</xdr:row>
      <xdr:rowOff>180976</xdr:rowOff>
    </xdr:from>
    <xdr:to>
      <xdr:col>9</xdr:col>
      <xdr:colOff>342900</xdr:colOff>
      <xdr:row>37</xdr:row>
      <xdr:rowOff>161926</xdr:rowOff>
    </xdr:to>
    <xdr:sp macro="" textlink="">
      <xdr:nvSpPr>
        <xdr:cNvPr id="3" name="Metin kutusu 2">
          <a:extLst>
            <a:ext uri="{FF2B5EF4-FFF2-40B4-BE49-F238E27FC236}">
              <a16:creationId xmlns:a16="http://schemas.microsoft.com/office/drawing/2014/main" id="{03E6E464-8F85-1508-9607-AD60E04BA23B}"/>
            </a:ext>
          </a:extLst>
        </xdr:cNvPr>
        <xdr:cNvSpPr txBox="1"/>
      </xdr:nvSpPr>
      <xdr:spPr>
        <a:xfrm>
          <a:off x="2000250" y="6848476"/>
          <a:ext cx="7600950"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Son üç dönemde</a:t>
          </a:r>
          <a:r>
            <a:rPr lang="tr-TR" sz="1100" baseline="0"/>
            <a:t> Ford AŞ. kısa vadeli borçlarını ödemede stoklarına önemli düzeyde bağımlı.</a:t>
          </a:r>
          <a:endParaRPr lang="tr-TR" sz="1100"/>
        </a:p>
      </xdr:txBody>
    </xdr:sp>
    <xdr:clientData/>
  </xdr:twoCellAnchor>
  <xdr:twoCellAnchor>
    <xdr:from>
      <xdr:col>1</xdr:col>
      <xdr:colOff>0</xdr:colOff>
      <xdr:row>46</xdr:row>
      <xdr:rowOff>0</xdr:rowOff>
    </xdr:from>
    <xdr:to>
      <xdr:col>9</xdr:col>
      <xdr:colOff>209550</xdr:colOff>
      <xdr:row>47</xdr:row>
      <xdr:rowOff>171450</xdr:rowOff>
    </xdr:to>
    <xdr:sp macro="" textlink="">
      <xdr:nvSpPr>
        <xdr:cNvPr id="4" name="Metin kutusu 3">
          <a:extLst>
            <a:ext uri="{FF2B5EF4-FFF2-40B4-BE49-F238E27FC236}">
              <a16:creationId xmlns:a16="http://schemas.microsoft.com/office/drawing/2014/main" id="{374DF7FE-4D4F-4170-BFB4-2DF9D8644BDB}"/>
            </a:ext>
          </a:extLst>
        </xdr:cNvPr>
        <xdr:cNvSpPr txBox="1"/>
      </xdr:nvSpPr>
      <xdr:spPr>
        <a:xfrm>
          <a:off x="1866900" y="8763000"/>
          <a:ext cx="7600950"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Genelde</a:t>
          </a:r>
          <a:r>
            <a:rPr lang="tr-TR" sz="1100" baseline="0"/>
            <a:t> arzu edilen 0.20 değerinin üzerinde.</a:t>
          </a:r>
          <a:endParaRPr lang="tr-TR" sz="1100"/>
        </a:p>
      </xdr:txBody>
    </xdr:sp>
    <xdr:clientData/>
  </xdr:twoCellAnchor>
  <xdr:twoCellAnchor>
    <xdr:from>
      <xdr:col>1</xdr:col>
      <xdr:colOff>238125</xdr:colOff>
      <xdr:row>48</xdr:row>
      <xdr:rowOff>152400</xdr:rowOff>
    </xdr:from>
    <xdr:to>
      <xdr:col>10</xdr:col>
      <xdr:colOff>257175</xdr:colOff>
      <xdr:row>60</xdr:row>
      <xdr:rowOff>171450</xdr:rowOff>
    </xdr:to>
    <xdr:sp macro="" textlink="">
      <xdr:nvSpPr>
        <xdr:cNvPr id="5" name="Metin kutusu 4">
          <a:extLst>
            <a:ext uri="{FF2B5EF4-FFF2-40B4-BE49-F238E27FC236}">
              <a16:creationId xmlns:a16="http://schemas.microsoft.com/office/drawing/2014/main" id="{BF363AE8-A90E-1A91-C995-D5EA0F440B6B}"/>
            </a:ext>
          </a:extLst>
        </xdr:cNvPr>
        <xdr:cNvSpPr txBox="1"/>
      </xdr:nvSpPr>
      <xdr:spPr>
        <a:xfrm>
          <a:off x="2105025" y="9296400"/>
          <a:ext cx="8334375" cy="2305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İşletmelere</a:t>
          </a:r>
          <a:r>
            <a:rPr lang="tr-TR" sz="1100" baseline="0"/>
            <a:t> yabancıl kaynak sağlayan kişi ve kurumlar faiz getirisi elde ederken, öz kaynak sağlayanlar kar elde ederler.</a:t>
          </a:r>
        </a:p>
        <a:p>
          <a:r>
            <a:rPr lang="tr-TR" sz="1100" baseline="0"/>
            <a:t>* Borçlanmanın maliyeti alınan borca karşılık ödenen faizdir.</a:t>
          </a:r>
        </a:p>
        <a:p>
          <a:r>
            <a:rPr lang="tr-TR" sz="1100" baseline="0"/>
            <a:t>* Öz kaynağın maliyeti alternatif maliyet (fırsat maliyeti) olarak ifade edilir. Yani öz kaynak bu işletmeye konmayıp alternatif alanlarda değerlendirilirse(borsada hisse senedi alınırsa, gayrimenkul alınırsa...) ne kadarlık getiri elde edilebileceği öz kaynağın alternatif maliyetini oluşturur.</a:t>
          </a:r>
        </a:p>
        <a:p>
          <a:r>
            <a:rPr lang="tr-TR" sz="1100" baseline="0"/>
            <a:t>* Öz kaynak maliyeti işletme sahip ve ortaklarının işletmeye koydukları öz kaynaklardan elde etmeyi bekledikleri getiri oranı olarak da düşünülebilir.</a:t>
          </a:r>
        </a:p>
        <a:p>
          <a:endParaRPr lang="tr-TR" sz="1100" baseline="0"/>
        </a:p>
        <a:p>
          <a:r>
            <a:rPr lang="tr-TR" sz="1100" baseline="0"/>
            <a:t>* Genel olarak borçlanmanın maliyeti öz kaynak maliyetine göre daha düşüktür. Bunun nedeni öz kaynak sahiplerine ödenen kar paylarının gelir tablosunda gider olarak gösterilemezken, borca karşılık ödenen faiz gider olarak gösterildiği için işletmenin daha az vergi ödemesine neden olmasıdır. Dolayısıyıla borcun maliyeti vergi etkisi kadar azalmaktadır.</a:t>
          </a:r>
        </a:p>
        <a:p>
          <a:r>
            <a:rPr lang="tr-TR" sz="1100" baseline="0"/>
            <a:t>* Finansal kaldıraç etkisi: yabancı kaynak kullanımının karlılık üzerinde etkisidir.</a:t>
          </a:r>
          <a:endParaRPr lang="tr-TR" sz="1100"/>
        </a:p>
      </xdr:txBody>
    </xdr:sp>
    <xdr:clientData/>
  </xdr:twoCellAnchor>
  <xdr:twoCellAnchor>
    <xdr:from>
      <xdr:col>1</xdr:col>
      <xdr:colOff>123825</xdr:colOff>
      <xdr:row>69</xdr:row>
      <xdr:rowOff>133350</xdr:rowOff>
    </xdr:from>
    <xdr:to>
      <xdr:col>11</xdr:col>
      <xdr:colOff>104775</xdr:colOff>
      <xdr:row>73</xdr:row>
      <xdr:rowOff>104775</xdr:rowOff>
    </xdr:to>
    <xdr:sp macro="" textlink="">
      <xdr:nvSpPr>
        <xdr:cNvPr id="6" name="Metin kutusu 5">
          <a:extLst>
            <a:ext uri="{FF2B5EF4-FFF2-40B4-BE49-F238E27FC236}">
              <a16:creationId xmlns:a16="http://schemas.microsoft.com/office/drawing/2014/main" id="{498901CB-9165-4E68-98F2-2A10E943E265}"/>
            </a:ext>
          </a:extLst>
        </xdr:cNvPr>
        <xdr:cNvSpPr txBox="1"/>
      </xdr:nvSpPr>
      <xdr:spPr>
        <a:xfrm>
          <a:off x="1990725" y="13277850"/>
          <a:ext cx="9220200" cy="73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Ford AŞ. son</a:t>
          </a:r>
          <a:r>
            <a:rPr lang="tr-TR" sz="1100" baseline="0"/>
            <a:t> dönemlerde aktiflerinin yaklaşık %80'ine borçlanarak sahip olduğu görülmektedir. Bu oranının yüksek olması işletmenin faiz veya anapara taksit ödemelerine sıkıntıya düşme ihtimalinin yüksek olduğunu gösterir. Bu nedenle işletmeye kredi verenler oranıın düşük olmasını isterler. İşletme yöneticileri ise finansal kaldıraç etkisinden yararlanarak karlılığı arttırmak için bu oranın yüksek olmasını arzu ederler. </a:t>
          </a:r>
          <a:endParaRPr lang="tr-TR" sz="1100"/>
        </a:p>
      </xdr:txBody>
    </xdr:sp>
    <xdr:clientData/>
  </xdr:twoCellAnchor>
  <xdr:twoCellAnchor>
    <xdr:from>
      <xdr:col>1</xdr:col>
      <xdr:colOff>323851</xdr:colOff>
      <xdr:row>79</xdr:row>
      <xdr:rowOff>161925</xdr:rowOff>
    </xdr:from>
    <xdr:to>
      <xdr:col>11</xdr:col>
      <xdr:colOff>19051</xdr:colOff>
      <xdr:row>81</xdr:row>
      <xdr:rowOff>161925</xdr:rowOff>
    </xdr:to>
    <xdr:sp macro="" textlink="">
      <xdr:nvSpPr>
        <xdr:cNvPr id="7" name="Metin kutusu 6">
          <a:extLst>
            <a:ext uri="{FF2B5EF4-FFF2-40B4-BE49-F238E27FC236}">
              <a16:creationId xmlns:a16="http://schemas.microsoft.com/office/drawing/2014/main" id="{6B865F03-505D-79B1-9595-11EA1942D4BE}"/>
            </a:ext>
          </a:extLst>
        </xdr:cNvPr>
        <xdr:cNvSpPr txBox="1"/>
      </xdr:nvSpPr>
      <xdr:spPr>
        <a:xfrm>
          <a:off x="2600326" y="15211425"/>
          <a:ext cx="893445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Ekonomik durgunluk veya kriz dönemlerinde</a:t>
          </a:r>
          <a:r>
            <a:rPr lang="tr-TR" sz="1100" baseline="0"/>
            <a:t> bu oranı yüksek işletmeler daha dirençli olarak sıkıntılı dönemi daha rahat atlatırlar.</a:t>
          </a:r>
          <a:endParaRPr lang="tr-TR" sz="1100"/>
        </a:p>
      </xdr:txBody>
    </xdr:sp>
    <xdr:clientData/>
  </xdr:twoCellAnchor>
  <xdr:twoCellAnchor>
    <xdr:from>
      <xdr:col>2</xdr:col>
      <xdr:colOff>409575</xdr:colOff>
      <xdr:row>98</xdr:row>
      <xdr:rowOff>19051</xdr:rowOff>
    </xdr:from>
    <xdr:to>
      <xdr:col>11</xdr:col>
      <xdr:colOff>876300</xdr:colOff>
      <xdr:row>100</xdr:row>
      <xdr:rowOff>38101</xdr:rowOff>
    </xdr:to>
    <xdr:sp macro="" textlink="">
      <xdr:nvSpPr>
        <xdr:cNvPr id="8" name="Metin kutusu 7">
          <a:extLst>
            <a:ext uri="{FF2B5EF4-FFF2-40B4-BE49-F238E27FC236}">
              <a16:creationId xmlns:a16="http://schemas.microsoft.com/office/drawing/2014/main" id="{DF787E69-2862-9E14-D4A1-B2B605BE5067}"/>
            </a:ext>
          </a:extLst>
        </xdr:cNvPr>
        <xdr:cNvSpPr txBox="1"/>
      </xdr:nvSpPr>
      <xdr:spPr>
        <a:xfrm>
          <a:off x="3990975" y="18688051"/>
          <a:ext cx="8782050" cy="40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Emek yoğun işletmelerde dönen varlıkların ve buna bağlı olarak toplam borçlar içinde kısa vadeli borçların yüksek</a:t>
          </a:r>
          <a:r>
            <a:rPr lang="tr-TR" sz="1100" baseline="0"/>
            <a:t> olması normaldir.</a:t>
          </a:r>
          <a:endParaRPr lang="tr-TR" sz="1100"/>
        </a:p>
      </xdr:txBody>
    </xdr:sp>
    <xdr:clientData/>
  </xdr:twoCellAnchor>
  <xdr:twoCellAnchor>
    <xdr:from>
      <xdr:col>1</xdr:col>
      <xdr:colOff>571500</xdr:colOff>
      <xdr:row>110</xdr:row>
      <xdr:rowOff>179294</xdr:rowOff>
    </xdr:from>
    <xdr:to>
      <xdr:col>12</xdr:col>
      <xdr:colOff>246529</xdr:colOff>
      <xdr:row>117</xdr:row>
      <xdr:rowOff>134471</xdr:rowOff>
    </xdr:to>
    <xdr:sp macro="" textlink="">
      <xdr:nvSpPr>
        <xdr:cNvPr id="9" name="Metin kutusu 8">
          <a:extLst>
            <a:ext uri="{FF2B5EF4-FFF2-40B4-BE49-F238E27FC236}">
              <a16:creationId xmlns:a16="http://schemas.microsoft.com/office/drawing/2014/main" id="{85BC234B-0392-E7F2-FD8C-E432C8CD58B2}"/>
            </a:ext>
          </a:extLst>
        </xdr:cNvPr>
        <xdr:cNvSpPr txBox="1"/>
      </xdr:nvSpPr>
      <xdr:spPr>
        <a:xfrm>
          <a:off x="3227294" y="21134294"/>
          <a:ext cx="9782735" cy="1288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İşletmelerde dönen varlıklar sabit ve değişken olarak iki kısımda incelenir. Sabit dönen varlıklar sürekli çalışma sermayesi,</a:t>
          </a:r>
          <a:r>
            <a:rPr lang="tr-TR" sz="1100" baseline="0"/>
            <a:t> değişken varlıklar ise değişken çalışma sermayesi olarak ifade edilir.</a:t>
          </a:r>
        </a:p>
        <a:p>
          <a:endParaRPr lang="tr-TR" sz="1100" baseline="0"/>
        </a:p>
        <a:p>
          <a:r>
            <a:rPr lang="tr-TR" sz="1100" baseline="0"/>
            <a:t>Genel bir kural olarak işletmelerin sahip olduğu sabit dönen varlıkların ve duran varlıkların devamlı sermaye ile finanse edilmesi, değişken dönen varlıkların ise kısa vadeli borçlarla finanse edilmesi uygundur.</a:t>
          </a:r>
        </a:p>
        <a:p>
          <a:endParaRPr lang="tr-TR" sz="1100" baseline="0"/>
        </a:p>
        <a:p>
          <a:r>
            <a:rPr lang="tr-TR" sz="1100" baseline="0"/>
            <a:t>FORD AŞ. her dönemde duran varlıklarının tamamını ve dönen varlıklarınında bir kısmını devamlı sermaye ile finanse etmektedir.</a:t>
          </a:r>
          <a:endParaRPr lang="tr-T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66675</xdr:colOff>
      <xdr:row>0</xdr:row>
      <xdr:rowOff>95250</xdr:rowOff>
    </xdr:from>
    <xdr:to>
      <xdr:col>11</xdr:col>
      <xdr:colOff>533400</xdr:colOff>
      <xdr:row>6</xdr:row>
      <xdr:rowOff>19050</xdr:rowOff>
    </xdr:to>
    <xdr:sp macro="" textlink="">
      <xdr:nvSpPr>
        <xdr:cNvPr id="2" name="Metin kutusu 1">
          <a:extLst>
            <a:ext uri="{FF2B5EF4-FFF2-40B4-BE49-F238E27FC236}">
              <a16:creationId xmlns:a16="http://schemas.microsoft.com/office/drawing/2014/main" id="{BDC6A3EA-D992-3A78-8AC1-24DCB32B90AC}"/>
            </a:ext>
          </a:extLst>
        </xdr:cNvPr>
        <xdr:cNvSpPr txBox="1"/>
      </xdr:nvSpPr>
      <xdr:spPr>
        <a:xfrm>
          <a:off x="676275" y="95250"/>
          <a:ext cx="6562725"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Faaliyet oranları ile satışlara oranla kaynakların fazla veya eksik olup olmadığı da belirlenmektedir. Kaynakların fazla olması,</a:t>
          </a:r>
          <a:r>
            <a:rPr lang="tr-TR" sz="1100" baseline="0"/>
            <a:t> fonlama maliyetinin yüksek olmasına sebep olur. Kaynakların yetersiz olması ise piyasadaki mevcut talebin karşılanmaması dolayısıyla satışların düşme riskine sebep olur. Hem fonlama maliyetlerinin yüksek olması hem de yeterli satışın yapılamaması karlılığı azaltır.</a:t>
          </a:r>
        </a:p>
        <a:p>
          <a:r>
            <a:rPr lang="tr-TR" sz="1100" baseline="0"/>
            <a:t>Firma değerinin ve karlılığın arttırılmasında varlıkların etkin kullanılması son derece önemlidir.</a:t>
          </a:r>
          <a:endParaRPr lang="tr-TR" sz="1100"/>
        </a:p>
      </xdr:txBody>
    </xdr:sp>
    <xdr:clientData/>
  </xdr:twoCellAnchor>
  <xdr:twoCellAnchor>
    <xdr:from>
      <xdr:col>5</xdr:col>
      <xdr:colOff>438150</xdr:colOff>
      <xdr:row>17</xdr:row>
      <xdr:rowOff>95249</xdr:rowOff>
    </xdr:from>
    <xdr:to>
      <xdr:col>11</xdr:col>
      <xdr:colOff>666750</xdr:colOff>
      <xdr:row>28</xdr:row>
      <xdr:rowOff>66674</xdr:rowOff>
    </xdr:to>
    <xdr:graphicFrame macro="">
      <xdr:nvGraphicFramePr>
        <xdr:cNvPr id="3" name="Grafik 2">
          <a:extLst>
            <a:ext uri="{FF2B5EF4-FFF2-40B4-BE49-F238E27FC236}">
              <a16:creationId xmlns:a16="http://schemas.microsoft.com/office/drawing/2014/main" id="{6DD422D1-7E3C-965C-E297-4130C36ADC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47625</xdr:colOff>
      <xdr:row>18</xdr:row>
      <xdr:rowOff>9525</xdr:rowOff>
    </xdr:from>
    <xdr:to>
      <xdr:col>17</xdr:col>
      <xdr:colOff>304800</xdr:colOff>
      <xdr:row>22</xdr:row>
      <xdr:rowOff>171450</xdr:rowOff>
    </xdr:to>
    <xdr:sp macro="" textlink="">
      <xdr:nvSpPr>
        <xdr:cNvPr id="4" name="Metin kutusu 3">
          <a:extLst>
            <a:ext uri="{FF2B5EF4-FFF2-40B4-BE49-F238E27FC236}">
              <a16:creationId xmlns:a16="http://schemas.microsoft.com/office/drawing/2014/main" id="{BFA44CD3-DAAD-1EEE-F6F0-9368338D6347}"/>
            </a:ext>
          </a:extLst>
        </xdr:cNvPr>
        <xdr:cNvSpPr txBox="1"/>
      </xdr:nvSpPr>
      <xdr:spPr>
        <a:xfrm>
          <a:off x="11534775" y="3438525"/>
          <a:ext cx="5010150"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FORD AŞ.</a:t>
          </a:r>
          <a:r>
            <a:rPr lang="tr-TR" sz="1100" baseline="0"/>
            <a:t> de stok devir hızı 2022'nin ilk çeyreğinden itibaren artış göstermeye başlamıştır. 2022 yılında stoklarını 15 kez devir etmektedir.</a:t>
          </a:r>
          <a:endParaRPr lang="tr-TR" sz="1100"/>
        </a:p>
      </xdr:txBody>
    </xdr:sp>
    <xdr:clientData/>
  </xdr:twoCellAnchor>
  <xdr:twoCellAnchor>
    <xdr:from>
      <xdr:col>5</xdr:col>
      <xdr:colOff>0</xdr:colOff>
      <xdr:row>38</xdr:row>
      <xdr:rowOff>0</xdr:rowOff>
    </xdr:from>
    <xdr:to>
      <xdr:col>11</xdr:col>
      <xdr:colOff>228600</xdr:colOff>
      <xdr:row>50</xdr:row>
      <xdr:rowOff>47625</xdr:rowOff>
    </xdr:to>
    <xdr:graphicFrame macro="">
      <xdr:nvGraphicFramePr>
        <xdr:cNvPr id="5" name="Grafik 4">
          <a:extLst>
            <a:ext uri="{FF2B5EF4-FFF2-40B4-BE49-F238E27FC236}">
              <a16:creationId xmlns:a16="http://schemas.microsoft.com/office/drawing/2014/main" id="{2597F6EB-65BE-4C45-A7B4-459ACD3CB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428625</xdr:colOff>
      <xdr:row>39</xdr:row>
      <xdr:rowOff>57150</xdr:rowOff>
    </xdr:from>
    <xdr:to>
      <xdr:col>16</xdr:col>
      <xdr:colOff>323850</xdr:colOff>
      <xdr:row>43</xdr:row>
      <xdr:rowOff>161925</xdr:rowOff>
    </xdr:to>
    <xdr:sp macro="" textlink="">
      <xdr:nvSpPr>
        <xdr:cNvPr id="6" name="Metin kutusu 5">
          <a:extLst>
            <a:ext uri="{FF2B5EF4-FFF2-40B4-BE49-F238E27FC236}">
              <a16:creationId xmlns:a16="http://schemas.microsoft.com/office/drawing/2014/main" id="{B779CC60-82A3-F8C0-7B7C-3E8D138AA4BE}"/>
            </a:ext>
          </a:extLst>
        </xdr:cNvPr>
        <xdr:cNvSpPr txBox="1"/>
      </xdr:nvSpPr>
      <xdr:spPr>
        <a:xfrm>
          <a:off x="11344275" y="7486650"/>
          <a:ext cx="4648200" cy="866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FROTO'da 2022</a:t>
          </a:r>
          <a:r>
            <a:rPr lang="tr-TR" sz="1100" baseline="0"/>
            <a:t> yılının ilk çeyreğinden itibaren alcak devir hızı yükselmektedir. Son yılda alacakların etkin bir şekilde etkin bir tahsilat politikası izlenir. Kredili satışlarda seçici davranılıyor son yılda.</a:t>
          </a:r>
          <a:endParaRPr lang="tr-TR" sz="1100"/>
        </a:p>
      </xdr:txBody>
    </xdr:sp>
    <xdr:clientData/>
  </xdr:twoCellAnchor>
  <xdr:twoCellAnchor>
    <xdr:from>
      <xdr:col>5</xdr:col>
      <xdr:colOff>114300</xdr:colOff>
      <xdr:row>59</xdr:row>
      <xdr:rowOff>133350</xdr:rowOff>
    </xdr:from>
    <xdr:to>
      <xdr:col>11</xdr:col>
      <xdr:colOff>342900</xdr:colOff>
      <xdr:row>71</xdr:row>
      <xdr:rowOff>180975</xdr:rowOff>
    </xdr:to>
    <xdr:graphicFrame macro="">
      <xdr:nvGraphicFramePr>
        <xdr:cNvPr id="7" name="Grafik 6">
          <a:extLst>
            <a:ext uri="{FF2B5EF4-FFF2-40B4-BE49-F238E27FC236}">
              <a16:creationId xmlns:a16="http://schemas.microsoft.com/office/drawing/2014/main" id="{1B2BFC52-CB20-460B-B893-4791000BE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62</xdr:row>
      <xdr:rowOff>0</xdr:rowOff>
    </xdr:from>
    <xdr:to>
      <xdr:col>16</xdr:col>
      <xdr:colOff>819150</xdr:colOff>
      <xdr:row>66</xdr:row>
      <xdr:rowOff>104775</xdr:rowOff>
    </xdr:to>
    <xdr:sp macro="" textlink="">
      <xdr:nvSpPr>
        <xdr:cNvPr id="8" name="Metin kutusu 7">
          <a:extLst>
            <a:ext uri="{FF2B5EF4-FFF2-40B4-BE49-F238E27FC236}">
              <a16:creationId xmlns:a16="http://schemas.microsoft.com/office/drawing/2014/main" id="{0473C11F-25AC-4613-9B2F-645F78CF7350}"/>
            </a:ext>
          </a:extLst>
        </xdr:cNvPr>
        <xdr:cNvSpPr txBox="1"/>
      </xdr:nvSpPr>
      <xdr:spPr>
        <a:xfrm>
          <a:off x="12773025" y="11811000"/>
          <a:ext cx="4648200" cy="866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FROTO'da 2022</a:t>
          </a:r>
          <a:r>
            <a:rPr lang="tr-TR" sz="1100" baseline="0"/>
            <a:t> yılının ilk çeyreğinden itibaren borç devir hızı yükselmektedir. Şirket alacaklarını 39 günde bir tahsil ederken borçlarını 50 günde 1 ödemektedir.</a:t>
          </a:r>
          <a:endParaRPr lang="tr-TR" sz="1100"/>
        </a:p>
      </xdr:txBody>
    </xdr:sp>
    <xdr:clientData/>
  </xdr:twoCellAnchor>
  <xdr:twoCellAnchor>
    <xdr:from>
      <xdr:col>5</xdr:col>
      <xdr:colOff>1</xdr:colOff>
      <xdr:row>78</xdr:row>
      <xdr:rowOff>190499</xdr:rowOff>
    </xdr:from>
    <xdr:to>
      <xdr:col>11</xdr:col>
      <xdr:colOff>476251</xdr:colOff>
      <xdr:row>93</xdr:row>
      <xdr:rowOff>133350</xdr:rowOff>
    </xdr:to>
    <xdr:graphicFrame macro="">
      <xdr:nvGraphicFramePr>
        <xdr:cNvPr id="9" name="Grafik 8">
          <a:extLst>
            <a:ext uri="{FF2B5EF4-FFF2-40B4-BE49-F238E27FC236}">
              <a16:creationId xmlns:a16="http://schemas.microsoft.com/office/drawing/2014/main" id="{9F2AAD33-4E20-44C0-9B5C-A04FB020F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80</xdr:row>
      <xdr:rowOff>0</xdr:rowOff>
    </xdr:from>
    <xdr:to>
      <xdr:col>16</xdr:col>
      <xdr:colOff>819150</xdr:colOff>
      <xdr:row>83</xdr:row>
      <xdr:rowOff>161925</xdr:rowOff>
    </xdr:to>
    <xdr:sp macro="" textlink="">
      <xdr:nvSpPr>
        <xdr:cNvPr id="10" name="Metin kutusu 9">
          <a:extLst>
            <a:ext uri="{FF2B5EF4-FFF2-40B4-BE49-F238E27FC236}">
              <a16:creationId xmlns:a16="http://schemas.microsoft.com/office/drawing/2014/main" id="{B83B8CAB-1751-4448-B5C4-FEA46933598A}"/>
            </a:ext>
          </a:extLst>
        </xdr:cNvPr>
        <xdr:cNvSpPr txBox="1"/>
      </xdr:nvSpPr>
      <xdr:spPr>
        <a:xfrm>
          <a:off x="12773025" y="15240000"/>
          <a:ext cx="4648200" cy="73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FROTO'da nakde</a:t>
          </a:r>
          <a:r>
            <a:rPr lang="tr-TR" sz="1100" baseline="0"/>
            <a:t> dönüşüm süresi 2021 son çeyrek ile 2022 son çeyrek arasında artmıştır. Yılın son çeyreğinde düşüş eğilimi gerçekleşmiştir. </a:t>
          </a:r>
        </a:p>
        <a:p>
          <a:r>
            <a:rPr lang="tr-TR" sz="1100" baseline="0"/>
            <a:t>Nakde dönüşüm süresi, işletmenin likitide yeterliliğini ortaya koymaktadır.</a:t>
          </a:r>
          <a:endParaRPr lang="tr-TR" sz="1100"/>
        </a:p>
      </xdr:txBody>
    </xdr:sp>
    <xdr:clientData/>
  </xdr:twoCellAnchor>
  <xdr:twoCellAnchor>
    <xdr:from>
      <xdr:col>5</xdr:col>
      <xdr:colOff>0</xdr:colOff>
      <xdr:row>103</xdr:row>
      <xdr:rowOff>0</xdr:rowOff>
    </xdr:from>
    <xdr:to>
      <xdr:col>11</xdr:col>
      <xdr:colOff>476250</xdr:colOff>
      <xdr:row>117</xdr:row>
      <xdr:rowOff>133351</xdr:rowOff>
    </xdr:to>
    <xdr:graphicFrame macro="">
      <xdr:nvGraphicFramePr>
        <xdr:cNvPr id="11" name="Grafik 10">
          <a:extLst>
            <a:ext uri="{FF2B5EF4-FFF2-40B4-BE49-F238E27FC236}">
              <a16:creationId xmlns:a16="http://schemas.microsoft.com/office/drawing/2014/main" id="{60B1970B-B260-4D18-B020-FB442CEEE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105</xdr:row>
      <xdr:rowOff>1</xdr:rowOff>
    </xdr:from>
    <xdr:to>
      <xdr:col>16</xdr:col>
      <xdr:colOff>819150</xdr:colOff>
      <xdr:row>108</xdr:row>
      <xdr:rowOff>1</xdr:rowOff>
    </xdr:to>
    <xdr:sp macro="" textlink="">
      <xdr:nvSpPr>
        <xdr:cNvPr id="12" name="Metin kutusu 11">
          <a:extLst>
            <a:ext uri="{FF2B5EF4-FFF2-40B4-BE49-F238E27FC236}">
              <a16:creationId xmlns:a16="http://schemas.microsoft.com/office/drawing/2014/main" id="{B2DF3C6F-F3B5-43C1-A7F3-1413969B572B}"/>
            </a:ext>
          </a:extLst>
        </xdr:cNvPr>
        <xdr:cNvSpPr txBox="1"/>
      </xdr:nvSpPr>
      <xdr:spPr>
        <a:xfrm>
          <a:off x="12773025" y="20002501"/>
          <a:ext cx="4648200"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baseline="0"/>
            <a:t>Bu oran yüksek olduğunda işletmelerin karlılığı daha yüksek, riskliliği daha düşüktür.</a:t>
          </a:r>
          <a:endParaRPr lang="tr-TR" sz="1100"/>
        </a:p>
      </xdr:txBody>
    </xdr:sp>
    <xdr:clientData/>
  </xdr:twoCellAnchor>
  <xdr:twoCellAnchor>
    <xdr:from>
      <xdr:col>5</xdr:col>
      <xdr:colOff>0</xdr:colOff>
      <xdr:row>127</xdr:row>
      <xdr:rowOff>0</xdr:rowOff>
    </xdr:from>
    <xdr:to>
      <xdr:col>11</xdr:col>
      <xdr:colOff>476250</xdr:colOff>
      <xdr:row>141</xdr:row>
      <xdr:rowOff>133351</xdr:rowOff>
    </xdr:to>
    <xdr:graphicFrame macro="">
      <xdr:nvGraphicFramePr>
        <xdr:cNvPr id="13" name="Grafik 12">
          <a:extLst>
            <a:ext uri="{FF2B5EF4-FFF2-40B4-BE49-F238E27FC236}">
              <a16:creationId xmlns:a16="http://schemas.microsoft.com/office/drawing/2014/main" id="{F3F61AB1-6754-4166-8455-3E8292A74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381000</xdr:colOff>
      <xdr:row>127</xdr:row>
      <xdr:rowOff>66675</xdr:rowOff>
    </xdr:from>
    <xdr:to>
      <xdr:col>16</xdr:col>
      <xdr:colOff>609600</xdr:colOff>
      <xdr:row>131</xdr:row>
      <xdr:rowOff>57150</xdr:rowOff>
    </xdr:to>
    <xdr:sp macro="" textlink="">
      <xdr:nvSpPr>
        <xdr:cNvPr id="14" name="Metin kutusu 13">
          <a:extLst>
            <a:ext uri="{FF2B5EF4-FFF2-40B4-BE49-F238E27FC236}">
              <a16:creationId xmlns:a16="http://schemas.microsoft.com/office/drawing/2014/main" id="{AA2DD23A-CEB8-5ECA-FDA2-CE14ECF23006}"/>
            </a:ext>
          </a:extLst>
        </xdr:cNvPr>
        <xdr:cNvSpPr txBox="1"/>
      </xdr:nvSpPr>
      <xdr:spPr>
        <a:xfrm>
          <a:off x="13154025" y="24260175"/>
          <a:ext cx="4057650" cy="75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İşletmenin öz kaynaklarını</a:t>
          </a:r>
          <a:r>
            <a:rPr lang="tr-TR" sz="1100" baseline="0"/>
            <a:t> ne derece de etkin kullandığının göstergesidir.</a:t>
          </a:r>
        </a:p>
        <a:p>
          <a:endParaRPr lang="tr-T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161925</xdr:colOff>
      <xdr:row>0</xdr:row>
      <xdr:rowOff>171450</xdr:rowOff>
    </xdr:from>
    <xdr:to>
      <xdr:col>8</xdr:col>
      <xdr:colOff>847725</xdr:colOff>
      <xdr:row>3</xdr:row>
      <xdr:rowOff>28575</xdr:rowOff>
    </xdr:to>
    <xdr:sp macro="" textlink="">
      <xdr:nvSpPr>
        <xdr:cNvPr id="2" name="Metin kutusu 1">
          <a:extLst>
            <a:ext uri="{FF2B5EF4-FFF2-40B4-BE49-F238E27FC236}">
              <a16:creationId xmlns:a16="http://schemas.microsoft.com/office/drawing/2014/main" id="{1932696A-24EA-E82F-CC7E-AE3567FC0411}"/>
            </a:ext>
          </a:extLst>
        </xdr:cNvPr>
        <xdr:cNvSpPr txBox="1"/>
      </xdr:nvSpPr>
      <xdr:spPr>
        <a:xfrm>
          <a:off x="161925" y="171450"/>
          <a:ext cx="9591675"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 Karlılık varlıkların ve kaynakların iyi ve etkin yönetilmesinin sonucudur.</a:t>
          </a:r>
        </a:p>
      </xdr:txBody>
    </xdr:sp>
    <xdr:clientData/>
  </xdr:twoCellAnchor>
  <xdr:twoCellAnchor>
    <xdr:from>
      <xdr:col>1</xdr:col>
      <xdr:colOff>333375</xdr:colOff>
      <xdr:row>17</xdr:row>
      <xdr:rowOff>47624</xdr:rowOff>
    </xdr:from>
    <xdr:to>
      <xdr:col>9</xdr:col>
      <xdr:colOff>28575</xdr:colOff>
      <xdr:row>33</xdr:row>
      <xdr:rowOff>19049</xdr:rowOff>
    </xdr:to>
    <xdr:graphicFrame macro="">
      <xdr:nvGraphicFramePr>
        <xdr:cNvPr id="4" name="Grafik 3">
          <a:extLst>
            <a:ext uri="{FF2B5EF4-FFF2-40B4-BE49-F238E27FC236}">
              <a16:creationId xmlns:a16="http://schemas.microsoft.com/office/drawing/2014/main" id="{0BBE759D-24E4-C567-FA57-8BF268391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333375</xdr:colOff>
      <xdr:row>42</xdr:row>
      <xdr:rowOff>123825</xdr:rowOff>
    </xdr:from>
    <xdr:to>
      <xdr:col>9</xdr:col>
      <xdr:colOff>219075</xdr:colOff>
      <xdr:row>54</xdr:row>
      <xdr:rowOff>28575</xdr:rowOff>
    </xdr:to>
    <xdr:graphicFrame macro="">
      <xdr:nvGraphicFramePr>
        <xdr:cNvPr id="5" name="Grafik 4">
          <a:extLst>
            <a:ext uri="{FF2B5EF4-FFF2-40B4-BE49-F238E27FC236}">
              <a16:creationId xmlns:a16="http://schemas.microsoft.com/office/drawing/2014/main" id="{6632EE1D-AEC4-77A1-E076-AA85148601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485775</xdr:colOff>
      <xdr:row>44</xdr:row>
      <xdr:rowOff>123825</xdr:rowOff>
    </xdr:from>
    <xdr:to>
      <xdr:col>14</xdr:col>
      <xdr:colOff>895350</xdr:colOff>
      <xdr:row>48</xdr:row>
      <xdr:rowOff>180975</xdr:rowOff>
    </xdr:to>
    <xdr:sp macro="" textlink="">
      <xdr:nvSpPr>
        <xdr:cNvPr id="6" name="Metin kutusu 5">
          <a:extLst>
            <a:ext uri="{FF2B5EF4-FFF2-40B4-BE49-F238E27FC236}">
              <a16:creationId xmlns:a16="http://schemas.microsoft.com/office/drawing/2014/main" id="{B1D0737E-7F15-2C86-430F-DAF3488C28D9}"/>
            </a:ext>
          </a:extLst>
        </xdr:cNvPr>
        <xdr:cNvSpPr txBox="1"/>
      </xdr:nvSpPr>
      <xdr:spPr>
        <a:xfrm>
          <a:off x="10315575" y="8505825"/>
          <a:ext cx="5029200" cy="819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Varlıkların karlılık oranı</a:t>
          </a:r>
          <a:r>
            <a:rPr lang="tr-TR" sz="1100" baseline="0"/>
            <a:t>, işletmenin varlıklara yapmış olduğu yatırımın sonucunda elde ettiği karlılığı ve varlıkların etkin kullanılıp kullanılmadığını göstermektedir. Ford şirketinde 2022 son çeyrekte varlık karlılığı ilk çeyreklik döneme göre %38 arış göstermiştir.</a:t>
          </a:r>
          <a:endParaRPr lang="tr-TR" sz="1100"/>
        </a:p>
      </xdr:txBody>
    </xdr:sp>
    <xdr:clientData/>
  </xdr:twoCellAnchor>
  <xdr:twoCellAnchor>
    <xdr:from>
      <xdr:col>3</xdr:col>
      <xdr:colOff>838200</xdr:colOff>
      <xdr:row>65</xdr:row>
      <xdr:rowOff>66675</xdr:rowOff>
    </xdr:from>
    <xdr:to>
      <xdr:col>9</xdr:col>
      <xdr:colOff>723900</xdr:colOff>
      <xdr:row>76</xdr:row>
      <xdr:rowOff>161925</xdr:rowOff>
    </xdr:to>
    <xdr:graphicFrame macro="">
      <xdr:nvGraphicFramePr>
        <xdr:cNvPr id="7" name="Grafik 6">
          <a:extLst>
            <a:ext uri="{FF2B5EF4-FFF2-40B4-BE49-F238E27FC236}">
              <a16:creationId xmlns:a16="http://schemas.microsoft.com/office/drawing/2014/main" id="{CBAE7617-86C4-48E9-B55D-D5B47FE0AB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666750</xdr:colOff>
      <xdr:row>66</xdr:row>
      <xdr:rowOff>104775</xdr:rowOff>
    </xdr:from>
    <xdr:to>
      <xdr:col>16</xdr:col>
      <xdr:colOff>9525</xdr:colOff>
      <xdr:row>74</xdr:row>
      <xdr:rowOff>9525</xdr:rowOff>
    </xdr:to>
    <xdr:sp macro="" textlink="">
      <xdr:nvSpPr>
        <xdr:cNvPr id="8" name="Metin kutusu 7">
          <a:extLst>
            <a:ext uri="{FF2B5EF4-FFF2-40B4-BE49-F238E27FC236}">
              <a16:creationId xmlns:a16="http://schemas.microsoft.com/office/drawing/2014/main" id="{8EC67528-43B3-49C4-5A4A-F7413420C4CD}"/>
            </a:ext>
          </a:extLst>
        </xdr:cNvPr>
        <xdr:cNvSpPr txBox="1"/>
      </xdr:nvSpPr>
      <xdr:spPr>
        <a:xfrm>
          <a:off x="11420475" y="12677775"/>
          <a:ext cx="5019675" cy="1428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Ekonomik rantabilite oranı işletmenin toplam kaynaklarının ne ölçüde karlı kullanıldığını gösterir. Oran, işletmeye yatırılan fonların getirisini ölçmede kullanılır.</a:t>
          </a:r>
        </a:p>
        <a:p>
          <a:endParaRPr lang="tr-TR" sz="1100"/>
        </a:p>
        <a:p>
          <a:r>
            <a:rPr lang="tr-TR" sz="1100"/>
            <a:t>Ekonomik rantabilite oranı temel kazanma gücü oranı olarak da isimlendirilir. Böyle bir isimlendirme firma varlıklarının esas faaliyet karı üretme</a:t>
          </a:r>
          <a:r>
            <a:rPr lang="tr-TR" sz="1100" baseline="0"/>
            <a:t> gücünü ölçme mantığına dayanmaktadır.</a:t>
          </a:r>
          <a:endParaRPr lang="tr-TR" sz="1100"/>
        </a:p>
      </xdr:txBody>
    </xdr:sp>
    <xdr:clientData/>
  </xdr:twoCellAnchor>
  <xdr:twoCellAnchor>
    <xdr:from>
      <xdr:col>4</xdr:col>
      <xdr:colOff>0</xdr:colOff>
      <xdr:row>86</xdr:row>
      <xdr:rowOff>0</xdr:rowOff>
    </xdr:from>
    <xdr:to>
      <xdr:col>9</xdr:col>
      <xdr:colOff>809625</xdr:colOff>
      <xdr:row>99</xdr:row>
      <xdr:rowOff>0</xdr:rowOff>
    </xdr:to>
    <xdr:graphicFrame macro="">
      <xdr:nvGraphicFramePr>
        <xdr:cNvPr id="9" name="Grafik 8">
          <a:extLst>
            <a:ext uri="{FF2B5EF4-FFF2-40B4-BE49-F238E27FC236}">
              <a16:creationId xmlns:a16="http://schemas.microsoft.com/office/drawing/2014/main" id="{1A9ECC87-EB51-40EF-8199-40C5A15B3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323850</xdr:colOff>
      <xdr:row>87</xdr:row>
      <xdr:rowOff>19049</xdr:rowOff>
    </xdr:from>
    <xdr:to>
      <xdr:col>15</xdr:col>
      <xdr:colOff>657225</xdr:colOff>
      <xdr:row>96</xdr:row>
      <xdr:rowOff>47625</xdr:rowOff>
    </xdr:to>
    <xdr:sp macro="" textlink="">
      <xdr:nvSpPr>
        <xdr:cNvPr id="10" name="Metin kutusu 9">
          <a:extLst>
            <a:ext uri="{FF2B5EF4-FFF2-40B4-BE49-F238E27FC236}">
              <a16:creationId xmlns:a16="http://schemas.microsoft.com/office/drawing/2014/main" id="{C64D8BBC-B174-4892-B2FE-3AEE0568445E}"/>
            </a:ext>
          </a:extLst>
        </xdr:cNvPr>
        <xdr:cNvSpPr txBox="1"/>
      </xdr:nvSpPr>
      <xdr:spPr>
        <a:xfrm>
          <a:off x="11077575" y="16592549"/>
          <a:ext cx="5019675" cy="17430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Öz</a:t>
          </a:r>
          <a:r>
            <a:rPr lang="tr-TR" sz="1100" baseline="0"/>
            <a:t> kaynakların karlılık oranı, ortaklarca işletmeye konan öz sermayenin etkin kullanımının iyi bir göstergesidir.</a:t>
          </a:r>
        </a:p>
        <a:p>
          <a:endParaRPr lang="tr-TR" sz="1100" baseline="0"/>
        </a:p>
        <a:p>
          <a:r>
            <a:rPr lang="tr-TR" sz="1100" baseline="0"/>
            <a:t>* İşletmeler fon ihtiyaçları için yabancıl kaynak kullandıkları takdirde bu kaynakların bir bedeli olarak faiz öderler. Ödenen faiz vergi kanunlarınca gider kabul edilmektedir. Sonuç olarak daha az vergi ödenmesiyle hisse başına karlılık artacaktır. Bu durum literatürde fainansal kaldıraç etkisi olarak ifade edilir. İşletme finansal kaldıraç etkisini etkin kullanması sonucunda dönem karı ve öz kaynakların karlılık oranı artacaktır.</a:t>
          </a:r>
          <a:endParaRPr lang="tr-TR" sz="1100"/>
        </a:p>
      </xdr:txBody>
    </xdr:sp>
    <xdr:clientData/>
  </xdr:twoCellAnchor>
  <xdr:twoCellAnchor>
    <xdr:from>
      <xdr:col>1</xdr:col>
      <xdr:colOff>857250</xdr:colOff>
      <xdr:row>107</xdr:row>
      <xdr:rowOff>104775</xdr:rowOff>
    </xdr:from>
    <xdr:to>
      <xdr:col>7</xdr:col>
      <xdr:colOff>742950</xdr:colOff>
      <xdr:row>120</xdr:row>
      <xdr:rowOff>104775</xdr:rowOff>
    </xdr:to>
    <xdr:graphicFrame macro="">
      <xdr:nvGraphicFramePr>
        <xdr:cNvPr id="11" name="Grafik 10">
          <a:extLst>
            <a:ext uri="{FF2B5EF4-FFF2-40B4-BE49-F238E27FC236}">
              <a16:creationId xmlns:a16="http://schemas.microsoft.com/office/drawing/2014/main" id="{698D2B35-802A-4314-954C-337D92FAC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24491</xdr:colOff>
      <xdr:row>13</xdr:row>
      <xdr:rowOff>156481</xdr:rowOff>
    </xdr:from>
    <xdr:to>
      <xdr:col>10</xdr:col>
      <xdr:colOff>721178</xdr:colOff>
      <xdr:row>34</xdr:row>
      <xdr:rowOff>149678</xdr:rowOff>
    </xdr:to>
    <xdr:graphicFrame macro="">
      <xdr:nvGraphicFramePr>
        <xdr:cNvPr id="2" name="Grafik 1">
          <a:extLst>
            <a:ext uri="{FF2B5EF4-FFF2-40B4-BE49-F238E27FC236}">
              <a16:creationId xmlns:a16="http://schemas.microsoft.com/office/drawing/2014/main" id="{3B9A353F-036E-BE5C-97C0-190D94FD4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590550</xdr:colOff>
      <xdr:row>14</xdr:row>
      <xdr:rowOff>57150</xdr:rowOff>
    </xdr:from>
    <xdr:to>
      <xdr:col>16</xdr:col>
      <xdr:colOff>352425</xdr:colOff>
      <xdr:row>22</xdr:row>
      <xdr:rowOff>142875</xdr:rowOff>
    </xdr:to>
    <xdr:sp macro="" textlink="">
      <xdr:nvSpPr>
        <xdr:cNvPr id="3" name="Metin kutusu 2">
          <a:extLst>
            <a:ext uri="{FF2B5EF4-FFF2-40B4-BE49-F238E27FC236}">
              <a16:creationId xmlns:a16="http://schemas.microsoft.com/office/drawing/2014/main" id="{5E78C241-7354-E308-F9FF-CF0766650600}"/>
            </a:ext>
          </a:extLst>
        </xdr:cNvPr>
        <xdr:cNvSpPr txBox="1"/>
      </xdr:nvSpPr>
      <xdr:spPr>
        <a:xfrm>
          <a:off x="11839575" y="2724150"/>
          <a:ext cx="4514850" cy="160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2020/09'a</a:t>
          </a:r>
          <a:r>
            <a:rPr lang="tr-TR" sz="1100" baseline="0"/>
            <a:t> kadar olan süreçte şirkette az bir büyüme söz konusu. Bu süreçten itibarıyla özellikle dönem karı yüksek düzeylerde büyüme göstermeye başlamıştır. </a:t>
          </a:r>
          <a:endParaRPr lang="tr-T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200024</xdr:colOff>
      <xdr:row>10</xdr:row>
      <xdr:rowOff>47624</xdr:rowOff>
    </xdr:from>
    <xdr:to>
      <xdr:col>7</xdr:col>
      <xdr:colOff>76199</xdr:colOff>
      <xdr:row>26</xdr:row>
      <xdr:rowOff>95249</xdr:rowOff>
    </xdr:to>
    <xdr:graphicFrame macro="">
      <xdr:nvGraphicFramePr>
        <xdr:cNvPr id="3" name="Grafik 2">
          <a:extLst>
            <a:ext uri="{FF2B5EF4-FFF2-40B4-BE49-F238E27FC236}">
              <a16:creationId xmlns:a16="http://schemas.microsoft.com/office/drawing/2014/main" id="{4B97EA5E-3115-5BED-59D5-24EE659D9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857250</xdr:colOff>
      <xdr:row>10</xdr:row>
      <xdr:rowOff>142875</xdr:rowOff>
    </xdr:from>
    <xdr:to>
      <xdr:col>12</xdr:col>
      <xdr:colOff>771525</xdr:colOff>
      <xdr:row>15</xdr:row>
      <xdr:rowOff>133350</xdr:rowOff>
    </xdr:to>
    <xdr:sp macro="" textlink="">
      <xdr:nvSpPr>
        <xdr:cNvPr id="4" name="Metin kutusu 3">
          <a:extLst>
            <a:ext uri="{FF2B5EF4-FFF2-40B4-BE49-F238E27FC236}">
              <a16:creationId xmlns:a16="http://schemas.microsoft.com/office/drawing/2014/main" id="{F7B4145A-6609-9284-3870-8D9180DE6D0F}"/>
            </a:ext>
          </a:extLst>
        </xdr:cNvPr>
        <xdr:cNvSpPr txBox="1"/>
      </xdr:nvSpPr>
      <xdr:spPr>
        <a:xfrm>
          <a:off x="7810500" y="2047875"/>
          <a:ext cx="4533900" cy="942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FROTO'da</a:t>
          </a:r>
          <a:r>
            <a:rPr lang="tr-TR" sz="1100" baseline="0"/>
            <a:t> öz kaynak karlılığı sürekli artış eğiliminde iken finansal kaldıraç oranı 0,71 - 0,82 arasında dalgalanma göstermiştir. Son dönemlerde öz kaynak karlılığında artış hızlanırken finansal kaldıraç oranında düşüş gerçekleşmiştir. </a:t>
          </a:r>
          <a:endParaRPr lang="tr-T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1095375</xdr:colOff>
      <xdr:row>21</xdr:row>
      <xdr:rowOff>85725</xdr:rowOff>
    </xdr:from>
    <xdr:to>
      <xdr:col>6</xdr:col>
      <xdr:colOff>381000</xdr:colOff>
      <xdr:row>38</xdr:row>
      <xdr:rowOff>142874</xdr:rowOff>
    </xdr:to>
    <xdr:graphicFrame macro="">
      <xdr:nvGraphicFramePr>
        <xdr:cNvPr id="2" name="Grafik 1">
          <a:extLst>
            <a:ext uri="{FF2B5EF4-FFF2-40B4-BE49-F238E27FC236}">
              <a16:creationId xmlns:a16="http://schemas.microsoft.com/office/drawing/2014/main" id="{E24FE11A-CCB4-9F84-755B-4D90897631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133350</xdr:colOff>
      <xdr:row>21</xdr:row>
      <xdr:rowOff>57150</xdr:rowOff>
    </xdr:from>
    <xdr:to>
      <xdr:col>13</xdr:col>
      <xdr:colOff>285750</xdr:colOff>
      <xdr:row>38</xdr:row>
      <xdr:rowOff>163286</xdr:rowOff>
    </xdr:to>
    <xdr:graphicFrame macro="">
      <xdr:nvGraphicFramePr>
        <xdr:cNvPr id="3" name="Grafik 2">
          <a:extLst>
            <a:ext uri="{FF2B5EF4-FFF2-40B4-BE49-F238E27FC236}">
              <a16:creationId xmlns:a16="http://schemas.microsoft.com/office/drawing/2014/main" id="{63C82852-C76C-2785-591A-E5EA279134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209550</xdr:colOff>
      <xdr:row>20</xdr:row>
      <xdr:rowOff>47625</xdr:rowOff>
    </xdr:from>
    <xdr:to>
      <xdr:col>5</xdr:col>
      <xdr:colOff>647700</xdr:colOff>
      <xdr:row>33</xdr:row>
      <xdr:rowOff>19050</xdr:rowOff>
    </xdr:to>
    <xdr:sp macro="" textlink="">
      <xdr:nvSpPr>
        <xdr:cNvPr id="2" name="Metin kutusu 1">
          <a:extLst>
            <a:ext uri="{FF2B5EF4-FFF2-40B4-BE49-F238E27FC236}">
              <a16:creationId xmlns:a16="http://schemas.microsoft.com/office/drawing/2014/main" id="{16FA5E2C-0419-2B1F-8A85-11B8C5E2186F}"/>
            </a:ext>
          </a:extLst>
        </xdr:cNvPr>
        <xdr:cNvSpPr txBox="1"/>
      </xdr:nvSpPr>
      <xdr:spPr>
        <a:xfrm>
          <a:off x="209550" y="3857625"/>
          <a:ext cx="6010275" cy="2447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Öz kaynakların karlılık oranı Dupont analizinde yukarıdaki gibi üç kısma ayrılmasının sebebi, firmada öz kaynakların karlılığını etkileyen unsurları görmektir.</a:t>
          </a:r>
        </a:p>
        <a:p>
          <a:r>
            <a:rPr lang="tr-TR" sz="1100"/>
            <a:t>Finansal yönetici öz kaynak karlılığını artırabilmek için, yukarıda verilen 3 oran üzerinde çalışmalıdır.</a:t>
          </a:r>
        </a:p>
        <a:p>
          <a:r>
            <a:rPr lang="tr-TR" sz="1100"/>
            <a:t>* Örneğin aynı satış düzeyinde</a:t>
          </a:r>
          <a:r>
            <a:rPr lang="tr-TR" sz="1100" baseline="0"/>
            <a:t> dönem karını arttırabilmek için, satışların maliyetini oluşturan hammadde, işçilik ve genel giderlerin azaltılmasının yanında faliyet giderlerini oluşturan genel yönetim, pazarlama ve ar-ge giderlerinin de azaltılması gerekir. </a:t>
          </a:r>
        </a:p>
        <a:p>
          <a:r>
            <a:rPr lang="tr-TR" sz="1100" baseline="0"/>
            <a:t>* Varlıkların devir hızının arttırılabilmesi için, dönen ve duran varlık yatırımları gözden geçirilmeli, bu yatırımlar her bir hesap kalemi bazında optimal düzeyde olmalı, fazla (atıl) yatırım olmamalı, fazla yatırım varsa bu yatırım optimum düzeye çekilmelidir.</a:t>
          </a:r>
        </a:p>
        <a:p>
          <a:r>
            <a:rPr lang="tr-TR" sz="1100"/>
            <a:t>* Öz kaynak karlılığının artırılabilmesi için finansal yapının da optimum düzeyde oluşturulması</a:t>
          </a:r>
          <a:r>
            <a:rPr lang="tr-TR" sz="1100" baseline="0"/>
            <a:t> gerekir. Optimal finansal yapı finansal kaldıraç etkisi sayesinde sermaye maliyetinin azalması ve karlılığın artmasını sağlar.</a:t>
          </a:r>
          <a:endParaRPr lang="tr-TR" sz="1100"/>
        </a:p>
      </xdr:txBody>
    </xdr:sp>
    <xdr:clientData/>
  </xdr:twoCellAnchor>
  <xdr:twoCellAnchor>
    <xdr:from>
      <xdr:col>6</xdr:col>
      <xdr:colOff>271743</xdr:colOff>
      <xdr:row>19</xdr:row>
      <xdr:rowOff>166407</xdr:rowOff>
    </xdr:from>
    <xdr:to>
      <xdr:col>11</xdr:col>
      <xdr:colOff>885825</xdr:colOff>
      <xdr:row>33</xdr:row>
      <xdr:rowOff>78441</xdr:rowOff>
    </xdr:to>
    <xdr:sp macro="" textlink="">
      <xdr:nvSpPr>
        <xdr:cNvPr id="3" name="Metin kutusu 2">
          <a:extLst>
            <a:ext uri="{FF2B5EF4-FFF2-40B4-BE49-F238E27FC236}">
              <a16:creationId xmlns:a16="http://schemas.microsoft.com/office/drawing/2014/main" id="{0264DC29-521A-797C-51DD-1C2822018580}"/>
            </a:ext>
          </a:extLst>
        </xdr:cNvPr>
        <xdr:cNvSpPr txBox="1"/>
      </xdr:nvSpPr>
      <xdr:spPr>
        <a:xfrm>
          <a:off x="7017684" y="3785907"/>
          <a:ext cx="5208494" cy="25790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İşletmelerin nihai hedefi öz</a:t>
          </a:r>
          <a:r>
            <a:rPr lang="tr-TR" sz="1100" baseline="0"/>
            <a:t> kaynak karlılığını arttırmak olduğu için burada öz kaynak karlılığına odaklanırsak; FROTO'da öz kaynakların karlılığı yıllar itibariyle sürekli artmıştır. </a:t>
          </a:r>
        </a:p>
        <a:p>
          <a:r>
            <a:rPr lang="tr-TR" sz="1100" baseline="0"/>
            <a:t>* Öz kaynak karlılığının üç unsuru olan dönem kar marjı, varlıkların devir hızı ve öz kaynaklar çarpanına baktığımızda:</a:t>
          </a:r>
        </a:p>
        <a:p>
          <a:r>
            <a:rPr lang="tr-TR" sz="1100" baseline="0"/>
            <a:t>2021 yılında dönem kar marjı %46, varlıkların devir hızı -%18 ve öz kaynak çarpanı % 22 artmıştır. 2022 yılında ise dönem kar marjında % 12 düşüş, varlık devir hızında %8 artış ve öz kaynak çarpanında %6 artış gerçekleşmiştir.</a:t>
          </a:r>
        </a:p>
        <a:p>
          <a:endParaRPr lang="tr-TR" sz="1100" baseline="0"/>
        </a:p>
        <a:p>
          <a:r>
            <a:rPr lang="tr-TR" sz="1100" baseline="0"/>
            <a:t>2021 yılında gerçekleşen %46 lık öz kaynak karlılığı artışına en büyük etkiyi dönem kar marjı göstermiştir. Bu dönemde maliyetler daha iyi yönetilerek dönem kar marjı arttırılmış.</a:t>
          </a:r>
        </a:p>
        <a:p>
          <a:endParaRPr lang="tr-TR" sz="1100" baseline="0"/>
        </a:p>
        <a:p>
          <a:r>
            <a:rPr lang="tr-TR" sz="1100" baseline="0"/>
            <a:t>2022 yılında ise yeni yapılan yatırımların maliyetleri neticesinden kar marjı azalmıştır.</a:t>
          </a:r>
        </a:p>
        <a:p>
          <a:r>
            <a:rPr lang="tr-TR" sz="1100" baseline="0"/>
            <a:t>Varlık devir hızı ve öz kaynak çarpanı artmıştır.</a:t>
          </a:r>
          <a:endParaRPr lang="tr-TR"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49"/>
  <sheetViews>
    <sheetView workbookViewId="0">
      <selection activeCell="A84" sqref="A84:A88"/>
    </sheetView>
  </sheetViews>
  <sheetFormatPr defaultRowHeight="15" x14ac:dyDescent="0.25"/>
  <cols>
    <col min="1" max="1" width="30.85546875" customWidth="1"/>
    <col min="2" max="2" width="17" customWidth="1"/>
    <col min="3" max="3" width="12.7109375" bestFit="1" customWidth="1"/>
    <col min="18" max="18" width="12.7109375" bestFit="1" customWidth="1"/>
  </cols>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25">
      <c r="A2" t="s">
        <v>21</v>
      </c>
      <c r="B2">
        <v>55124518000</v>
      </c>
      <c r="C2">
        <v>47980331000</v>
      </c>
      <c r="D2">
        <v>40038923000</v>
      </c>
      <c r="E2">
        <v>37503027000</v>
      </c>
      <c r="F2">
        <v>32813852000</v>
      </c>
      <c r="G2">
        <v>25798227000</v>
      </c>
      <c r="H2">
        <v>16178935000</v>
      </c>
      <c r="I2">
        <v>19459015000</v>
      </c>
      <c r="J2">
        <v>17604522000</v>
      </c>
      <c r="K2">
        <v>16337400000</v>
      </c>
      <c r="L2">
        <v>11753806000</v>
      </c>
      <c r="M2">
        <v>10352633000</v>
      </c>
      <c r="N2">
        <v>10156798000</v>
      </c>
      <c r="O2">
        <v>8908293000</v>
      </c>
      <c r="P2">
        <v>9121732000</v>
      </c>
      <c r="Q2">
        <v>8946171000</v>
      </c>
      <c r="R2">
        <v>7395461000</v>
      </c>
      <c r="S2">
        <v>8082790000</v>
      </c>
      <c r="T2">
        <v>7184722000</v>
      </c>
      <c r="U2">
        <v>7621252000</v>
      </c>
    </row>
    <row r="3" spans="1:21" x14ac:dyDescent="0.25">
      <c r="A3" t="s">
        <v>22</v>
      </c>
      <c r="B3">
        <v>10114706000</v>
      </c>
      <c r="C3">
        <v>7253086000</v>
      </c>
      <c r="D3">
        <v>13541737000</v>
      </c>
      <c r="E3">
        <v>15174998000</v>
      </c>
      <c r="F3">
        <v>14173931000</v>
      </c>
      <c r="G3">
        <v>13587561000</v>
      </c>
      <c r="H3">
        <v>5033590000</v>
      </c>
      <c r="I3">
        <v>9256475000</v>
      </c>
      <c r="J3">
        <v>8124073000</v>
      </c>
      <c r="K3">
        <v>6833135000</v>
      </c>
      <c r="L3">
        <v>5194941000</v>
      </c>
      <c r="M3">
        <v>3676027000</v>
      </c>
      <c r="N3">
        <v>3202952000</v>
      </c>
      <c r="O3">
        <v>1763690000</v>
      </c>
      <c r="P3">
        <v>1919014000</v>
      </c>
      <c r="Q3">
        <v>2105155000</v>
      </c>
      <c r="R3">
        <v>1392772000</v>
      </c>
      <c r="S3">
        <v>1379488000</v>
      </c>
      <c r="T3">
        <v>1286629000</v>
      </c>
      <c r="U3">
        <v>2042259000</v>
      </c>
    </row>
    <row r="4" spans="1:21" x14ac:dyDescent="0.25">
      <c r="A4" t="s">
        <v>23</v>
      </c>
      <c r="B4">
        <v>0</v>
      </c>
      <c r="C4">
        <v>0</v>
      </c>
      <c r="D4">
        <v>0</v>
      </c>
      <c r="E4">
        <v>0</v>
      </c>
      <c r="F4">
        <v>0</v>
      </c>
      <c r="G4">
        <v>0</v>
      </c>
      <c r="H4">
        <v>0</v>
      </c>
      <c r="I4">
        <v>0</v>
      </c>
      <c r="J4">
        <v>0</v>
      </c>
      <c r="K4">
        <v>0</v>
      </c>
      <c r="L4">
        <v>0</v>
      </c>
      <c r="M4">
        <v>0</v>
      </c>
      <c r="N4">
        <v>0</v>
      </c>
      <c r="O4">
        <v>0</v>
      </c>
      <c r="P4">
        <v>0</v>
      </c>
      <c r="Q4">
        <v>0</v>
      </c>
      <c r="R4">
        <v>0</v>
      </c>
      <c r="S4">
        <v>0</v>
      </c>
      <c r="T4">
        <v>0</v>
      </c>
      <c r="U4">
        <v>0</v>
      </c>
    </row>
    <row r="5" spans="1:21" x14ac:dyDescent="0.25">
      <c r="A5" t="s">
        <v>24</v>
      </c>
      <c r="B5">
        <v>25850944000</v>
      </c>
      <c r="C5">
        <v>21852907000</v>
      </c>
      <c r="D5">
        <v>12117066000</v>
      </c>
      <c r="E5">
        <v>11111781000</v>
      </c>
      <c r="F5">
        <v>11406748000</v>
      </c>
      <c r="G5">
        <v>5955903000</v>
      </c>
      <c r="H5">
        <v>5617963000</v>
      </c>
      <c r="I5">
        <v>5636726000</v>
      </c>
      <c r="J5">
        <v>5754182000</v>
      </c>
      <c r="K5">
        <v>5899258000</v>
      </c>
      <c r="L5">
        <v>3801990000</v>
      </c>
      <c r="M5">
        <v>3390963000</v>
      </c>
      <c r="N5">
        <v>4105093000</v>
      </c>
      <c r="O5">
        <v>3415161000</v>
      </c>
      <c r="P5">
        <v>3849475000</v>
      </c>
      <c r="Q5">
        <v>3593257000</v>
      </c>
      <c r="R5">
        <v>3141189000</v>
      </c>
      <c r="S5">
        <v>3604171000</v>
      </c>
      <c r="T5">
        <v>3039090000</v>
      </c>
      <c r="U5">
        <v>2947156000</v>
      </c>
    </row>
    <row r="6" spans="1:21" x14ac:dyDescent="0.25">
      <c r="A6" t="s">
        <v>25</v>
      </c>
      <c r="B6">
        <v>0</v>
      </c>
      <c r="C6">
        <v>0</v>
      </c>
      <c r="D6">
        <v>0</v>
      </c>
      <c r="E6">
        <v>0</v>
      </c>
      <c r="F6">
        <v>0</v>
      </c>
      <c r="G6">
        <v>0</v>
      </c>
      <c r="H6">
        <v>0</v>
      </c>
      <c r="I6">
        <v>0</v>
      </c>
      <c r="J6">
        <v>0</v>
      </c>
      <c r="K6">
        <v>0</v>
      </c>
      <c r="L6">
        <v>0</v>
      </c>
      <c r="M6">
        <v>0</v>
      </c>
      <c r="N6">
        <v>0</v>
      </c>
      <c r="O6">
        <v>0</v>
      </c>
      <c r="P6">
        <v>0</v>
      </c>
      <c r="Q6">
        <v>0</v>
      </c>
      <c r="R6">
        <v>0</v>
      </c>
      <c r="S6">
        <v>0</v>
      </c>
      <c r="T6">
        <v>0</v>
      </c>
      <c r="U6">
        <v>0</v>
      </c>
    </row>
    <row r="7" spans="1:21" x14ac:dyDescent="0.25">
      <c r="A7" t="s">
        <v>26</v>
      </c>
      <c r="B7">
        <v>283518000</v>
      </c>
      <c r="C7">
        <v>290761000</v>
      </c>
      <c r="D7">
        <v>61682000</v>
      </c>
      <c r="E7">
        <v>14925000</v>
      </c>
      <c r="F7">
        <v>820000</v>
      </c>
      <c r="G7">
        <v>29396000</v>
      </c>
      <c r="H7">
        <v>6477000</v>
      </c>
      <c r="I7">
        <v>11501000</v>
      </c>
      <c r="J7">
        <v>1457000</v>
      </c>
      <c r="K7">
        <v>20859000</v>
      </c>
      <c r="L7">
        <v>12709000</v>
      </c>
      <c r="M7">
        <v>2778000</v>
      </c>
      <c r="N7">
        <v>1870000</v>
      </c>
      <c r="O7">
        <v>5305000</v>
      </c>
      <c r="P7">
        <v>5326000</v>
      </c>
      <c r="Q7">
        <v>5831000</v>
      </c>
      <c r="R7">
        <v>2788000</v>
      </c>
      <c r="S7">
        <v>2385000</v>
      </c>
      <c r="T7">
        <v>2828000</v>
      </c>
      <c r="U7">
        <v>995000</v>
      </c>
    </row>
    <row r="8" spans="1:21" x14ac:dyDescent="0.25">
      <c r="A8" t="s">
        <v>27</v>
      </c>
      <c r="B8">
        <v>0</v>
      </c>
      <c r="C8">
        <v>0</v>
      </c>
      <c r="D8">
        <v>0</v>
      </c>
      <c r="E8">
        <v>0</v>
      </c>
      <c r="F8">
        <v>0</v>
      </c>
      <c r="G8">
        <v>0</v>
      </c>
      <c r="H8">
        <v>0</v>
      </c>
      <c r="I8">
        <v>0</v>
      </c>
      <c r="J8">
        <v>0</v>
      </c>
      <c r="K8">
        <v>0</v>
      </c>
      <c r="L8">
        <v>0</v>
      </c>
      <c r="M8">
        <v>0</v>
      </c>
      <c r="N8">
        <v>0</v>
      </c>
      <c r="O8">
        <v>0</v>
      </c>
      <c r="P8">
        <v>0</v>
      </c>
      <c r="Q8">
        <v>0</v>
      </c>
      <c r="R8">
        <v>0</v>
      </c>
      <c r="S8">
        <v>0</v>
      </c>
      <c r="T8">
        <v>0</v>
      </c>
      <c r="U8">
        <v>0</v>
      </c>
    </row>
    <row r="9" spans="1:21" x14ac:dyDescent="0.25">
      <c r="A9" t="s">
        <v>28</v>
      </c>
      <c r="B9">
        <v>13854008000</v>
      </c>
      <c r="C9">
        <v>15286257000</v>
      </c>
      <c r="D9">
        <v>11632475000</v>
      </c>
      <c r="E9">
        <v>9033862000</v>
      </c>
      <c r="F9">
        <v>5269306000</v>
      </c>
      <c r="G9">
        <v>4691035000</v>
      </c>
      <c r="H9">
        <v>4623782000</v>
      </c>
      <c r="I9">
        <v>3349867000</v>
      </c>
      <c r="J9">
        <v>2449043000</v>
      </c>
      <c r="K9">
        <v>2668678000</v>
      </c>
      <c r="L9">
        <v>2170097000</v>
      </c>
      <c r="M9">
        <v>2390166000</v>
      </c>
      <c r="N9">
        <v>1827399000</v>
      </c>
      <c r="O9">
        <v>2714317000</v>
      </c>
      <c r="P9">
        <v>2458054000</v>
      </c>
      <c r="Q9">
        <v>2047564000</v>
      </c>
      <c r="R9">
        <v>1864645000</v>
      </c>
      <c r="S9">
        <v>2340762000</v>
      </c>
      <c r="T9">
        <v>2151045000</v>
      </c>
      <c r="U9">
        <v>1839965000</v>
      </c>
    </row>
    <row r="10" spans="1:21" x14ac:dyDescent="0.25">
      <c r="A10" t="s">
        <v>29</v>
      </c>
      <c r="B10">
        <v>0</v>
      </c>
      <c r="C10">
        <v>0</v>
      </c>
      <c r="D10">
        <v>0</v>
      </c>
      <c r="E10">
        <v>0</v>
      </c>
      <c r="F10">
        <v>0</v>
      </c>
      <c r="G10">
        <v>0</v>
      </c>
      <c r="H10">
        <v>0</v>
      </c>
      <c r="I10">
        <v>0</v>
      </c>
      <c r="J10">
        <v>0</v>
      </c>
      <c r="K10">
        <v>0</v>
      </c>
      <c r="L10">
        <v>0</v>
      </c>
      <c r="M10">
        <v>0</v>
      </c>
      <c r="N10">
        <v>0</v>
      </c>
      <c r="O10">
        <v>0</v>
      </c>
      <c r="P10">
        <v>0</v>
      </c>
      <c r="Q10">
        <v>0</v>
      </c>
      <c r="R10">
        <v>0</v>
      </c>
      <c r="S10">
        <v>0</v>
      </c>
      <c r="T10">
        <v>0</v>
      </c>
      <c r="U10">
        <v>0</v>
      </c>
    </row>
    <row r="11" spans="1:21" x14ac:dyDescent="0.25">
      <c r="A11" t="s">
        <v>30</v>
      </c>
      <c r="B11">
        <v>5021342000</v>
      </c>
      <c r="C11">
        <v>3297320000</v>
      </c>
      <c r="D11">
        <v>2685963000</v>
      </c>
      <c r="E11">
        <v>2167461000</v>
      </c>
      <c r="F11">
        <v>1963047000</v>
      </c>
      <c r="G11">
        <v>1534332000</v>
      </c>
      <c r="H11">
        <v>897123000</v>
      </c>
      <c r="I11">
        <v>1204446000</v>
      </c>
      <c r="J11">
        <v>1275767000</v>
      </c>
      <c r="K11">
        <v>915470000</v>
      </c>
      <c r="L11">
        <v>574069000</v>
      </c>
      <c r="M11">
        <v>892699000</v>
      </c>
      <c r="N11">
        <v>1019484000</v>
      </c>
      <c r="O11">
        <v>1009820000</v>
      </c>
      <c r="P11">
        <v>889863000</v>
      </c>
      <c r="Q11">
        <v>1194364000</v>
      </c>
      <c r="R11">
        <v>994067000</v>
      </c>
      <c r="S11">
        <v>755984000</v>
      </c>
      <c r="T11">
        <v>705130000</v>
      </c>
      <c r="U11">
        <v>790877000</v>
      </c>
    </row>
    <row r="12" spans="1:21" x14ac:dyDescent="0.25">
      <c r="A12" t="s">
        <v>31</v>
      </c>
      <c r="B12">
        <v>55124518000</v>
      </c>
      <c r="C12">
        <v>47980331000</v>
      </c>
      <c r="D12">
        <v>40038923000</v>
      </c>
      <c r="E12">
        <v>37503027000</v>
      </c>
      <c r="F12">
        <v>32813852000</v>
      </c>
      <c r="G12">
        <v>25798227000</v>
      </c>
      <c r="H12">
        <v>16178935000</v>
      </c>
      <c r="I12">
        <v>19459015000</v>
      </c>
      <c r="J12">
        <v>17604522000</v>
      </c>
      <c r="K12">
        <v>16337400000</v>
      </c>
      <c r="L12">
        <v>11753806000</v>
      </c>
      <c r="M12">
        <v>10352633000</v>
      </c>
      <c r="N12">
        <v>10156798000</v>
      </c>
      <c r="O12">
        <v>8908293000</v>
      </c>
      <c r="P12">
        <v>9121732000</v>
      </c>
      <c r="Q12">
        <v>8946171000</v>
      </c>
      <c r="R12">
        <v>7395461000</v>
      </c>
      <c r="S12">
        <v>8082790000</v>
      </c>
      <c r="T12">
        <v>7184722000</v>
      </c>
      <c r="U12">
        <v>7621252000</v>
      </c>
    </row>
    <row r="13" spans="1:21" x14ac:dyDescent="0.25">
      <c r="A13" t="s">
        <v>32</v>
      </c>
      <c r="B13">
        <v>0</v>
      </c>
      <c r="C13">
        <v>0</v>
      </c>
      <c r="D13">
        <v>0</v>
      </c>
      <c r="E13">
        <v>0</v>
      </c>
      <c r="F13">
        <v>0</v>
      </c>
      <c r="G13">
        <v>0</v>
      </c>
      <c r="H13">
        <v>0</v>
      </c>
      <c r="I13">
        <v>0</v>
      </c>
      <c r="J13">
        <v>0</v>
      </c>
      <c r="K13">
        <v>0</v>
      </c>
      <c r="L13">
        <v>0</v>
      </c>
      <c r="M13">
        <v>0</v>
      </c>
      <c r="N13">
        <v>0</v>
      </c>
      <c r="O13">
        <v>0</v>
      </c>
      <c r="P13">
        <v>0</v>
      </c>
      <c r="Q13">
        <v>0</v>
      </c>
      <c r="R13">
        <v>0</v>
      </c>
      <c r="S13">
        <v>0</v>
      </c>
      <c r="T13">
        <v>0</v>
      </c>
      <c r="U13">
        <v>0</v>
      </c>
    </row>
    <row r="14" spans="1:21" x14ac:dyDescent="0.25">
      <c r="A14" t="s">
        <v>33</v>
      </c>
      <c r="B14">
        <v>40927729000</v>
      </c>
      <c r="C14">
        <v>31744196000</v>
      </c>
      <c r="D14">
        <v>22988373000</v>
      </c>
      <c r="E14">
        <v>12530786000</v>
      </c>
      <c r="F14">
        <v>9979001000</v>
      </c>
      <c r="G14">
        <v>8214974000</v>
      </c>
      <c r="H14">
        <v>7476797000</v>
      </c>
      <c r="I14">
        <v>6987038000</v>
      </c>
      <c r="J14">
        <v>6744657000</v>
      </c>
      <c r="K14">
        <v>6395442000</v>
      </c>
      <c r="L14">
        <v>6270989000</v>
      </c>
      <c r="M14">
        <v>6246742000</v>
      </c>
      <c r="N14">
        <v>6249574000</v>
      </c>
      <c r="O14">
        <v>6159651000</v>
      </c>
      <c r="P14">
        <v>6117823000</v>
      </c>
      <c r="Q14">
        <v>6008478000</v>
      </c>
      <c r="R14">
        <v>5788979000</v>
      </c>
      <c r="S14">
        <v>5617747000</v>
      </c>
      <c r="T14">
        <v>5354248000</v>
      </c>
      <c r="U14">
        <v>5289027000</v>
      </c>
    </row>
    <row r="15" spans="1:21" x14ac:dyDescent="0.25">
      <c r="A15" t="s">
        <v>24</v>
      </c>
      <c r="B15">
        <v>15684000</v>
      </c>
      <c r="C15">
        <v>19915000</v>
      </c>
      <c r="D15">
        <v>30283000</v>
      </c>
      <c r="E15">
        <v>34087000</v>
      </c>
      <c r="F15">
        <v>37579000</v>
      </c>
      <c r="G15">
        <v>4499000</v>
      </c>
      <c r="H15">
        <v>4521000</v>
      </c>
      <c r="I15">
        <v>4266000</v>
      </c>
      <c r="J15">
        <v>3950000</v>
      </c>
      <c r="K15">
        <v>4000000</v>
      </c>
      <c r="L15">
        <v>3414000</v>
      </c>
      <c r="M15">
        <v>3211000</v>
      </c>
      <c r="N15">
        <v>2903000</v>
      </c>
      <c r="O15">
        <v>2711000</v>
      </c>
      <c r="P15">
        <v>2862000</v>
      </c>
      <c r="Q15">
        <v>2984000</v>
      </c>
      <c r="R15">
        <v>2954000</v>
      </c>
      <c r="S15">
        <v>3485000</v>
      </c>
      <c r="T15">
        <v>2879000</v>
      </c>
      <c r="U15">
        <v>3116000</v>
      </c>
    </row>
    <row r="16" spans="1:21" x14ac:dyDescent="0.25">
      <c r="A16" t="s">
        <v>25</v>
      </c>
      <c r="B16">
        <v>0</v>
      </c>
      <c r="C16">
        <v>0</v>
      </c>
      <c r="D16">
        <v>0</v>
      </c>
      <c r="E16">
        <v>0</v>
      </c>
      <c r="F16">
        <v>0</v>
      </c>
      <c r="G16">
        <v>0</v>
      </c>
      <c r="H16">
        <v>0</v>
      </c>
      <c r="I16">
        <v>0</v>
      </c>
      <c r="J16">
        <v>0</v>
      </c>
      <c r="K16">
        <v>0</v>
      </c>
      <c r="L16">
        <v>0</v>
      </c>
      <c r="M16">
        <v>0</v>
      </c>
      <c r="N16">
        <v>0</v>
      </c>
      <c r="O16">
        <v>0</v>
      </c>
      <c r="P16">
        <v>0</v>
      </c>
      <c r="Q16">
        <v>0</v>
      </c>
      <c r="R16">
        <v>0</v>
      </c>
      <c r="S16">
        <v>0</v>
      </c>
      <c r="T16">
        <v>0</v>
      </c>
      <c r="U16">
        <v>0</v>
      </c>
    </row>
    <row r="17" spans="1:21" x14ac:dyDescent="0.25">
      <c r="A17" t="s">
        <v>26</v>
      </c>
      <c r="B17">
        <v>1153083000</v>
      </c>
      <c r="C17">
        <v>1076075000</v>
      </c>
      <c r="D17">
        <v>0</v>
      </c>
      <c r="E17">
        <v>0</v>
      </c>
      <c r="F17">
        <v>0</v>
      </c>
      <c r="G17">
        <v>0</v>
      </c>
      <c r="H17">
        <v>0</v>
      </c>
      <c r="I17">
        <v>0</v>
      </c>
      <c r="J17">
        <v>0</v>
      </c>
      <c r="K17">
        <v>0</v>
      </c>
      <c r="L17">
        <v>0</v>
      </c>
      <c r="M17">
        <v>0</v>
      </c>
      <c r="N17">
        <v>0</v>
      </c>
      <c r="O17">
        <v>0</v>
      </c>
      <c r="P17">
        <v>0</v>
      </c>
      <c r="Q17">
        <v>0</v>
      </c>
      <c r="R17">
        <v>0</v>
      </c>
      <c r="S17">
        <v>0</v>
      </c>
      <c r="T17">
        <v>0</v>
      </c>
      <c r="U17">
        <v>0</v>
      </c>
    </row>
    <row r="18" spans="1:21" x14ac:dyDescent="0.25">
      <c r="A18" t="s">
        <v>27</v>
      </c>
      <c r="B18">
        <v>0</v>
      </c>
      <c r="C18">
        <v>0</v>
      </c>
      <c r="D18">
        <v>0</v>
      </c>
      <c r="E18">
        <v>0</v>
      </c>
      <c r="F18">
        <v>0</v>
      </c>
      <c r="G18">
        <v>0</v>
      </c>
      <c r="H18">
        <v>0</v>
      </c>
      <c r="I18">
        <v>0</v>
      </c>
      <c r="J18">
        <v>0</v>
      </c>
      <c r="K18">
        <v>0</v>
      </c>
      <c r="L18">
        <v>0</v>
      </c>
      <c r="M18">
        <v>0</v>
      </c>
      <c r="N18">
        <v>0</v>
      </c>
      <c r="O18">
        <v>0</v>
      </c>
      <c r="P18">
        <v>0</v>
      </c>
      <c r="Q18">
        <v>0</v>
      </c>
      <c r="R18">
        <v>0</v>
      </c>
      <c r="S18">
        <v>0</v>
      </c>
      <c r="T18">
        <v>0</v>
      </c>
      <c r="U18">
        <v>0</v>
      </c>
    </row>
    <row r="19" spans="1:21" x14ac:dyDescent="0.25">
      <c r="A19" t="s">
        <v>23</v>
      </c>
      <c r="B19">
        <v>145942000</v>
      </c>
      <c r="C19">
        <v>79270000</v>
      </c>
      <c r="D19">
        <v>59769000</v>
      </c>
      <c r="E19">
        <v>60050000</v>
      </c>
      <c r="F19">
        <v>49913000</v>
      </c>
      <c r="G19">
        <v>45245000</v>
      </c>
      <c r="H19">
        <v>39087000</v>
      </c>
      <c r="I19">
        <v>51024000</v>
      </c>
      <c r="J19">
        <v>44767000</v>
      </c>
      <c r="K19">
        <v>19375000</v>
      </c>
      <c r="L19">
        <v>21048000</v>
      </c>
      <c r="M19">
        <v>14580000</v>
      </c>
      <c r="N19">
        <v>22355000</v>
      </c>
      <c r="O19">
        <v>18982000</v>
      </c>
      <c r="P19">
        <v>16028000</v>
      </c>
      <c r="Q19">
        <v>14749000</v>
      </c>
      <c r="R19">
        <v>12408000</v>
      </c>
      <c r="S19">
        <v>11670000</v>
      </c>
      <c r="T19">
        <v>10608000</v>
      </c>
      <c r="U19">
        <v>16056000</v>
      </c>
    </row>
    <row r="20" spans="1:21" x14ac:dyDescent="0.25">
      <c r="A20" t="s">
        <v>34</v>
      </c>
      <c r="B20">
        <v>0</v>
      </c>
      <c r="C20">
        <v>0</v>
      </c>
      <c r="D20">
        <v>0</v>
      </c>
      <c r="E20">
        <v>0</v>
      </c>
      <c r="F20">
        <v>0</v>
      </c>
      <c r="G20">
        <v>0</v>
      </c>
      <c r="H20">
        <v>0</v>
      </c>
      <c r="I20">
        <v>0</v>
      </c>
      <c r="J20">
        <v>0</v>
      </c>
      <c r="K20">
        <v>0</v>
      </c>
      <c r="L20">
        <v>0</v>
      </c>
      <c r="M20">
        <v>0</v>
      </c>
      <c r="N20">
        <v>0</v>
      </c>
      <c r="O20">
        <v>0</v>
      </c>
      <c r="P20">
        <v>783000</v>
      </c>
      <c r="Q20">
        <v>901000</v>
      </c>
      <c r="R20">
        <v>933000</v>
      </c>
      <c r="S20">
        <v>1006000</v>
      </c>
      <c r="T20">
        <v>0</v>
      </c>
      <c r="U20">
        <v>0</v>
      </c>
    </row>
    <row r="21" spans="1:21" x14ac:dyDescent="0.25">
      <c r="A21" t="s">
        <v>29</v>
      </c>
      <c r="B21">
        <v>0</v>
      </c>
      <c r="C21">
        <v>0</v>
      </c>
      <c r="D21">
        <v>0</v>
      </c>
      <c r="E21">
        <v>0</v>
      </c>
      <c r="F21">
        <v>0</v>
      </c>
      <c r="G21">
        <v>0</v>
      </c>
      <c r="H21">
        <v>0</v>
      </c>
      <c r="I21">
        <v>0</v>
      </c>
      <c r="J21">
        <v>0</v>
      </c>
      <c r="K21">
        <v>0</v>
      </c>
      <c r="L21">
        <v>0</v>
      </c>
      <c r="M21">
        <v>0</v>
      </c>
      <c r="N21">
        <v>0</v>
      </c>
      <c r="O21">
        <v>0</v>
      </c>
      <c r="P21">
        <v>0</v>
      </c>
      <c r="Q21">
        <v>0</v>
      </c>
      <c r="R21">
        <v>0</v>
      </c>
      <c r="S21">
        <v>0</v>
      </c>
      <c r="T21">
        <v>0</v>
      </c>
      <c r="U21">
        <v>0</v>
      </c>
    </row>
    <row r="22" spans="1:21" x14ac:dyDescent="0.25">
      <c r="A22" t="s">
        <v>35</v>
      </c>
      <c r="B22">
        <v>0</v>
      </c>
      <c r="C22">
        <v>0</v>
      </c>
      <c r="D22">
        <v>0</v>
      </c>
      <c r="E22">
        <v>0</v>
      </c>
      <c r="F22">
        <v>0</v>
      </c>
      <c r="G22">
        <v>0</v>
      </c>
      <c r="H22">
        <v>0</v>
      </c>
      <c r="I22">
        <v>0</v>
      </c>
      <c r="J22">
        <v>0</v>
      </c>
      <c r="K22">
        <v>0</v>
      </c>
      <c r="L22">
        <v>0</v>
      </c>
      <c r="M22">
        <v>0</v>
      </c>
      <c r="N22">
        <v>0</v>
      </c>
      <c r="O22">
        <v>0</v>
      </c>
      <c r="P22">
        <v>0</v>
      </c>
      <c r="Q22">
        <v>0</v>
      </c>
      <c r="R22">
        <v>0</v>
      </c>
      <c r="S22">
        <v>0</v>
      </c>
      <c r="T22">
        <v>0</v>
      </c>
      <c r="U22">
        <v>0</v>
      </c>
    </row>
    <row r="23" spans="1:21" x14ac:dyDescent="0.25">
      <c r="A23" t="s">
        <v>28</v>
      </c>
      <c r="B23">
        <v>0</v>
      </c>
      <c r="C23">
        <v>0</v>
      </c>
      <c r="D23">
        <v>0</v>
      </c>
      <c r="E23">
        <v>0</v>
      </c>
      <c r="F23">
        <v>0</v>
      </c>
      <c r="G23">
        <v>0</v>
      </c>
      <c r="H23">
        <v>0</v>
      </c>
      <c r="I23">
        <v>0</v>
      </c>
      <c r="J23">
        <v>0</v>
      </c>
      <c r="K23">
        <v>0</v>
      </c>
      <c r="L23">
        <v>0</v>
      </c>
      <c r="M23">
        <v>0</v>
      </c>
      <c r="N23">
        <v>0</v>
      </c>
      <c r="O23">
        <v>0</v>
      </c>
      <c r="P23">
        <v>0</v>
      </c>
      <c r="Q23">
        <v>0</v>
      </c>
      <c r="R23">
        <v>0</v>
      </c>
      <c r="S23">
        <v>0</v>
      </c>
      <c r="T23">
        <v>0</v>
      </c>
      <c r="U23">
        <v>0</v>
      </c>
    </row>
    <row r="24" spans="1:21" x14ac:dyDescent="0.25">
      <c r="A24" t="s">
        <v>36</v>
      </c>
      <c r="B24">
        <v>164475000</v>
      </c>
      <c r="C24">
        <v>90198000</v>
      </c>
      <c r="D24">
        <v>71528000</v>
      </c>
      <c r="E24">
        <v>58833000</v>
      </c>
      <c r="F24">
        <v>68767000</v>
      </c>
      <c r="G24">
        <v>66135000</v>
      </c>
      <c r="H24">
        <v>75002000</v>
      </c>
      <c r="I24">
        <v>61017000</v>
      </c>
      <c r="J24">
        <v>68919000</v>
      </c>
      <c r="K24">
        <v>81992000</v>
      </c>
      <c r="L24">
        <v>92206000</v>
      </c>
      <c r="M24">
        <v>88761000</v>
      </c>
      <c r="N24">
        <v>99714000</v>
      </c>
      <c r="O24">
        <v>108012000</v>
      </c>
      <c r="P24">
        <v>118708000</v>
      </c>
      <c r="Q24">
        <v>126267000</v>
      </c>
      <c r="R24">
        <v>0</v>
      </c>
      <c r="S24">
        <v>0</v>
      </c>
      <c r="T24">
        <v>0</v>
      </c>
      <c r="U24">
        <v>0</v>
      </c>
    </row>
    <row r="25" spans="1:21" x14ac:dyDescent="0.25">
      <c r="A25" t="s">
        <v>37</v>
      </c>
      <c r="B25">
        <v>20145190000</v>
      </c>
      <c r="C25">
        <v>15622450000</v>
      </c>
      <c r="D25">
        <v>6497005000</v>
      </c>
      <c r="E25">
        <v>5359485000</v>
      </c>
      <c r="F25">
        <v>5149083000</v>
      </c>
      <c r="G25">
        <v>4606139000</v>
      </c>
      <c r="H25">
        <v>4438241000</v>
      </c>
      <c r="I25">
        <v>4375283000</v>
      </c>
      <c r="J25">
        <v>4403373000</v>
      </c>
      <c r="K25">
        <v>4243619000</v>
      </c>
      <c r="L25">
        <v>4353025000</v>
      </c>
      <c r="M25">
        <v>4386074000</v>
      </c>
      <c r="N25">
        <v>4436548000</v>
      </c>
      <c r="O25">
        <v>4228886000</v>
      </c>
      <c r="P25">
        <v>4180422000</v>
      </c>
      <c r="Q25">
        <v>4010650000</v>
      </c>
      <c r="R25">
        <v>3922747000</v>
      </c>
      <c r="S25">
        <v>3710001000</v>
      </c>
      <c r="T25">
        <v>3572198000</v>
      </c>
      <c r="U25">
        <v>3530637000</v>
      </c>
    </row>
    <row r="26" spans="1:21" x14ac:dyDescent="0.25">
      <c r="A26" t="s">
        <v>38</v>
      </c>
      <c r="B26">
        <v>503941000</v>
      </c>
      <c r="C26">
        <v>539764000</v>
      </c>
      <c r="D26">
        <v>0</v>
      </c>
      <c r="E26">
        <v>0</v>
      </c>
      <c r="F26">
        <v>0</v>
      </c>
      <c r="G26">
        <v>0</v>
      </c>
      <c r="H26">
        <v>0</v>
      </c>
      <c r="I26">
        <v>0</v>
      </c>
      <c r="J26">
        <v>0</v>
      </c>
      <c r="K26">
        <v>0</v>
      </c>
      <c r="L26">
        <v>0</v>
      </c>
      <c r="M26">
        <v>0</v>
      </c>
      <c r="N26">
        <v>0</v>
      </c>
      <c r="O26">
        <v>0</v>
      </c>
      <c r="P26">
        <v>0</v>
      </c>
      <c r="Q26">
        <v>0</v>
      </c>
      <c r="R26">
        <v>0</v>
      </c>
      <c r="S26">
        <v>0</v>
      </c>
      <c r="T26">
        <v>0</v>
      </c>
      <c r="U26">
        <v>0</v>
      </c>
    </row>
    <row r="27" spans="1:21" x14ac:dyDescent="0.25">
      <c r="A27" t="s">
        <v>39</v>
      </c>
      <c r="B27">
        <v>6950343000</v>
      </c>
      <c r="C27">
        <v>5896636000</v>
      </c>
      <c r="D27">
        <v>2145407000</v>
      </c>
      <c r="E27">
        <v>1783258000</v>
      </c>
      <c r="F27">
        <v>1486777000</v>
      </c>
      <c r="G27">
        <v>1179739000</v>
      </c>
      <c r="H27">
        <v>1047703000</v>
      </c>
      <c r="I27">
        <v>953957000</v>
      </c>
      <c r="J27">
        <v>904839000</v>
      </c>
      <c r="K27">
        <v>876182000</v>
      </c>
      <c r="L27">
        <v>857820000</v>
      </c>
      <c r="M27">
        <v>839350000</v>
      </c>
      <c r="N27">
        <v>831196000</v>
      </c>
      <c r="O27">
        <v>810953000</v>
      </c>
      <c r="P27">
        <v>823233000</v>
      </c>
      <c r="Q27">
        <v>825513000</v>
      </c>
      <c r="R27">
        <v>823342000</v>
      </c>
      <c r="S27">
        <v>791977000</v>
      </c>
      <c r="T27">
        <v>736084000</v>
      </c>
      <c r="U27">
        <v>718480000</v>
      </c>
    </row>
    <row r="28" spans="1:21" x14ac:dyDescent="0.25">
      <c r="A28" t="s">
        <v>40</v>
      </c>
      <c r="B28">
        <v>5374582000</v>
      </c>
      <c r="C28">
        <v>2199730000</v>
      </c>
      <c r="D28">
        <v>2680134000</v>
      </c>
      <c r="E28">
        <v>2272083000</v>
      </c>
      <c r="F28">
        <v>1715971000</v>
      </c>
      <c r="G28">
        <v>1148720000</v>
      </c>
      <c r="H28">
        <v>1176542000</v>
      </c>
      <c r="I28">
        <v>1108015000</v>
      </c>
      <c r="J28">
        <v>954246000</v>
      </c>
      <c r="K28">
        <v>894362000</v>
      </c>
      <c r="L28">
        <v>752832000</v>
      </c>
      <c r="M28">
        <v>716642000</v>
      </c>
      <c r="N28">
        <v>650146000</v>
      </c>
      <c r="O28">
        <v>652643000</v>
      </c>
      <c r="P28">
        <v>660120000</v>
      </c>
      <c r="Q28">
        <v>660269000</v>
      </c>
      <c r="R28">
        <v>644175000</v>
      </c>
      <c r="S28">
        <v>680549000</v>
      </c>
      <c r="T28">
        <v>673524000</v>
      </c>
      <c r="U28">
        <v>650759000</v>
      </c>
    </row>
    <row r="29" spans="1:21" x14ac:dyDescent="0.25">
      <c r="A29" t="s">
        <v>41</v>
      </c>
      <c r="B29">
        <v>6474489000</v>
      </c>
      <c r="C29">
        <v>6220158000</v>
      </c>
      <c r="D29">
        <v>11504247000</v>
      </c>
      <c r="E29">
        <v>2962990000</v>
      </c>
      <c r="F29">
        <v>1470911000</v>
      </c>
      <c r="G29">
        <v>1164497000</v>
      </c>
      <c r="H29">
        <v>695701000</v>
      </c>
      <c r="I29">
        <v>433476000</v>
      </c>
      <c r="J29">
        <v>364563000</v>
      </c>
      <c r="K29">
        <v>275912000</v>
      </c>
      <c r="L29">
        <v>190644000</v>
      </c>
      <c r="M29">
        <v>198124000</v>
      </c>
      <c r="N29">
        <v>206712000</v>
      </c>
      <c r="O29">
        <v>337464000</v>
      </c>
      <c r="P29">
        <v>315667000</v>
      </c>
      <c r="Q29">
        <v>367145000</v>
      </c>
      <c r="R29">
        <v>382420000</v>
      </c>
      <c r="S29">
        <v>419059000</v>
      </c>
      <c r="T29">
        <v>358955000</v>
      </c>
      <c r="U29">
        <v>369979000</v>
      </c>
    </row>
    <row r="30" spans="1:21" x14ac:dyDescent="0.25">
      <c r="A30" t="s">
        <v>42</v>
      </c>
      <c r="B30">
        <v>96052247000</v>
      </c>
      <c r="C30">
        <v>79724527000</v>
      </c>
      <c r="D30">
        <v>63027296000</v>
      </c>
      <c r="E30">
        <v>50033813000</v>
      </c>
      <c r="F30">
        <v>42792853000</v>
      </c>
      <c r="G30">
        <v>34013201000</v>
      </c>
      <c r="H30">
        <v>23655732000</v>
      </c>
      <c r="I30">
        <v>26446053000</v>
      </c>
      <c r="J30">
        <v>24349179000</v>
      </c>
      <c r="K30">
        <v>22732842000</v>
      </c>
      <c r="L30">
        <v>18024795000</v>
      </c>
      <c r="M30">
        <v>16599375000</v>
      </c>
      <c r="N30">
        <v>16406372000</v>
      </c>
      <c r="O30">
        <v>15067944000</v>
      </c>
      <c r="P30">
        <v>15239555000</v>
      </c>
      <c r="Q30">
        <v>14954649000</v>
      </c>
      <c r="R30">
        <v>13184440000</v>
      </c>
      <c r="S30">
        <v>13700537000</v>
      </c>
      <c r="T30">
        <v>12538970000</v>
      </c>
      <c r="U30">
        <v>12910279000</v>
      </c>
    </row>
    <row r="31" spans="1:21" x14ac:dyDescent="0.25">
      <c r="A31" t="s">
        <v>43</v>
      </c>
      <c r="B31">
        <v>0</v>
      </c>
      <c r="C31">
        <v>0</v>
      </c>
      <c r="D31">
        <v>0</v>
      </c>
      <c r="E31">
        <v>0</v>
      </c>
      <c r="F31">
        <v>0</v>
      </c>
      <c r="G31">
        <v>0</v>
      </c>
      <c r="H31">
        <v>0</v>
      </c>
      <c r="I31">
        <v>0</v>
      </c>
      <c r="J31">
        <v>0</v>
      </c>
      <c r="K31">
        <v>0</v>
      </c>
      <c r="L31">
        <v>0</v>
      </c>
      <c r="M31">
        <v>0</v>
      </c>
      <c r="N31">
        <v>0</v>
      </c>
      <c r="O31">
        <v>0</v>
      </c>
      <c r="P31">
        <v>0</v>
      </c>
      <c r="Q31">
        <v>0</v>
      </c>
      <c r="R31">
        <v>0</v>
      </c>
      <c r="S31">
        <v>0</v>
      </c>
      <c r="T31">
        <v>0</v>
      </c>
      <c r="U31">
        <v>0</v>
      </c>
    </row>
    <row r="32" spans="1:21" x14ac:dyDescent="0.25">
      <c r="A32" t="s">
        <v>44</v>
      </c>
      <c r="B32">
        <v>46205980000</v>
      </c>
      <c r="C32">
        <v>41489116000</v>
      </c>
      <c r="D32">
        <v>35058540000</v>
      </c>
      <c r="E32">
        <v>26227573000</v>
      </c>
      <c r="F32">
        <v>20782144000</v>
      </c>
      <c r="G32">
        <v>18235137000</v>
      </c>
      <c r="H32">
        <v>12002385000</v>
      </c>
      <c r="I32">
        <v>15049021000</v>
      </c>
      <c r="J32">
        <v>12480781000</v>
      </c>
      <c r="K32">
        <v>12528355000</v>
      </c>
      <c r="L32">
        <v>9972783000</v>
      </c>
      <c r="M32">
        <v>9151078000</v>
      </c>
      <c r="N32">
        <v>8645371000</v>
      </c>
      <c r="O32">
        <v>8027538000</v>
      </c>
      <c r="P32">
        <v>8812238000</v>
      </c>
      <c r="Q32">
        <v>9267844000</v>
      </c>
      <c r="R32">
        <v>7219612000</v>
      </c>
      <c r="S32">
        <v>7585938000</v>
      </c>
      <c r="T32">
        <v>6663547000</v>
      </c>
      <c r="U32">
        <v>7341785000</v>
      </c>
    </row>
    <row r="33" spans="1:21" x14ac:dyDescent="0.25">
      <c r="A33" t="s">
        <v>45</v>
      </c>
      <c r="B33">
        <v>13218603000</v>
      </c>
      <c r="C33">
        <v>13623435000</v>
      </c>
      <c r="D33">
        <v>17509169000</v>
      </c>
      <c r="E33">
        <v>10712515000</v>
      </c>
      <c r="F33">
        <v>8256919000</v>
      </c>
      <c r="G33">
        <v>7239315000</v>
      </c>
      <c r="H33">
        <v>5130396000</v>
      </c>
      <c r="I33">
        <v>6470824000</v>
      </c>
      <c r="J33">
        <v>3932881000</v>
      </c>
      <c r="K33">
        <v>5174154000</v>
      </c>
      <c r="L33">
        <v>5863802000</v>
      </c>
      <c r="M33">
        <v>4807605000</v>
      </c>
      <c r="N33">
        <v>3648110000</v>
      </c>
      <c r="O33">
        <v>3518725000</v>
      </c>
      <c r="P33">
        <v>3874660000</v>
      </c>
      <c r="Q33">
        <v>3550646000</v>
      </c>
      <c r="R33">
        <v>2804263000</v>
      </c>
      <c r="S33">
        <v>3103218000</v>
      </c>
      <c r="T33">
        <v>2219288000</v>
      </c>
      <c r="U33">
        <v>2201600000</v>
      </c>
    </row>
    <row r="34" spans="1:21" x14ac:dyDescent="0.25">
      <c r="A34" t="s">
        <v>46</v>
      </c>
      <c r="B34">
        <v>0</v>
      </c>
      <c r="C34">
        <v>0</v>
      </c>
      <c r="D34">
        <v>0</v>
      </c>
      <c r="E34">
        <v>0</v>
      </c>
      <c r="F34">
        <v>0</v>
      </c>
      <c r="G34">
        <v>0</v>
      </c>
      <c r="H34">
        <v>0</v>
      </c>
      <c r="I34">
        <v>0</v>
      </c>
      <c r="J34">
        <v>0</v>
      </c>
      <c r="K34">
        <v>0</v>
      </c>
      <c r="L34">
        <v>0</v>
      </c>
      <c r="M34">
        <v>0</v>
      </c>
      <c r="N34">
        <v>0</v>
      </c>
      <c r="O34">
        <v>0</v>
      </c>
      <c r="P34">
        <v>0</v>
      </c>
      <c r="Q34">
        <v>0</v>
      </c>
      <c r="R34">
        <v>0</v>
      </c>
      <c r="S34">
        <v>0</v>
      </c>
      <c r="T34">
        <v>0</v>
      </c>
      <c r="U34">
        <v>0</v>
      </c>
    </row>
    <row r="35" spans="1:21" x14ac:dyDescent="0.25">
      <c r="A35" t="s">
        <v>47</v>
      </c>
      <c r="B35">
        <v>30146246000</v>
      </c>
      <c r="C35">
        <v>25769611000</v>
      </c>
      <c r="D35">
        <v>16221182000</v>
      </c>
      <c r="E35">
        <v>14200001000</v>
      </c>
      <c r="F35">
        <v>11378668000</v>
      </c>
      <c r="G35">
        <v>10290508000</v>
      </c>
      <c r="H35">
        <v>6239259000</v>
      </c>
      <c r="I35">
        <v>7848489000</v>
      </c>
      <c r="J35">
        <v>7747793000</v>
      </c>
      <c r="K35">
        <v>6708173000</v>
      </c>
      <c r="L35">
        <v>3609253000</v>
      </c>
      <c r="M35">
        <v>3876123000</v>
      </c>
      <c r="N35">
        <v>4545420000</v>
      </c>
      <c r="O35">
        <v>4067042000</v>
      </c>
      <c r="P35">
        <v>4534958000</v>
      </c>
      <c r="Q35">
        <v>4481521000</v>
      </c>
      <c r="R35">
        <v>4022687000</v>
      </c>
      <c r="S35">
        <v>4026860000</v>
      </c>
      <c r="T35">
        <v>4058087000</v>
      </c>
      <c r="U35">
        <v>3960858000</v>
      </c>
    </row>
    <row r="36" spans="1:21" x14ac:dyDescent="0.25">
      <c r="A36" t="s">
        <v>48</v>
      </c>
      <c r="B36">
        <v>735355000</v>
      </c>
      <c r="C36">
        <v>583060000</v>
      </c>
      <c r="D36">
        <v>389433000</v>
      </c>
      <c r="E36">
        <v>490262000</v>
      </c>
      <c r="F36">
        <v>259001000</v>
      </c>
      <c r="G36">
        <v>191914000</v>
      </c>
      <c r="H36">
        <v>150725000</v>
      </c>
      <c r="I36">
        <v>279525000</v>
      </c>
      <c r="J36">
        <v>176196000</v>
      </c>
      <c r="K36">
        <v>198812000</v>
      </c>
      <c r="L36">
        <v>156878000</v>
      </c>
      <c r="M36">
        <v>148672000</v>
      </c>
      <c r="N36">
        <v>75158000</v>
      </c>
      <c r="O36">
        <v>84966000</v>
      </c>
      <c r="P36">
        <v>74817000</v>
      </c>
      <c r="Q36">
        <v>920305000</v>
      </c>
      <c r="R36">
        <v>65982000</v>
      </c>
      <c r="S36">
        <v>98323000</v>
      </c>
      <c r="T36">
        <v>63972000</v>
      </c>
      <c r="U36">
        <v>886856000</v>
      </c>
    </row>
    <row r="37" spans="1:21" x14ac:dyDescent="0.25">
      <c r="A37" t="s">
        <v>49</v>
      </c>
      <c r="B37">
        <v>0</v>
      </c>
      <c r="C37">
        <v>0</v>
      </c>
      <c r="D37">
        <v>0</v>
      </c>
      <c r="E37">
        <v>0</v>
      </c>
      <c r="F37">
        <v>0</v>
      </c>
      <c r="G37">
        <v>0</v>
      </c>
      <c r="H37">
        <v>0</v>
      </c>
      <c r="I37">
        <v>0</v>
      </c>
      <c r="J37">
        <v>0</v>
      </c>
      <c r="K37">
        <v>0</v>
      </c>
      <c r="L37">
        <v>0</v>
      </c>
      <c r="M37">
        <v>0</v>
      </c>
      <c r="N37">
        <v>0</v>
      </c>
      <c r="O37">
        <v>0</v>
      </c>
      <c r="P37">
        <v>0</v>
      </c>
      <c r="Q37">
        <v>0</v>
      </c>
      <c r="R37">
        <v>0</v>
      </c>
      <c r="S37">
        <v>0</v>
      </c>
      <c r="T37">
        <v>0</v>
      </c>
      <c r="U37">
        <v>0</v>
      </c>
    </row>
    <row r="38" spans="1:21" x14ac:dyDescent="0.25">
      <c r="A38" t="s">
        <v>50</v>
      </c>
      <c r="B38">
        <v>0</v>
      </c>
      <c r="C38">
        <v>0</v>
      </c>
      <c r="D38">
        <v>0</v>
      </c>
      <c r="E38">
        <v>0</v>
      </c>
      <c r="F38">
        <v>0</v>
      </c>
      <c r="G38">
        <v>0</v>
      </c>
      <c r="H38">
        <v>0</v>
      </c>
      <c r="I38">
        <v>0</v>
      </c>
      <c r="J38">
        <v>0</v>
      </c>
      <c r="K38">
        <v>0</v>
      </c>
      <c r="L38">
        <v>0</v>
      </c>
      <c r="M38">
        <v>0</v>
      </c>
      <c r="N38">
        <v>0</v>
      </c>
      <c r="O38">
        <v>0</v>
      </c>
      <c r="P38">
        <v>0</v>
      </c>
      <c r="Q38">
        <v>0</v>
      </c>
      <c r="R38">
        <v>0</v>
      </c>
      <c r="S38">
        <v>0</v>
      </c>
      <c r="T38">
        <v>0</v>
      </c>
      <c r="U38">
        <v>0</v>
      </c>
    </row>
    <row r="39" spans="1:21" x14ac:dyDescent="0.25">
      <c r="A39" t="s">
        <v>51</v>
      </c>
      <c r="B39">
        <v>0</v>
      </c>
      <c r="C39">
        <v>0</v>
      </c>
      <c r="D39">
        <v>0</v>
      </c>
      <c r="E39">
        <v>0</v>
      </c>
      <c r="F39">
        <v>0</v>
      </c>
      <c r="G39">
        <v>0</v>
      </c>
      <c r="H39">
        <v>0</v>
      </c>
      <c r="I39">
        <v>0</v>
      </c>
      <c r="J39">
        <v>0</v>
      </c>
      <c r="K39">
        <v>0</v>
      </c>
      <c r="L39">
        <v>0</v>
      </c>
      <c r="M39">
        <v>0</v>
      </c>
      <c r="N39">
        <v>0</v>
      </c>
      <c r="O39">
        <v>0</v>
      </c>
      <c r="P39">
        <v>0</v>
      </c>
      <c r="Q39">
        <v>0</v>
      </c>
      <c r="R39">
        <v>0</v>
      </c>
      <c r="S39">
        <v>0</v>
      </c>
      <c r="T39">
        <v>0</v>
      </c>
      <c r="U39">
        <v>0</v>
      </c>
    </row>
    <row r="40" spans="1:21" x14ac:dyDescent="0.25">
      <c r="A40" t="s">
        <v>52</v>
      </c>
      <c r="B40">
        <v>151546000</v>
      </c>
      <c r="C40">
        <v>118967000</v>
      </c>
      <c r="D40">
        <v>83129000</v>
      </c>
      <c r="E40">
        <v>73948000</v>
      </c>
      <c r="F40">
        <v>64730000</v>
      </c>
      <c r="G40">
        <v>48771000</v>
      </c>
      <c r="H40">
        <v>55139000</v>
      </c>
      <c r="I40">
        <v>65046000</v>
      </c>
      <c r="J40">
        <v>43037000</v>
      </c>
      <c r="K40">
        <v>49006000</v>
      </c>
      <c r="L40">
        <v>27880000</v>
      </c>
      <c r="M40">
        <v>28616000</v>
      </c>
      <c r="N40">
        <v>23830000</v>
      </c>
      <c r="O40">
        <v>19381000</v>
      </c>
      <c r="P40">
        <v>18349000</v>
      </c>
      <c r="Q40">
        <v>12293000</v>
      </c>
      <c r="R40">
        <v>13219000</v>
      </c>
      <c r="S40">
        <v>0</v>
      </c>
      <c r="T40">
        <v>0</v>
      </c>
      <c r="U40">
        <v>0</v>
      </c>
    </row>
    <row r="41" spans="1:21" x14ac:dyDescent="0.25">
      <c r="A41" t="s">
        <v>53</v>
      </c>
      <c r="B41">
        <v>0</v>
      </c>
      <c r="C41">
        <v>0</v>
      </c>
      <c r="D41">
        <v>12069000</v>
      </c>
      <c r="E41">
        <v>0</v>
      </c>
      <c r="F41">
        <v>13105000</v>
      </c>
      <c r="G41">
        <v>15405000</v>
      </c>
      <c r="H41">
        <v>0</v>
      </c>
      <c r="I41">
        <v>0</v>
      </c>
      <c r="J41">
        <v>17552000</v>
      </c>
      <c r="K41">
        <v>0</v>
      </c>
      <c r="L41">
        <v>0</v>
      </c>
      <c r="M41">
        <v>0</v>
      </c>
      <c r="N41">
        <v>11478000</v>
      </c>
      <c r="O41">
        <v>14251000</v>
      </c>
      <c r="P41">
        <v>7779000</v>
      </c>
      <c r="Q41">
        <v>0</v>
      </c>
      <c r="R41">
        <v>8530000</v>
      </c>
      <c r="S41">
        <v>0</v>
      </c>
      <c r="T41">
        <v>5797000</v>
      </c>
      <c r="U41">
        <v>0</v>
      </c>
    </row>
    <row r="42" spans="1:21" x14ac:dyDescent="0.25">
      <c r="A42" t="s">
        <v>54</v>
      </c>
      <c r="B42">
        <v>575911000</v>
      </c>
      <c r="C42">
        <v>490279000</v>
      </c>
      <c r="D42">
        <v>406700000</v>
      </c>
      <c r="E42">
        <v>403001000</v>
      </c>
      <c r="F42">
        <v>390161000</v>
      </c>
      <c r="G42">
        <v>208806000</v>
      </c>
      <c r="H42">
        <v>219655000</v>
      </c>
      <c r="I42">
        <v>211396000</v>
      </c>
      <c r="J42">
        <v>273245000</v>
      </c>
      <c r="K42">
        <v>144399000</v>
      </c>
      <c r="L42">
        <v>98133000</v>
      </c>
      <c r="M42">
        <v>163477000</v>
      </c>
      <c r="N42">
        <v>121102000</v>
      </c>
      <c r="O42">
        <v>148830000</v>
      </c>
      <c r="P42">
        <v>145311000</v>
      </c>
      <c r="Q42">
        <v>178009000</v>
      </c>
      <c r="R42">
        <v>155227000</v>
      </c>
      <c r="S42">
        <v>185926000</v>
      </c>
      <c r="T42">
        <v>167956000</v>
      </c>
      <c r="U42">
        <v>163380000</v>
      </c>
    </row>
    <row r="43" spans="1:21" x14ac:dyDescent="0.25">
      <c r="A43" t="s">
        <v>55</v>
      </c>
      <c r="B43">
        <v>1378319000</v>
      </c>
      <c r="C43">
        <v>903764000</v>
      </c>
      <c r="D43">
        <v>436858000</v>
      </c>
      <c r="E43">
        <v>347846000</v>
      </c>
      <c r="F43">
        <v>419560000</v>
      </c>
      <c r="G43">
        <v>240418000</v>
      </c>
      <c r="H43">
        <v>207211000</v>
      </c>
      <c r="I43">
        <v>173741000</v>
      </c>
      <c r="J43">
        <v>290077000</v>
      </c>
      <c r="K43">
        <v>253811000</v>
      </c>
      <c r="L43">
        <v>216837000</v>
      </c>
      <c r="M43">
        <v>126585000</v>
      </c>
      <c r="N43">
        <v>220273000</v>
      </c>
      <c r="O43">
        <v>174343000</v>
      </c>
      <c r="P43">
        <v>156364000</v>
      </c>
      <c r="Q43">
        <v>125070000</v>
      </c>
      <c r="R43">
        <v>149704000</v>
      </c>
      <c r="S43">
        <v>171611000</v>
      </c>
      <c r="T43">
        <v>148447000</v>
      </c>
      <c r="U43">
        <v>129091000</v>
      </c>
    </row>
    <row r="44" spans="1:21" x14ac:dyDescent="0.25">
      <c r="A44" t="s">
        <v>31</v>
      </c>
      <c r="B44">
        <v>46205980000</v>
      </c>
      <c r="C44">
        <v>41489116000</v>
      </c>
      <c r="D44">
        <v>35058540000</v>
      </c>
      <c r="E44">
        <v>26227573000</v>
      </c>
      <c r="F44">
        <v>20782144000</v>
      </c>
      <c r="G44">
        <v>18235137000</v>
      </c>
      <c r="H44">
        <v>12002385000</v>
      </c>
      <c r="I44">
        <v>15049021000</v>
      </c>
      <c r="J44">
        <v>12480781000</v>
      </c>
      <c r="K44">
        <v>12528355000</v>
      </c>
      <c r="L44">
        <v>9972783000</v>
      </c>
      <c r="M44">
        <v>9151078000</v>
      </c>
      <c r="N44">
        <v>8645371000</v>
      </c>
      <c r="O44">
        <v>8027538000</v>
      </c>
      <c r="P44">
        <v>8812238000</v>
      </c>
      <c r="Q44">
        <v>9267844000</v>
      </c>
      <c r="R44">
        <v>7219612000</v>
      </c>
      <c r="S44">
        <v>7585938000</v>
      </c>
      <c r="T44">
        <v>6663547000</v>
      </c>
      <c r="U44">
        <v>7341785000</v>
      </c>
    </row>
    <row r="45" spans="1:21" x14ac:dyDescent="0.25">
      <c r="A45" t="s">
        <v>56</v>
      </c>
      <c r="B45">
        <v>0</v>
      </c>
      <c r="C45">
        <v>0</v>
      </c>
      <c r="D45">
        <v>0</v>
      </c>
      <c r="E45">
        <v>0</v>
      </c>
      <c r="F45">
        <v>0</v>
      </c>
      <c r="G45">
        <v>0</v>
      </c>
      <c r="H45">
        <v>0</v>
      </c>
      <c r="I45">
        <v>0</v>
      </c>
      <c r="J45">
        <v>0</v>
      </c>
      <c r="K45">
        <v>0</v>
      </c>
      <c r="L45">
        <v>0</v>
      </c>
      <c r="M45">
        <v>0</v>
      </c>
      <c r="N45">
        <v>0</v>
      </c>
      <c r="O45">
        <v>0</v>
      </c>
      <c r="P45">
        <v>0</v>
      </c>
      <c r="Q45">
        <v>0</v>
      </c>
      <c r="R45">
        <v>0</v>
      </c>
      <c r="S45">
        <v>0</v>
      </c>
      <c r="T45">
        <v>0</v>
      </c>
      <c r="U45">
        <v>0</v>
      </c>
    </row>
    <row r="46" spans="1:21" x14ac:dyDescent="0.25">
      <c r="A46" t="s">
        <v>57</v>
      </c>
      <c r="B46">
        <v>28444093000</v>
      </c>
      <c r="C46">
        <v>22596242000</v>
      </c>
      <c r="D46">
        <v>16300157000</v>
      </c>
      <c r="E46">
        <v>15511188000</v>
      </c>
      <c r="F46">
        <v>11862171000</v>
      </c>
      <c r="G46">
        <v>6773790000</v>
      </c>
      <c r="H46">
        <v>4677594000</v>
      </c>
      <c r="I46">
        <v>5348711000</v>
      </c>
      <c r="J46">
        <v>4824496000</v>
      </c>
      <c r="K46">
        <v>5431248000</v>
      </c>
      <c r="L46">
        <v>3902179000</v>
      </c>
      <c r="M46">
        <v>3431043000</v>
      </c>
      <c r="N46">
        <v>3096080000</v>
      </c>
      <c r="O46">
        <v>2422545000</v>
      </c>
      <c r="P46">
        <v>2474391000</v>
      </c>
      <c r="Q46">
        <v>2195571000</v>
      </c>
      <c r="R46">
        <v>2071589000</v>
      </c>
      <c r="S46">
        <v>2694066000</v>
      </c>
      <c r="T46">
        <v>2274273000</v>
      </c>
      <c r="U46">
        <v>2341110000</v>
      </c>
    </row>
    <row r="47" spans="1:21" x14ac:dyDescent="0.25">
      <c r="A47" t="s">
        <v>45</v>
      </c>
      <c r="B47">
        <v>24699772000</v>
      </c>
      <c r="C47">
        <v>20668542000</v>
      </c>
      <c r="D47">
        <v>14825631000</v>
      </c>
      <c r="E47">
        <v>14354110000</v>
      </c>
      <c r="F47">
        <v>10799308000</v>
      </c>
      <c r="G47">
        <v>5972909000</v>
      </c>
      <c r="H47">
        <v>3884696000</v>
      </c>
      <c r="I47">
        <v>4600818000</v>
      </c>
      <c r="J47">
        <v>4147993000</v>
      </c>
      <c r="K47">
        <v>4810024000</v>
      </c>
      <c r="L47">
        <v>3305522000</v>
      </c>
      <c r="M47">
        <v>2900226000</v>
      </c>
      <c r="N47">
        <v>2559936000</v>
      </c>
      <c r="O47">
        <v>1980052000</v>
      </c>
      <c r="P47">
        <v>2033390000</v>
      </c>
      <c r="Q47">
        <v>1790269000</v>
      </c>
      <c r="R47">
        <v>1678554000</v>
      </c>
      <c r="S47">
        <v>2244736000</v>
      </c>
      <c r="T47">
        <v>1819991000</v>
      </c>
      <c r="U47">
        <v>1866027000</v>
      </c>
    </row>
    <row r="48" spans="1:21" x14ac:dyDescent="0.25">
      <c r="A48" t="s">
        <v>46</v>
      </c>
      <c r="B48">
        <v>0</v>
      </c>
      <c r="C48">
        <v>0</v>
      </c>
      <c r="D48">
        <v>0</v>
      </c>
      <c r="E48">
        <v>0</v>
      </c>
      <c r="F48">
        <v>0</v>
      </c>
      <c r="G48">
        <v>0</v>
      </c>
      <c r="H48">
        <v>0</v>
      </c>
      <c r="I48">
        <v>0</v>
      </c>
      <c r="J48">
        <v>0</v>
      </c>
      <c r="K48">
        <v>0</v>
      </c>
      <c r="L48">
        <v>0</v>
      </c>
      <c r="M48">
        <v>0</v>
      </c>
      <c r="N48">
        <v>0</v>
      </c>
      <c r="O48">
        <v>0</v>
      </c>
      <c r="P48">
        <v>0</v>
      </c>
      <c r="Q48">
        <v>0</v>
      </c>
      <c r="R48">
        <v>0</v>
      </c>
      <c r="S48">
        <v>0</v>
      </c>
      <c r="T48">
        <v>0</v>
      </c>
      <c r="U48">
        <v>0</v>
      </c>
    </row>
    <row r="49" spans="1:21" x14ac:dyDescent="0.25">
      <c r="A49" t="s">
        <v>47</v>
      </c>
      <c r="B49">
        <v>0</v>
      </c>
      <c r="C49">
        <v>0</v>
      </c>
      <c r="D49">
        <v>0</v>
      </c>
      <c r="E49">
        <v>0</v>
      </c>
      <c r="F49">
        <v>0</v>
      </c>
      <c r="G49">
        <v>0</v>
      </c>
      <c r="H49">
        <v>0</v>
      </c>
      <c r="I49">
        <v>0</v>
      </c>
      <c r="J49">
        <v>0</v>
      </c>
      <c r="K49">
        <v>0</v>
      </c>
      <c r="L49">
        <v>0</v>
      </c>
      <c r="M49">
        <v>0</v>
      </c>
      <c r="N49">
        <v>0</v>
      </c>
      <c r="O49">
        <v>0</v>
      </c>
      <c r="P49">
        <v>0</v>
      </c>
      <c r="Q49">
        <v>0</v>
      </c>
      <c r="R49">
        <v>0</v>
      </c>
      <c r="S49">
        <v>0</v>
      </c>
      <c r="T49">
        <v>0</v>
      </c>
      <c r="U49">
        <v>0</v>
      </c>
    </row>
    <row r="50" spans="1:21" x14ac:dyDescent="0.25">
      <c r="A50" t="s">
        <v>48</v>
      </c>
      <c r="B50">
        <v>0</v>
      </c>
      <c r="C50">
        <v>0</v>
      </c>
      <c r="D50">
        <v>0</v>
      </c>
      <c r="E50">
        <v>0</v>
      </c>
      <c r="F50">
        <v>0</v>
      </c>
      <c r="G50">
        <v>0</v>
      </c>
      <c r="H50">
        <v>0</v>
      </c>
      <c r="I50">
        <v>0</v>
      </c>
      <c r="J50">
        <v>0</v>
      </c>
      <c r="K50">
        <v>0</v>
      </c>
      <c r="L50">
        <v>0</v>
      </c>
      <c r="M50">
        <v>0</v>
      </c>
      <c r="N50">
        <v>0</v>
      </c>
      <c r="O50">
        <v>0</v>
      </c>
      <c r="P50">
        <v>0</v>
      </c>
      <c r="Q50">
        <v>0</v>
      </c>
      <c r="R50">
        <v>0</v>
      </c>
      <c r="S50">
        <v>0</v>
      </c>
      <c r="T50">
        <v>0</v>
      </c>
      <c r="U50">
        <v>0</v>
      </c>
    </row>
    <row r="51" spans="1:21" x14ac:dyDescent="0.25">
      <c r="A51" t="s">
        <v>58</v>
      </c>
      <c r="B51">
        <v>0</v>
      </c>
      <c r="C51">
        <v>0</v>
      </c>
      <c r="D51">
        <v>0</v>
      </c>
      <c r="E51">
        <v>0</v>
      </c>
      <c r="F51">
        <v>0</v>
      </c>
      <c r="G51">
        <v>0</v>
      </c>
      <c r="H51">
        <v>0</v>
      </c>
      <c r="I51">
        <v>0</v>
      </c>
      <c r="J51">
        <v>0</v>
      </c>
      <c r="K51">
        <v>0</v>
      </c>
      <c r="L51">
        <v>0</v>
      </c>
      <c r="M51">
        <v>0</v>
      </c>
      <c r="N51">
        <v>0</v>
      </c>
      <c r="O51">
        <v>0</v>
      </c>
      <c r="P51">
        <v>0</v>
      </c>
      <c r="Q51">
        <v>0</v>
      </c>
      <c r="R51">
        <v>0</v>
      </c>
      <c r="S51">
        <v>0</v>
      </c>
      <c r="T51">
        <v>0</v>
      </c>
      <c r="U51">
        <v>0</v>
      </c>
    </row>
    <row r="52" spans="1:21" x14ac:dyDescent="0.25">
      <c r="A52" t="s">
        <v>50</v>
      </c>
      <c r="B52">
        <v>0</v>
      </c>
      <c r="C52">
        <v>0</v>
      </c>
      <c r="D52">
        <v>0</v>
      </c>
      <c r="E52">
        <v>0</v>
      </c>
      <c r="F52">
        <v>0</v>
      </c>
      <c r="G52">
        <v>0</v>
      </c>
      <c r="H52">
        <v>0</v>
      </c>
      <c r="I52">
        <v>0</v>
      </c>
      <c r="J52">
        <v>0</v>
      </c>
      <c r="K52">
        <v>0</v>
      </c>
      <c r="L52">
        <v>0</v>
      </c>
      <c r="M52">
        <v>0</v>
      </c>
      <c r="N52">
        <v>0</v>
      </c>
      <c r="O52">
        <v>0</v>
      </c>
      <c r="P52">
        <v>0</v>
      </c>
      <c r="Q52">
        <v>0</v>
      </c>
      <c r="R52">
        <v>0</v>
      </c>
      <c r="S52">
        <v>0</v>
      </c>
      <c r="T52">
        <v>0</v>
      </c>
      <c r="U52">
        <v>0</v>
      </c>
    </row>
    <row r="53" spans="1:21" x14ac:dyDescent="0.25">
      <c r="A53" t="s">
        <v>51</v>
      </c>
      <c r="B53">
        <v>0</v>
      </c>
      <c r="C53">
        <v>0</v>
      </c>
      <c r="D53">
        <v>0</v>
      </c>
      <c r="E53">
        <v>0</v>
      </c>
      <c r="F53">
        <v>0</v>
      </c>
      <c r="G53">
        <v>0</v>
      </c>
      <c r="H53">
        <v>0</v>
      </c>
      <c r="I53">
        <v>0</v>
      </c>
      <c r="J53">
        <v>0</v>
      </c>
      <c r="K53">
        <v>0</v>
      </c>
      <c r="L53">
        <v>0</v>
      </c>
      <c r="M53">
        <v>0</v>
      </c>
      <c r="N53">
        <v>0</v>
      </c>
      <c r="O53">
        <v>0</v>
      </c>
      <c r="P53">
        <v>0</v>
      </c>
      <c r="Q53">
        <v>0</v>
      </c>
      <c r="R53">
        <v>0</v>
      </c>
      <c r="S53">
        <v>0</v>
      </c>
      <c r="T53">
        <v>0</v>
      </c>
      <c r="U53">
        <v>0</v>
      </c>
    </row>
    <row r="54" spans="1:21" x14ac:dyDescent="0.25">
      <c r="A54" t="s">
        <v>59</v>
      </c>
      <c r="B54">
        <v>493991000</v>
      </c>
      <c r="C54">
        <v>400413000</v>
      </c>
      <c r="D54">
        <v>86237000</v>
      </c>
      <c r="E54">
        <v>84413000</v>
      </c>
      <c r="F54">
        <v>63183000</v>
      </c>
      <c r="G54">
        <v>37822000</v>
      </c>
      <c r="H54">
        <v>35173000</v>
      </c>
      <c r="I54">
        <v>29647000</v>
      </c>
      <c r="J54">
        <v>22040000</v>
      </c>
      <c r="K54">
        <v>14659000</v>
      </c>
      <c r="L54">
        <v>13073000</v>
      </c>
      <c r="M54">
        <v>12175000</v>
      </c>
      <c r="N54">
        <v>10838000</v>
      </c>
      <c r="O54">
        <v>7863000</v>
      </c>
      <c r="P54">
        <v>7155000</v>
      </c>
      <c r="Q54">
        <v>7841000</v>
      </c>
      <c r="R54">
        <v>7479000</v>
      </c>
      <c r="S54">
        <v>0</v>
      </c>
      <c r="T54">
        <v>0</v>
      </c>
      <c r="U54">
        <v>0</v>
      </c>
    </row>
    <row r="55" spans="1:21" x14ac:dyDescent="0.25">
      <c r="A55" t="s">
        <v>60</v>
      </c>
      <c r="B55">
        <v>2677072000</v>
      </c>
      <c r="C55">
        <v>1518937000</v>
      </c>
      <c r="D55">
        <v>1374160000</v>
      </c>
      <c r="E55">
        <v>1058536000</v>
      </c>
      <c r="F55">
        <v>984515000</v>
      </c>
      <c r="G55">
        <v>746462000</v>
      </c>
      <c r="H55">
        <v>738829000</v>
      </c>
      <c r="I55">
        <v>696921000</v>
      </c>
      <c r="J55">
        <v>634511000</v>
      </c>
      <c r="K55">
        <v>563683000</v>
      </c>
      <c r="L55">
        <v>513532000</v>
      </c>
      <c r="M55">
        <v>452383000</v>
      </c>
      <c r="N55">
        <v>462624000</v>
      </c>
      <c r="O55">
        <v>382668000</v>
      </c>
      <c r="P55">
        <v>386815000</v>
      </c>
      <c r="Q55">
        <v>344249000</v>
      </c>
      <c r="R55">
        <v>333048000</v>
      </c>
      <c r="S55">
        <v>360554000</v>
      </c>
      <c r="T55">
        <v>373136000</v>
      </c>
      <c r="U55">
        <v>347902000</v>
      </c>
    </row>
    <row r="56" spans="1:21" x14ac:dyDescent="0.25">
      <c r="A56" t="s">
        <v>61</v>
      </c>
      <c r="B56">
        <v>0</v>
      </c>
      <c r="C56">
        <v>0</v>
      </c>
      <c r="D56">
        <v>0</v>
      </c>
      <c r="E56">
        <v>0</v>
      </c>
      <c r="F56">
        <v>0</v>
      </c>
      <c r="G56">
        <v>0</v>
      </c>
      <c r="H56">
        <v>0</v>
      </c>
      <c r="I56">
        <v>0</v>
      </c>
      <c r="J56">
        <v>0</v>
      </c>
      <c r="K56">
        <v>0</v>
      </c>
      <c r="L56">
        <v>0</v>
      </c>
      <c r="M56">
        <v>0</v>
      </c>
      <c r="N56">
        <v>0</v>
      </c>
      <c r="O56">
        <v>0</v>
      </c>
      <c r="P56">
        <v>0</v>
      </c>
      <c r="Q56">
        <v>0</v>
      </c>
      <c r="R56">
        <v>0</v>
      </c>
      <c r="S56">
        <v>0</v>
      </c>
      <c r="T56">
        <v>0</v>
      </c>
      <c r="U56">
        <v>0</v>
      </c>
    </row>
    <row r="57" spans="1:21" x14ac:dyDescent="0.25">
      <c r="A57" t="s">
        <v>62</v>
      </c>
      <c r="B57">
        <v>567819000</v>
      </c>
      <c r="C57">
        <v>0</v>
      </c>
      <c r="D57">
        <v>0</v>
      </c>
      <c r="E57">
        <v>0</v>
      </c>
      <c r="F57">
        <v>0</v>
      </c>
      <c r="G57">
        <v>0</v>
      </c>
      <c r="H57">
        <v>0</v>
      </c>
      <c r="I57">
        <v>0</v>
      </c>
      <c r="J57">
        <v>0</v>
      </c>
      <c r="K57">
        <v>0</v>
      </c>
      <c r="L57">
        <v>0</v>
      </c>
      <c r="M57">
        <v>0</v>
      </c>
      <c r="N57">
        <v>0</v>
      </c>
      <c r="O57">
        <v>0</v>
      </c>
      <c r="P57">
        <v>0</v>
      </c>
      <c r="Q57">
        <v>0</v>
      </c>
      <c r="R57">
        <v>0</v>
      </c>
      <c r="S57">
        <v>0</v>
      </c>
      <c r="T57">
        <v>0</v>
      </c>
      <c r="U57">
        <v>0</v>
      </c>
    </row>
    <row r="58" spans="1:21" x14ac:dyDescent="0.25">
      <c r="A58" t="s">
        <v>63</v>
      </c>
      <c r="B58">
        <v>5439000</v>
      </c>
      <c r="C58">
        <v>8350000</v>
      </c>
      <c r="D58">
        <v>14129000</v>
      </c>
      <c r="E58">
        <v>14129000</v>
      </c>
      <c r="F58">
        <v>15165000</v>
      </c>
      <c r="G58">
        <v>16597000</v>
      </c>
      <c r="H58">
        <v>18896000</v>
      </c>
      <c r="I58">
        <v>21325000</v>
      </c>
      <c r="J58">
        <v>19952000</v>
      </c>
      <c r="K58">
        <v>42882000</v>
      </c>
      <c r="L58">
        <v>70052000</v>
      </c>
      <c r="M58">
        <v>66259000</v>
      </c>
      <c r="N58">
        <v>62682000</v>
      </c>
      <c r="O58">
        <v>51962000</v>
      </c>
      <c r="P58">
        <v>47031000</v>
      </c>
      <c r="Q58">
        <v>53212000</v>
      </c>
      <c r="R58">
        <v>52508000</v>
      </c>
      <c r="S58">
        <v>88776000</v>
      </c>
      <c r="T58">
        <v>81146000</v>
      </c>
      <c r="U58">
        <v>127181000</v>
      </c>
    </row>
    <row r="59" spans="1:21" x14ac:dyDescent="0.25">
      <c r="A59" t="s">
        <v>64</v>
      </c>
      <c r="B59">
        <v>21402174000</v>
      </c>
      <c r="C59">
        <v>15639169000</v>
      </c>
      <c r="D59">
        <v>11668599000</v>
      </c>
      <c r="E59">
        <v>8295052000</v>
      </c>
      <c r="F59">
        <v>10148538000</v>
      </c>
      <c r="G59">
        <v>9004274000</v>
      </c>
      <c r="H59">
        <v>6975753000</v>
      </c>
      <c r="I59">
        <v>6048321000</v>
      </c>
      <c r="J59">
        <v>7043902000</v>
      </c>
      <c r="K59">
        <v>4773239000</v>
      </c>
      <c r="L59">
        <v>4149833000</v>
      </c>
      <c r="M59">
        <v>4017254000</v>
      </c>
      <c r="N59">
        <v>4664921000</v>
      </c>
      <c r="O59">
        <v>4617861000</v>
      </c>
      <c r="P59">
        <v>3952926000</v>
      </c>
      <c r="Q59">
        <v>3491234000</v>
      </c>
      <c r="R59">
        <v>3893239000</v>
      </c>
      <c r="S59">
        <v>3420533000</v>
      </c>
      <c r="T59">
        <v>3601150000</v>
      </c>
      <c r="U59">
        <v>3227384000</v>
      </c>
    </row>
    <row r="60" spans="1:21" x14ac:dyDescent="0.25">
      <c r="A60" t="s">
        <v>65</v>
      </c>
      <c r="B60">
        <v>21402174000</v>
      </c>
      <c r="C60">
        <v>15639169000</v>
      </c>
      <c r="D60">
        <v>11668599000</v>
      </c>
      <c r="E60">
        <v>8295052000</v>
      </c>
      <c r="F60">
        <v>10148538000</v>
      </c>
      <c r="G60">
        <v>9004274000</v>
      </c>
      <c r="H60">
        <v>6975753000</v>
      </c>
      <c r="I60">
        <v>6048321000</v>
      </c>
      <c r="J60">
        <v>7043902000</v>
      </c>
      <c r="K60">
        <v>4773239000</v>
      </c>
      <c r="L60">
        <v>4149833000</v>
      </c>
      <c r="M60">
        <v>4017254000</v>
      </c>
      <c r="N60">
        <v>4664921000</v>
      </c>
      <c r="O60">
        <v>4617861000</v>
      </c>
      <c r="P60">
        <v>3952926000</v>
      </c>
      <c r="Q60">
        <v>3491234000</v>
      </c>
      <c r="R60">
        <v>3893239000</v>
      </c>
      <c r="S60">
        <v>3420533000</v>
      </c>
      <c r="T60">
        <v>3601150000</v>
      </c>
      <c r="U60">
        <v>3227384000</v>
      </c>
    </row>
    <row r="61" spans="1:21" x14ac:dyDescent="0.25">
      <c r="A61" t="s">
        <v>66</v>
      </c>
      <c r="B61">
        <v>350910000</v>
      </c>
      <c r="C61">
        <v>350910000</v>
      </c>
      <c r="D61">
        <v>350910000</v>
      </c>
      <c r="E61">
        <v>350910000</v>
      </c>
      <c r="F61">
        <v>350910000</v>
      </c>
      <c r="G61">
        <v>350910000</v>
      </c>
      <c r="H61">
        <v>350910000</v>
      </c>
      <c r="I61">
        <v>350910000</v>
      </c>
      <c r="J61">
        <v>350910000</v>
      </c>
      <c r="K61">
        <v>350910000</v>
      </c>
      <c r="L61">
        <v>350910000</v>
      </c>
      <c r="M61">
        <v>350910000</v>
      </c>
      <c r="N61">
        <v>350910000</v>
      </c>
      <c r="O61">
        <v>350910000</v>
      </c>
      <c r="P61">
        <v>350910000</v>
      </c>
      <c r="Q61">
        <v>350910000</v>
      </c>
      <c r="R61">
        <v>350910000</v>
      </c>
      <c r="S61">
        <v>350910000</v>
      </c>
      <c r="T61">
        <v>350910000</v>
      </c>
      <c r="U61">
        <v>350910000</v>
      </c>
    </row>
    <row r="62" spans="1:21" x14ac:dyDescent="0.25">
      <c r="A62" t="s">
        <v>67</v>
      </c>
      <c r="B62">
        <v>0</v>
      </c>
      <c r="C62">
        <v>0</v>
      </c>
      <c r="D62">
        <v>0</v>
      </c>
      <c r="E62">
        <v>0</v>
      </c>
      <c r="F62">
        <v>0</v>
      </c>
      <c r="G62">
        <v>0</v>
      </c>
      <c r="H62">
        <v>0</v>
      </c>
      <c r="I62">
        <v>0</v>
      </c>
      <c r="J62">
        <v>0</v>
      </c>
      <c r="K62">
        <v>0</v>
      </c>
      <c r="L62">
        <v>0</v>
      </c>
      <c r="M62">
        <v>0</v>
      </c>
      <c r="N62">
        <v>0</v>
      </c>
      <c r="O62">
        <v>0</v>
      </c>
      <c r="P62">
        <v>0</v>
      </c>
      <c r="Q62">
        <v>0</v>
      </c>
      <c r="R62">
        <v>0</v>
      </c>
      <c r="S62">
        <v>0</v>
      </c>
      <c r="T62">
        <v>0</v>
      </c>
      <c r="U62">
        <v>0</v>
      </c>
    </row>
    <row r="63" spans="1:21" x14ac:dyDescent="0.25">
      <c r="A63" t="s">
        <v>68</v>
      </c>
      <c r="B63">
        <v>8000</v>
      </c>
      <c r="C63">
        <v>8000</v>
      </c>
      <c r="D63">
        <v>8000</v>
      </c>
      <c r="E63">
        <v>0</v>
      </c>
      <c r="F63">
        <v>8000</v>
      </c>
      <c r="G63">
        <v>0</v>
      </c>
      <c r="H63">
        <v>0</v>
      </c>
      <c r="I63">
        <v>0</v>
      </c>
      <c r="J63">
        <v>8000</v>
      </c>
      <c r="K63">
        <v>8000</v>
      </c>
      <c r="L63">
        <v>0</v>
      </c>
      <c r="M63">
        <v>8000</v>
      </c>
      <c r="N63">
        <v>8000</v>
      </c>
      <c r="O63">
        <v>8000</v>
      </c>
      <c r="P63">
        <v>8000</v>
      </c>
      <c r="Q63">
        <v>8000</v>
      </c>
      <c r="R63">
        <v>8000</v>
      </c>
      <c r="S63">
        <v>0</v>
      </c>
      <c r="T63">
        <v>0</v>
      </c>
      <c r="U63">
        <v>8000</v>
      </c>
    </row>
    <row r="64" spans="1:21" x14ac:dyDescent="0.25">
      <c r="A64" t="s">
        <v>69</v>
      </c>
      <c r="B64">
        <v>0</v>
      </c>
      <c r="C64">
        <v>0</v>
      </c>
      <c r="D64">
        <v>0</v>
      </c>
      <c r="E64">
        <v>0</v>
      </c>
      <c r="F64">
        <v>0</v>
      </c>
      <c r="G64">
        <v>0</v>
      </c>
      <c r="H64">
        <v>0</v>
      </c>
      <c r="I64">
        <v>0</v>
      </c>
      <c r="J64">
        <v>0</v>
      </c>
      <c r="K64">
        <v>0</v>
      </c>
      <c r="L64">
        <v>0</v>
      </c>
      <c r="M64">
        <v>0</v>
      </c>
      <c r="N64">
        <v>0</v>
      </c>
      <c r="O64">
        <v>0</v>
      </c>
      <c r="P64">
        <v>0</v>
      </c>
      <c r="Q64">
        <v>0</v>
      </c>
      <c r="R64">
        <v>0</v>
      </c>
      <c r="S64">
        <v>0</v>
      </c>
      <c r="T64">
        <v>0</v>
      </c>
      <c r="U64">
        <v>0</v>
      </c>
    </row>
    <row r="65" spans="1:21" x14ac:dyDescent="0.25">
      <c r="A65" t="s">
        <v>70</v>
      </c>
      <c r="B65">
        <v>1674943000</v>
      </c>
      <c r="C65">
        <v>230249000</v>
      </c>
      <c r="D65">
        <v>0</v>
      </c>
      <c r="E65">
        <v>0</v>
      </c>
      <c r="F65">
        <v>0</v>
      </c>
      <c r="G65">
        <v>0</v>
      </c>
      <c r="H65">
        <v>0</v>
      </c>
      <c r="I65">
        <v>0</v>
      </c>
      <c r="J65">
        <v>0</v>
      </c>
      <c r="K65">
        <v>0</v>
      </c>
      <c r="L65">
        <v>0</v>
      </c>
      <c r="M65">
        <v>0</v>
      </c>
      <c r="N65">
        <v>0</v>
      </c>
      <c r="O65">
        <v>0</v>
      </c>
      <c r="P65">
        <v>0</v>
      </c>
      <c r="Q65">
        <v>0</v>
      </c>
      <c r="R65">
        <v>0</v>
      </c>
      <c r="S65">
        <v>0</v>
      </c>
      <c r="T65">
        <v>0</v>
      </c>
      <c r="U65">
        <v>0</v>
      </c>
    </row>
    <row r="66" spans="1:21" x14ac:dyDescent="0.25">
      <c r="A66" t="s">
        <v>71</v>
      </c>
      <c r="B66">
        <v>1420763000</v>
      </c>
      <c r="C66">
        <v>1220744000</v>
      </c>
      <c r="D66">
        <v>1220744000</v>
      </c>
      <c r="E66">
        <v>1220744000</v>
      </c>
      <c r="F66">
        <v>766316000</v>
      </c>
      <c r="G66">
        <v>634023000</v>
      </c>
      <c r="H66">
        <v>634023000</v>
      </c>
      <c r="I66">
        <v>634023000</v>
      </c>
      <c r="J66">
        <v>410493000</v>
      </c>
      <c r="K66">
        <v>410493000</v>
      </c>
      <c r="L66">
        <v>410493000</v>
      </c>
      <c r="M66">
        <v>410493000</v>
      </c>
      <c r="N66">
        <v>302764000</v>
      </c>
      <c r="O66">
        <v>454116000</v>
      </c>
      <c r="P66">
        <v>454116000</v>
      </c>
      <c r="Q66">
        <v>454116000</v>
      </c>
      <c r="R66">
        <v>370599000</v>
      </c>
      <c r="S66">
        <v>332657000</v>
      </c>
      <c r="T66">
        <v>332657000</v>
      </c>
      <c r="U66">
        <v>332657000</v>
      </c>
    </row>
    <row r="67" spans="1:21" x14ac:dyDescent="0.25">
      <c r="A67" t="s">
        <v>72</v>
      </c>
      <c r="B67">
        <v>5057387000</v>
      </c>
      <c r="C67">
        <v>7257593000</v>
      </c>
      <c r="D67">
        <v>7257593000</v>
      </c>
      <c r="E67">
        <v>7257593000</v>
      </c>
      <c r="F67">
        <v>3472846000</v>
      </c>
      <c r="G67">
        <v>4928070000</v>
      </c>
      <c r="H67">
        <v>4928070000</v>
      </c>
      <c r="I67">
        <v>4917670000</v>
      </c>
      <c r="J67">
        <v>3467929000</v>
      </c>
      <c r="K67">
        <v>3467929000</v>
      </c>
      <c r="L67">
        <v>3467929000</v>
      </c>
      <c r="M67">
        <v>3467929000</v>
      </c>
      <c r="N67">
        <v>2711013000</v>
      </c>
      <c r="O67">
        <v>2991281000</v>
      </c>
      <c r="P67">
        <v>2991281000</v>
      </c>
      <c r="Q67">
        <v>2991281000</v>
      </c>
      <c r="R67">
        <v>2244313000</v>
      </c>
      <c r="S67">
        <v>2685802000</v>
      </c>
      <c r="T67">
        <v>2685802000</v>
      </c>
      <c r="U67">
        <v>2685802000</v>
      </c>
    </row>
    <row r="68" spans="1:21" x14ac:dyDescent="0.25">
      <c r="A68" t="s">
        <v>73</v>
      </c>
      <c r="B68">
        <v>18613943000</v>
      </c>
      <c r="C68">
        <v>10322171000</v>
      </c>
      <c r="D68">
        <v>6505981000</v>
      </c>
      <c r="E68">
        <v>2801779000</v>
      </c>
      <c r="F68">
        <v>8801005000</v>
      </c>
      <c r="G68">
        <v>4710761000</v>
      </c>
      <c r="H68">
        <v>2818577000</v>
      </c>
      <c r="I68">
        <v>1819374000</v>
      </c>
      <c r="J68">
        <v>4194913000</v>
      </c>
      <c r="K68">
        <v>2267706000</v>
      </c>
      <c r="L68">
        <v>909437000</v>
      </c>
      <c r="M68">
        <v>629429000</v>
      </c>
      <c r="N68">
        <v>1959484000</v>
      </c>
      <c r="O68">
        <v>1342707000</v>
      </c>
      <c r="P68">
        <v>888288000</v>
      </c>
      <c r="Q68">
        <v>477960000</v>
      </c>
      <c r="R68">
        <v>1683196000</v>
      </c>
      <c r="S68">
        <v>1272358000</v>
      </c>
      <c r="T68">
        <v>918519000</v>
      </c>
      <c r="U68">
        <v>432265000</v>
      </c>
    </row>
    <row r="69" spans="1:21" x14ac:dyDescent="0.25">
      <c r="A69" t="s">
        <v>74</v>
      </c>
      <c r="B69">
        <v>-5715780000</v>
      </c>
      <c r="C69">
        <v>-3742506000</v>
      </c>
      <c r="D69">
        <v>-3666637000</v>
      </c>
      <c r="E69">
        <v>-3335974000</v>
      </c>
      <c r="F69">
        <v>-3242547000</v>
      </c>
      <c r="G69">
        <v>-1619490000</v>
      </c>
      <c r="H69">
        <v>-1755827000</v>
      </c>
      <c r="I69">
        <v>-1673656000</v>
      </c>
      <c r="J69">
        <v>-1380351000</v>
      </c>
      <c r="K69">
        <v>-1723807000</v>
      </c>
      <c r="L69">
        <v>-988936000</v>
      </c>
      <c r="M69">
        <v>-841515000</v>
      </c>
      <c r="N69">
        <v>-659258000</v>
      </c>
      <c r="O69">
        <v>-521161000</v>
      </c>
      <c r="P69">
        <v>-731677000</v>
      </c>
      <c r="Q69">
        <v>-783041000</v>
      </c>
      <c r="R69">
        <v>-755787000</v>
      </c>
      <c r="S69">
        <v>-1221194000</v>
      </c>
      <c r="T69">
        <v>-686738000</v>
      </c>
      <c r="U69">
        <v>-574258000</v>
      </c>
    </row>
    <row r="70" spans="1:21" x14ac:dyDescent="0.25">
      <c r="A70" t="s">
        <v>75</v>
      </c>
      <c r="B70">
        <v>0</v>
      </c>
      <c r="C70">
        <v>0</v>
      </c>
      <c r="D70">
        <v>0</v>
      </c>
      <c r="E70">
        <v>0</v>
      </c>
      <c r="F70">
        <v>0</v>
      </c>
      <c r="G70">
        <v>0</v>
      </c>
      <c r="H70">
        <v>0</v>
      </c>
      <c r="I70">
        <v>0</v>
      </c>
      <c r="J70">
        <v>0</v>
      </c>
      <c r="K70">
        <v>0</v>
      </c>
      <c r="L70">
        <v>0</v>
      </c>
      <c r="M70">
        <v>0</v>
      </c>
      <c r="N70">
        <v>0</v>
      </c>
      <c r="O70">
        <v>0</v>
      </c>
      <c r="P70">
        <v>0</v>
      </c>
      <c r="Q70">
        <v>0</v>
      </c>
      <c r="R70">
        <v>0</v>
      </c>
      <c r="S70">
        <v>0</v>
      </c>
      <c r="T70">
        <v>0</v>
      </c>
      <c r="U70">
        <v>0</v>
      </c>
    </row>
    <row r="71" spans="1:21" x14ac:dyDescent="0.25">
      <c r="A71" t="s">
        <v>76</v>
      </c>
      <c r="B71">
        <v>96052247000</v>
      </c>
      <c r="C71">
        <v>79724527000</v>
      </c>
      <c r="D71">
        <v>63027296000</v>
      </c>
      <c r="E71">
        <v>50033813000</v>
      </c>
      <c r="F71">
        <v>42792853000</v>
      </c>
      <c r="G71">
        <v>34013201000</v>
      </c>
      <c r="H71">
        <v>23655732000</v>
      </c>
      <c r="I71">
        <v>26446053000</v>
      </c>
      <c r="J71">
        <v>24349179000</v>
      </c>
      <c r="K71">
        <v>22732842000</v>
      </c>
      <c r="L71">
        <v>18024795000</v>
      </c>
      <c r="M71">
        <v>16599375000</v>
      </c>
      <c r="N71">
        <v>16406372000</v>
      </c>
      <c r="O71">
        <v>15067944000</v>
      </c>
      <c r="P71">
        <v>15239555000</v>
      </c>
      <c r="Q71">
        <v>14954649000</v>
      </c>
      <c r="R71">
        <v>13184440000</v>
      </c>
      <c r="S71">
        <v>13700537000</v>
      </c>
      <c r="T71">
        <v>12538970000</v>
      </c>
      <c r="U71">
        <v>12910279000</v>
      </c>
    </row>
    <row r="72" spans="1:21" x14ac:dyDescent="0.25">
      <c r="A72" t="s">
        <v>77</v>
      </c>
      <c r="B72">
        <v>0</v>
      </c>
      <c r="C72">
        <v>0</v>
      </c>
      <c r="D72">
        <v>0</v>
      </c>
      <c r="E72">
        <v>0</v>
      </c>
      <c r="F72">
        <v>0</v>
      </c>
      <c r="G72">
        <v>0</v>
      </c>
      <c r="H72">
        <v>0</v>
      </c>
      <c r="I72">
        <v>0</v>
      </c>
      <c r="J72">
        <v>0</v>
      </c>
      <c r="K72">
        <v>0</v>
      </c>
      <c r="L72">
        <v>0</v>
      </c>
      <c r="M72">
        <v>0</v>
      </c>
      <c r="N72">
        <v>0</v>
      </c>
      <c r="O72">
        <v>0</v>
      </c>
      <c r="P72">
        <v>0</v>
      </c>
      <c r="Q72">
        <v>0</v>
      </c>
      <c r="R72">
        <v>0</v>
      </c>
      <c r="S72">
        <v>0</v>
      </c>
      <c r="T72">
        <v>0</v>
      </c>
      <c r="U72">
        <v>0</v>
      </c>
    </row>
    <row r="73" spans="1:21" s="4" customFormat="1" x14ac:dyDescent="0.25">
      <c r="A73" s="3" t="s">
        <v>154</v>
      </c>
    </row>
    <row r="74" spans="1:21" x14ac:dyDescent="0.25">
      <c r="A74" t="s">
        <v>78</v>
      </c>
      <c r="B74">
        <v>171796902000</v>
      </c>
      <c r="C74">
        <v>110857477000</v>
      </c>
      <c r="D74">
        <v>60730086000</v>
      </c>
      <c r="E74">
        <v>27876425000</v>
      </c>
      <c r="F74">
        <v>71101258000</v>
      </c>
      <c r="G74">
        <v>45657489000</v>
      </c>
      <c r="H74">
        <v>26786744000</v>
      </c>
      <c r="I74">
        <v>16254142000</v>
      </c>
      <c r="J74">
        <v>49451407000</v>
      </c>
      <c r="K74">
        <v>28490189000</v>
      </c>
      <c r="L74">
        <v>15093915000</v>
      </c>
      <c r="M74">
        <v>9366609000</v>
      </c>
      <c r="N74">
        <v>39209019000</v>
      </c>
      <c r="O74">
        <v>27706725000</v>
      </c>
      <c r="P74">
        <v>18409222000</v>
      </c>
      <c r="Q74">
        <v>9284052000</v>
      </c>
      <c r="R74">
        <v>33292030000</v>
      </c>
      <c r="S74">
        <v>23244383000</v>
      </c>
      <c r="T74">
        <v>15472358000</v>
      </c>
      <c r="U74">
        <v>7282010000</v>
      </c>
    </row>
    <row r="75" spans="1:21" x14ac:dyDescent="0.25">
      <c r="A75" t="s">
        <v>79</v>
      </c>
      <c r="B75">
        <v>-147855658000</v>
      </c>
      <c r="C75">
        <v>-96297973000</v>
      </c>
      <c r="D75">
        <v>-51857680000</v>
      </c>
      <c r="E75">
        <v>-24157311000</v>
      </c>
      <c r="F75">
        <v>-59947098000</v>
      </c>
      <c r="G75">
        <v>-39753193000</v>
      </c>
      <c r="H75">
        <v>-23201463000</v>
      </c>
      <c r="I75">
        <v>-14186069000</v>
      </c>
      <c r="J75">
        <v>-43264878000</v>
      </c>
      <c r="K75">
        <v>-25091077000</v>
      </c>
      <c r="L75">
        <v>-13343546000</v>
      </c>
      <c r="M75">
        <v>-8295092000</v>
      </c>
      <c r="N75">
        <v>-35193802000</v>
      </c>
      <c r="O75">
        <v>-24842102000</v>
      </c>
      <c r="P75">
        <v>-16494361000</v>
      </c>
      <c r="Q75">
        <v>-8340280000</v>
      </c>
      <c r="R75">
        <v>-29833459000</v>
      </c>
      <c r="S75">
        <v>-20743703000</v>
      </c>
      <c r="T75">
        <v>-13793763000</v>
      </c>
      <c r="U75">
        <v>-6524689000</v>
      </c>
    </row>
    <row r="76" spans="1:21" x14ac:dyDescent="0.25">
      <c r="A76" t="s">
        <v>80</v>
      </c>
      <c r="B76">
        <v>0</v>
      </c>
      <c r="C76">
        <v>0</v>
      </c>
      <c r="D76">
        <v>0</v>
      </c>
      <c r="E76">
        <v>0</v>
      </c>
      <c r="F76">
        <v>0</v>
      </c>
      <c r="G76">
        <v>0</v>
      </c>
      <c r="H76">
        <v>0</v>
      </c>
      <c r="I76">
        <v>0</v>
      </c>
      <c r="J76">
        <v>0</v>
      </c>
      <c r="K76">
        <v>0</v>
      </c>
      <c r="L76">
        <v>0</v>
      </c>
      <c r="M76">
        <v>0</v>
      </c>
      <c r="N76">
        <v>0</v>
      </c>
      <c r="O76">
        <v>0</v>
      </c>
      <c r="P76">
        <v>0</v>
      </c>
      <c r="Q76">
        <v>0</v>
      </c>
      <c r="R76">
        <v>0</v>
      </c>
      <c r="S76">
        <v>0</v>
      </c>
      <c r="T76">
        <v>0</v>
      </c>
      <c r="U76">
        <v>0</v>
      </c>
    </row>
    <row r="77" spans="1:21" x14ac:dyDescent="0.25">
      <c r="A77" t="s">
        <v>81</v>
      </c>
      <c r="B77">
        <v>23941244000</v>
      </c>
      <c r="C77">
        <v>14559504000</v>
      </c>
      <c r="D77">
        <v>8872406000</v>
      </c>
      <c r="E77">
        <v>3719114000</v>
      </c>
      <c r="F77">
        <v>11154160000</v>
      </c>
      <c r="G77">
        <v>5904296000</v>
      </c>
      <c r="H77">
        <v>3585281000</v>
      </c>
      <c r="I77">
        <v>2068073000</v>
      </c>
      <c r="J77">
        <v>6186529000</v>
      </c>
      <c r="K77">
        <v>3399112000</v>
      </c>
      <c r="L77">
        <v>1750369000</v>
      </c>
      <c r="M77">
        <v>1071517000</v>
      </c>
      <c r="N77">
        <v>4015217000</v>
      </c>
      <c r="O77">
        <v>2864623000</v>
      </c>
      <c r="P77">
        <v>1914861000</v>
      </c>
      <c r="Q77">
        <v>943772000</v>
      </c>
      <c r="R77">
        <v>3458571000</v>
      </c>
      <c r="S77">
        <v>2500680000</v>
      </c>
      <c r="T77">
        <v>1678595000</v>
      </c>
      <c r="U77">
        <v>757321000</v>
      </c>
    </row>
    <row r="78" spans="1:21" x14ac:dyDescent="0.25">
      <c r="A78" t="s">
        <v>82</v>
      </c>
      <c r="B78">
        <v>0</v>
      </c>
      <c r="C78">
        <v>0</v>
      </c>
      <c r="D78">
        <v>0</v>
      </c>
      <c r="E78">
        <v>0</v>
      </c>
      <c r="F78">
        <v>0</v>
      </c>
      <c r="G78">
        <v>0</v>
      </c>
      <c r="H78">
        <v>0</v>
      </c>
      <c r="I78">
        <v>0</v>
      </c>
      <c r="J78">
        <v>0</v>
      </c>
      <c r="K78">
        <v>0</v>
      </c>
      <c r="L78">
        <v>0</v>
      </c>
      <c r="M78">
        <v>0</v>
      </c>
      <c r="N78">
        <v>0</v>
      </c>
      <c r="O78">
        <v>0</v>
      </c>
      <c r="P78">
        <v>0</v>
      </c>
      <c r="Q78">
        <v>0</v>
      </c>
      <c r="R78">
        <v>0</v>
      </c>
      <c r="S78">
        <v>0</v>
      </c>
      <c r="T78">
        <v>0</v>
      </c>
      <c r="U78">
        <v>0</v>
      </c>
    </row>
    <row r="79" spans="1:21" x14ac:dyDescent="0.25">
      <c r="A79" t="s">
        <v>83</v>
      </c>
      <c r="B79">
        <v>0</v>
      </c>
      <c r="C79">
        <v>0</v>
      </c>
      <c r="D79">
        <v>0</v>
      </c>
      <c r="E79">
        <v>0</v>
      </c>
      <c r="F79">
        <v>0</v>
      </c>
      <c r="G79">
        <v>0</v>
      </c>
      <c r="H79">
        <v>0</v>
      </c>
      <c r="I79">
        <v>0</v>
      </c>
      <c r="J79">
        <v>0</v>
      </c>
      <c r="K79">
        <v>0</v>
      </c>
      <c r="L79">
        <v>0</v>
      </c>
      <c r="M79">
        <v>0</v>
      </c>
      <c r="N79">
        <v>0</v>
      </c>
      <c r="O79">
        <v>0</v>
      </c>
      <c r="P79">
        <v>0</v>
      </c>
      <c r="Q79">
        <v>0</v>
      </c>
      <c r="R79">
        <v>0</v>
      </c>
      <c r="S79">
        <v>0</v>
      </c>
      <c r="T79">
        <v>0</v>
      </c>
      <c r="U79">
        <v>0</v>
      </c>
    </row>
    <row r="80" spans="1:21" x14ac:dyDescent="0.25">
      <c r="A80" t="s">
        <v>84</v>
      </c>
      <c r="B80">
        <v>0</v>
      </c>
      <c r="C80">
        <v>0</v>
      </c>
      <c r="D80">
        <v>0</v>
      </c>
      <c r="E80">
        <v>0</v>
      </c>
      <c r="F80">
        <v>0</v>
      </c>
      <c r="G80">
        <v>0</v>
      </c>
      <c r="H80">
        <v>0</v>
      </c>
      <c r="I80">
        <v>0</v>
      </c>
      <c r="J80">
        <v>0</v>
      </c>
      <c r="K80">
        <v>0</v>
      </c>
      <c r="L80">
        <v>0</v>
      </c>
      <c r="M80">
        <v>0</v>
      </c>
      <c r="N80">
        <v>0</v>
      </c>
      <c r="O80">
        <v>0</v>
      </c>
      <c r="P80">
        <v>0</v>
      </c>
      <c r="Q80">
        <v>0</v>
      </c>
      <c r="R80">
        <v>0</v>
      </c>
      <c r="S80">
        <v>0</v>
      </c>
      <c r="T80">
        <v>0</v>
      </c>
      <c r="U80">
        <v>0</v>
      </c>
    </row>
    <row r="81" spans="1:21" x14ac:dyDescent="0.25">
      <c r="A81" t="s">
        <v>85</v>
      </c>
      <c r="B81">
        <v>0</v>
      </c>
      <c r="C81">
        <v>0</v>
      </c>
      <c r="D81">
        <v>0</v>
      </c>
      <c r="E81">
        <v>0</v>
      </c>
      <c r="F81">
        <v>0</v>
      </c>
      <c r="G81">
        <v>0</v>
      </c>
      <c r="H81">
        <v>0</v>
      </c>
      <c r="I81">
        <v>0</v>
      </c>
      <c r="J81">
        <v>0</v>
      </c>
      <c r="K81">
        <v>0</v>
      </c>
      <c r="L81">
        <v>0</v>
      </c>
      <c r="M81">
        <v>0</v>
      </c>
      <c r="N81">
        <v>0</v>
      </c>
      <c r="O81">
        <v>0</v>
      </c>
      <c r="P81">
        <v>0</v>
      </c>
      <c r="Q81">
        <v>0</v>
      </c>
      <c r="R81">
        <v>0</v>
      </c>
      <c r="S81">
        <v>0</v>
      </c>
      <c r="T81">
        <v>0</v>
      </c>
      <c r="U81">
        <v>0</v>
      </c>
    </row>
    <row r="82" spans="1:21" x14ac:dyDescent="0.25">
      <c r="A82" t="s">
        <v>86</v>
      </c>
      <c r="B82">
        <v>0</v>
      </c>
      <c r="C82">
        <v>0</v>
      </c>
      <c r="D82">
        <v>0</v>
      </c>
      <c r="E82">
        <v>0</v>
      </c>
      <c r="F82">
        <v>0</v>
      </c>
      <c r="G82">
        <v>0</v>
      </c>
      <c r="H82">
        <v>0</v>
      </c>
      <c r="I82">
        <v>0</v>
      </c>
      <c r="J82">
        <v>0</v>
      </c>
      <c r="K82">
        <v>0</v>
      </c>
      <c r="L82">
        <v>0</v>
      </c>
      <c r="M82">
        <v>0</v>
      </c>
      <c r="N82">
        <v>0</v>
      </c>
      <c r="O82">
        <v>0</v>
      </c>
      <c r="P82">
        <v>0</v>
      </c>
      <c r="Q82">
        <v>0</v>
      </c>
      <c r="R82">
        <v>0</v>
      </c>
      <c r="S82">
        <v>0</v>
      </c>
      <c r="T82">
        <v>0</v>
      </c>
      <c r="U82">
        <v>0</v>
      </c>
    </row>
    <row r="83" spans="1:21" x14ac:dyDescent="0.25">
      <c r="A83" t="s">
        <v>87</v>
      </c>
      <c r="B83">
        <v>23941244000</v>
      </c>
      <c r="C83">
        <v>14559504000</v>
      </c>
      <c r="D83">
        <v>8872406000</v>
      </c>
      <c r="E83">
        <v>3719114000</v>
      </c>
      <c r="F83">
        <v>11154160000</v>
      </c>
      <c r="G83">
        <v>5904296000</v>
      </c>
      <c r="H83">
        <v>3585281000</v>
      </c>
      <c r="I83">
        <v>2068073000</v>
      </c>
      <c r="J83">
        <v>6186529000</v>
      </c>
      <c r="K83">
        <v>3399112000</v>
      </c>
      <c r="L83">
        <v>1750369000</v>
      </c>
      <c r="M83">
        <v>1071517000</v>
      </c>
      <c r="N83">
        <v>4015217000</v>
      </c>
      <c r="O83">
        <v>2864623000</v>
      </c>
      <c r="P83">
        <v>1914861000</v>
      </c>
      <c r="Q83">
        <v>943772000</v>
      </c>
      <c r="R83">
        <v>3458571000</v>
      </c>
      <c r="S83">
        <v>2500680000</v>
      </c>
      <c r="T83">
        <v>1678595000</v>
      </c>
      <c r="U83">
        <v>757321000</v>
      </c>
    </row>
    <row r="84" spans="1:21" x14ac:dyDescent="0.25">
      <c r="A84" t="s">
        <v>88</v>
      </c>
      <c r="B84">
        <v>-2756024000</v>
      </c>
      <c r="C84">
        <v>-1691843000</v>
      </c>
      <c r="D84">
        <v>-1085625000</v>
      </c>
      <c r="E84">
        <v>-480099000</v>
      </c>
      <c r="F84">
        <v>-1323600000</v>
      </c>
      <c r="G84">
        <v>-680577000</v>
      </c>
      <c r="H84">
        <v>-441659000</v>
      </c>
      <c r="I84">
        <v>-209224000</v>
      </c>
      <c r="J84">
        <v>-843565000</v>
      </c>
      <c r="K84">
        <v>-510525000</v>
      </c>
      <c r="L84">
        <v>-275225000</v>
      </c>
      <c r="M84">
        <v>-159382000</v>
      </c>
      <c r="N84">
        <v>-649102000</v>
      </c>
      <c r="O84">
        <v>-450012000</v>
      </c>
      <c r="P84">
        <v>-303108000</v>
      </c>
      <c r="Q84">
        <v>-151014000</v>
      </c>
      <c r="R84">
        <v>-507218000</v>
      </c>
      <c r="S84">
        <v>-374093000</v>
      </c>
      <c r="T84">
        <v>-252491000</v>
      </c>
      <c r="U84">
        <v>-118113000</v>
      </c>
    </row>
    <row r="85" spans="1:21" x14ac:dyDescent="0.25">
      <c r="A85" t="s">
        <v>89</v>
      </c>
      <c r="B85">
        <v>-1903866000</v>
      </c>
      <c r="C85">
        <v>-1206535000</v>
      </c>
      <c r="D85">
        <v>-669387000</v>
      </c>
      <c r="E85">
        <v>-285627000</v>
      </c>
      <c r="F85">
        <v>-740429000</v>
      </c>
      <c r="G85">
        <v>-473497000</v>
      </c>
      <c r="H85">
        <v>-309260000</v>
      </c>
      <c r="I85">
        <v>-170047000</v>
      </c>
      <c r="J85">
        <v>-516688000</v>
      </c>
      <c r="K85">
        <v>-305556000</v>
      </c>
      <c r="L85">
        <v>-188107000</v>
      </c>
      <c r="M85">
        <v>-113732000</v>
      </c>
      <c r="N85">
        <v>-372893000</v>
      </c>
      <c r="O85">
        <v>-296656000</v>
      </c>
      <c r="P85">
        <v>-186599000</v>
      </c>
      <c r="Q85">
        <v>-86188000</v>
      </c>
      <c r="R85">
        <v>-312143000</v>
      </c>
      <c r="S85">
        <v>-241237000</v>
      </c>
      <c r="T85">
        <v>-157717000</v>
      </c>
      <c r="U85">
        <v>-74953000</v>
      </c>
    </row>
    <row r="86" spans="1:21" x14ac:dyDescent="0.25">
      <c r="A86" t="s">
        <v>90</v>
      </c>
      <c r="B86">
        <v>-1449033000</v>
      </c>
      <c r="C86">
        <v>-939048000</v>
      </c>
      <c r="D86">
        <v>-581686000</v>
      </c>
      <c r="E86">
        <v>-276715000</v>
      </c>
      <c r="F86">
        <v>-680519000</v>
      </c>
      <c r="G86">
        <v>-416271000</v>
      </c>
      <c r="H86">
        <v>-274316000</v>
      </c>
      <c r="I86">
        <v>-129519000</v>
      </c>
      <c r="J86">
        <v>-459451000</v>
      </c>
      <c r="K86">
        <v>-295700000</v>
      </c>
      <c r="L86">
        <v>-204185000</v>
      </c>
      <c r="M86">
        <v>-121129000</v>
      </c>
      <c r="N86">
        <v>-419583000</v>
      </c>
      <c r="O86">
        <v>-305295000</v>
      </c>
      <c r="P86">
        <v>-218239000</v>
      </c>
      <c r="Q86">
        <v>-103943000</v>
      </c>
      <c r="R86">
        <v>-368568000</v>
      </c>
      <c r="S86">
        <v>-281265000</v>
      </c>
      <c r="T86">
        <v>-183582000</v>
      </c>
      <c r="U86">
        <v>-98580000</v>
      </c>
    </row>
    <row r="87" spans="1:21" x14ac:dyDescent="0.25">
      <c r="A87" t="s">
        <v>91</v>
      </c>
      <c r="B87">
        <v>3412894000</v>
      </c>
      <c r="C87">
        <v>1901721000</v>
      </c>
      <c r="D87">
        <v>1404672000</v>
      </c>
      <c r="E87">
        <v>808270000</v>
      </c>
      <c r="F87">
        <v>2111012000</v>
      </c>
      <c r="G87">
        <v>830503000</v>
      </c>
      <c r="H87">
        <v>601796000</v>
      </c>
      <c r="I87">
        <v>381260000</v>
      </c>
      <c r="J87">
        <v>854776000</v>
      </c>
      <c r="K87">
        <v>719380000</v>
      </c>
      <c r="L87">
        <v>333074000</v>
      </c>
      <c r="M87">
        <v>217058000</v>
      </c>
      <c r="N87">
        <v>633778000</v>
      </c>
      <c r="O87">
        <v>411952000</v>
      </c>
      <c r="P87">
        <v>339245000</v>
      </c>
      <c r="Q87">
        <v>162216000</v>
      </c>
      <c r="R87">
        <v>581129000</v>
      </c>
      <c r="S87">
        <v>687449000</v>
      </c>
      <c r="T87">
        <v>322818000</v>
      </c>
      <c r="U87">
        <v>148573000</v>
      </c>
    </row>
    <row r="88" spans="1:21" x14ac:dyDescent="0.25">
      <c r="A88" t="s">
        <v>92</v>
      </c>
      <c r="B88">
        <v>-2104872000</v>
      </c>
      <c r="C88">
        <v>-1207631000</v>
      </c>
      <c r="D88">
        <v>-771170000</v>
      </c>
      <c r="E88">
        <v>-362161000</v>
      </c>
      <c r="F88">
        <v>-1082881000</v>
      </c>
      <c r="G88">
        <v>-574658000</v>
      </c>
      <c r="H88">
        <v>-359602000</v>
      </c>
      <c r="I88">
        <v>-219887000</v>
      </c>
      <c r="J88">
        <v>-415940000</v>
      </c>
      <c r="K88">
        <v>-245048000</v>
      </c>
      <c r="L88">
        <v>-151408000</v>
      </c>
      <c r="M88">
        <v>-100676000</v>
      </c>
      <c r="N88">
        <v>-785389000</v>
      </c>
      <c r="O88">
        <v>-649266000</v>
      </c>
      <c r="P88">
        <v>-331437000</v>
      </c>
      <c r="Q88">
        <v>-161586000</v>
      </c>
      <c r="R88">
        <v>-566898000</v>
      </c>
      <c r="S88">
        <v>-423234000</v>
      </c>
      <c r="T88">
        <v>-269076000</v>
      </c>
      <c r="U88">
        <v>-100886000</v>
      </c>
    </row>
    <row r="89" spans="1:21" x14ac:dyDescent="0.25">
      <c r="A89" t="s">
        <v>93</v>
      </c>
      <c r="B89">
        <v>0</v>
      </c>
      <c r="C89">
        <v>0</v>
      </c>
      <c r="D89">
        <v>0</v>
      </c>
      <c r="E89">
        <v>0</v>
      </c>
      <c r="F89">
        <v>0</v>
      </c>
      <c r="G89">
        <v>0</v>
      </c>
      <c r="H89">
        <v>0</v>
      </c>
      <c r="I89">
        <v>0</v>
      </c>
      <c r="J89">
        <v>0</v>
      </c>
      <c r="K89">
        <v>0</v>
      </c>
      <c r="L89">
        <v>0</v>
      </c>
      <c r="M89">
        <v>0</v>
      </c>
      <c r="N89">
        <v>0</v>
      </c>
      <c r="O89">
        <v>0</v>
      </c>
      <c r="P89">
        <v>0</v>
      </c>
      <c r="Q89">
        <v>0</v>
      </c>
      <c r="R89">
        <v>0</v>
      </c>
      <c r="S89">
        <v>0</v>
      </c>
      <c r="T89">
        <v>0</v>
      </c>
      <c r="U89">
        <v>0</v>
      </c>
    </row>
    <row r="90" spans="1:21" x14ac:dyDescent="0.25">
      <c r="A90" t="s">
        <v>94</v>
      </c>
      <c r="B90">
        <v>19140343000</v>
      </c>
      <c r="C90">
        <v>11416168000</v>
      </c>
      <c r="D90">
        <v>7169210000</v>
      </c>
      <c r="E90">
        <v>3122782000</v>
      </c>
      <c r="F90">
        <v>9437743000</v>
      </c>
      <c r="G90">
        <v>4589796000</v>
      </c>
      <c r="H90">
        <v>2802240000</v>
      </c>
      <c r="I90">
        <v>1720656000</v>
      </c>
      <c r="J90">
        <v>4805661000</v>
      </c>
      <c r="K90">
        <v>2761663000</v>
      </c>
      <c r="L90">
        <v>1264518000</v>
      </c>
      <c r="M90">
        <v>793656000</v>
      </c>
      <c r="N90">
        <v>2422028000</v>
      </c>
      <c r="O90">
        <v>1575346000</v>
      </c>
      <c r="P90">
        <v>1214723000</v>
      </c>
      <c r="Q90">
        <v>603257000</v>
      </c>
      <c r="R90">
        <v>2284873000</v>
      </c>
      <c r="S90">
        <v>1868300000</v>
      </c>
      <c r="T90">
        <v>1138547000</v>
      </c>
      <c r="U90">
        <v>513362000</v>
      </c>
    </row>
    <row r="91" spans="1:21" x14ac:dyDescent="0.25">
      <c r="A91" t="s">
        <v>95</v>
      </c>
      <c r="B91">
        <v>17832321000</v>
      </c>
      <c r="C91">
        <v>10722078000</v>
      </c>
      <c r="D91">
        <v>6535708000</v>
      </c>
      <c r="E91">
        <v>2676673000</v>
      </c>
      <c r="F91">
        <v>8409612000</v>
      </c>
      <c r="G91">
        <v>4333951000</v>
      </c>
      <c r="H91">
        <v>2560046000</v>
      </c>
      <c r="I91">
        <v>1559283000</v>
      </c>
      <c r="J91">
        <v>4366825000</v>
      </c>
      <c r="K91">
        <v>2287331000</v>
      </c>
      <c r="L91">
        <v>1082852000</v>
      </c>
      <c r="M91">
        <v>677274000</v>
      </c>
      <c r="N91">
        <v>2573639000</v>
      </c>
      <c r="O91">
        <v>1812660000</v>
      </c>
      <c r="P91">
        <v>1206915000</v>
      </c>
      <c r="Q91">
        <v>602627000</v>
      </c>
      <c r="R91">
        <v>2270642000</v>
      </c>
      <c r="S91">
        <v>1604085000</v>
      </c>
      <c r="T91">
        <v>1084805000</v>
      </c>
      <c r="U91">
        <v>465675000</v>
      </c>
    </row>
    <row r="92" spans="1:21" x14ac:dyDescent="0.25">
      <c r="A92" t="s">
        <v>96</v>
      </c>
      <c r="B92">
        <v>21013000</v>
      </c>
      <c r="C92">
        <v>13030000</v>
      </c>
      <c r="D92">
        <v>5197000</v>
      </c>
      <c r="E92">
        <v>3601000</v>
      </c>
      <c r="F92">
        <v>2464000</v>
      </c>
      <c r="G92">
        <v>2464000</v>
      </c>
      <c r="H92">
        <v>2464000</v>
      </c>
      <c r="I92">
        <v>2464000</v>
      </c>
      <c r="J92">
        <v>2549000</v>
      </c>
      <c r="K92">
        <v>2549000</v>
      </c>
      <c r="L92">
        <v>1172000</v>
      </c>
      <c r="M92">
        <v>1172000</v>
      </c>
      <c r="N92">
        <v>422000</v>
      </c>
      <c r="O92">
        <v>422000</v>
      </c>
      <c r="P92">
        <v>422000</v>
      </c>
      <c r="Q92">
        <v>422000</v>
      </c>
      <c r="R92">
        <v>410000</v>
      </c>
      <c r="S92">
        <v>410000</v>
      </c>
      <c r="T92">
        <v>410000</v>
      </c>
      <c r="U92">
        <v>410000</v>
      </c>
    </row>
    <row r="93" spans="1:21" x14ac:dyDescent="0.25">
      <c r="A93" t="s">
        <v>97</v>
      </c>
      <c r="B93">
        <v>-34930000</v>
      </c>
      <c r="C93">
        <v>-22042000</v>
      </c>
      <c r="D93">
        <v>-17263000</v>
      </c>
      <c r="E93">
        <v>-16226000</v>
      </c>
      <c r="F93">
        <v>-37561000</v>
      </c>
      <c r="G93">
        <v>-34714000</v>
      </c>
      <c r="H93">
        <v>-1466000</v>
      </c>
      <c r="I93">
        <v>0</v>
      </c>
      <c r="J93">
        <v>-1359000</v>
      </c>
      <c r="K93">
        <v>-728000</v>
      </c>
      <c r="L93">
        <v>-728000</v>
      </c>
      <c r="M93">
        <v>-286000</v>
      </c>
      <c r="N93">
        <v>-714000</v>
      </c>
      <c r="O93">
        <v>-1162000</v>
      </c>
      <c r="P93">
        <v>-1111000</v>
      </c>
      <c r="Q93">
        <v>-876000</v>
      </c>
      <c r="R93">
        <v>-3855000</v>
      </c>
      <c r="S93">
        <v>-3616000</v>
      </c>
      <c r="T93">
        <v>-2170000</v>
      </c>
      <c r="U93">
        <v>-1480000</v>
      </c>
    </row>
    <row r="94" spans="1:21" x14ac:dyDescent="0.25">
      <c r="A94" t="s">
        <v>98</v>
      </c>
      <c r="B94">
        <v>0</v>
      </c>
      <c r="C94">
        <v>0</v>
      </c>
      <c r="D94">
        <v>0</v>
      </c>
      <c r="E94">
        <v>0</v>
      </c>
      <c r="F94">
        <v>0</v>
      </c>
      <c r="G94">
        <v>0</v>
      </c>
      <c r="H94">
        <v>0</v>
      </c>
      <c r="I94">
        <v>0</v>
      </c>
      <c r="J94">
        <v>0</v>
      </c>
      <c r="K94">
        <v>0</v>
      </c>
      <c r="L94">
        <v>0</v>
      </c>
      <c r="M94">
        <v>0</v>
      </c>
      <c r="N94">
        <v>0</v>
      </c>
      <c r="O94">
        <v>0</v>
      </c>
      <c r="P94">
        <v>0</v>
      </c>
      <c r="Q94">
        <v>0</v>
      </c>
      <c r="R94">
        <v>0</v>
      </c>
      <c r="S94">
        <v>0</v>
      </c>
      <c r="T94">
        <v>0</v>
      </c>
      <c r="U94">
        <v>0</v>
      </c>
    </row>
    <row r="95" spans="1:21" x14ac:dyDescent="0.25">
      <c r="A95" t="s">
        <v>99</v>
      </c>
      <c r="B95">
        <v>0</v>
      </c>
      <c r="C95">
        <v>0</v>
      </c>
      <c r="D95">
        <v>0</v>
      </c>
      <c r="E95">
        <v>0</v>
      </c>
      <c r="F95">
        <v>0</v>
      </c>
      <c r="G95">
        <v>0</v>
      </c>
      <c r="H95">
        <v>0</v>
      </c>
      <c r="I95">
        <v>0</v>
      </c>
      <c r="J95">
        <v>0</v>
      </c>
      <c r="K95">
        <v>0</v>
      </c>
      <c r="L95">
        <v>0</v>
      </c>
      <c r="M95">
        <v>0</v>
      </c>
      <c r="N95">
        <v>-933000</v>
      </c>
      <c r="O95">
        <v>-933000</v>
      </c>
      <c r="P95">
        <v>-150000</v>
      </c>
      <c r="Q95">
        <v>-32000</v>
      </c>
      <c r="R95">
        <v>-94000</v>
      </c>
      <c r="S95">
        <v>-21000</v>
      </c>
      <c r="T95">
        <v>0</v>
      </c>
      <c r="U95">
        <v>0</v>
      </c>
    </row>
    <row r="96" spans="1:21" x14ac:dyDescent="0.25">
      <c r="A96" t="s">
        <v>100</v>
      </c>
      <c r="B96">
        <v>19126426000</v>
      </c>
      <c r="C96">
        <v>11407156000</v>
      </c>
      <c r="D96">
        <v>7157144000</v>
      </c>
      <c r="E96">
        <v>3110157000</v>
      </c>
      <c r="F96">
        <v>9402646000</v>
      </c>
      <c r="G96">
        <v>4557546000</v>
      </c>
      <c r="H96">
        <v>2803238000</v>
      </c>
      <c r="I96">
        <v>1723120000</v>
      </c>
      <c r="J96">
        <v>4806851000</v>
      </c>
      <c r="K96">
        <v>2763484000</v>
      </c>
      <c r="L96">
        <v>1264962000</v>
      </c>
      <c r="M96">
        <v>794542000</v>
      </c>
      <c r="N96">
        <v>2420803000</v>
      </c>
      <c r="O96">
        <v>1573673000</v>
      </c>
      <c r="P96">
        <v>1213884000</v>
      </c>
      <c r="Q96">
        <v>602771000</v>
      </c>
      <c r="R96">
        <v>2281334000</v>
      </c>
      <c r="S96">
        <v>1865073000</v>
      </c>
      <c r="T96">
        <v>1136787000</v>
      </c>
      <c r="U96">
        <v>512292000</v>
      </c>
    </row>
    <row r="97" spans="1:21" x14ac:dyDescent="0.25">
      <c r="A97" t="s">
        <v>101</v>
      </c>
      <c r="B97">
        <v>6694430000</v>
      </c>
      <c r="C97">
        <v>5943385000</v>
      </c>
      <c r="D97">
        <v>4514302000</v>
      </c>
      <c r="E97">
        <v>1527538000</v>
      </c>
      <c r="F97">
        <v>5811748000</v>
      </c>
      <c r="G97">
        <v>2414607000</v>
      </c>
      <c r="H97">
        <v>1279414000</v>
      </c>
      <c r="I97">
        <v>770574000</v>
      </c>
      <c r="J97">
        <v>1855354000</v>
      </c>
      <c r="K97">
        <v>957043000</v>
      </c>
      <c r="L97">
        <v>436259000</v>
      </c>
      <c r="M97">
        <v>201049000</v>
      </c>
      <c r="N97">
        <v>1185601000</v>
      </c>
      <c r="O97">
        <v>967701000</v>
      </c>
      <c r="P97">
        <v>281309000</v>
      </c>
      <c r="Q97">
        <v>109550000</v>
      </c>
      <c r="R97">
        <v>1981623000</v>
      </c>
      <c r="S97">
        <v>1072929000</v>
      </c>
      <c r="T97">
        <v>211639000</v>
      </c>
      <c r="U97">
        <v>106305000</v>
      </c>
    </row>
    <row r="98" spans="1:21" x14ac:dyDescent="0.25">
      <c r="A98" t="s">
        <v>102</v>
      </c>
      <c r="B98">
        <v>-10197649000</v>
      </c>
      <c r="C98">
        <v>-8079360000</v>
      </c>
      <c r="D98">
        <v>-6015294000</v>
      </c>
      <c r="E98">
        <v>-2352474000</v>
      </c>
      <c r="F98">
        <v>-6527635000</v>
      </c>
      <c r="G98">
        <v>-2277231000</v>
      </c>
      <c r="H98">
        <v>-1290127000</v>
      </c>
      <c r="I98">
        <v>-676515000</v>
      </c>
      <c r="J98">
        <v>-2553875000</v>
      </c>
      <c r="K98">
        <v>-1412652000</v>
      </c>
      <c r="L98">
        <v>-809429000</v>
      </c>
      <c r="M98">
        <v>-383742000</v>
      </c>
      <c r="N98">
        <v>-1656231000</v>
      </c>
      <c r="O98">
        <v>-1249650000</v>
      </c>
      <c r="P98">
        <v>-617058000</v>
      </c>
      <c r="Q98">
        <v>-235662000</v>
      </c>
      <c r="R98">
        <v>-2501845000</v>
      </c>
      <c r="S98">
        <v>-1508168000</v>
      </c>
      <c r="T98">
        <v>-408013000</v>
      </c>
      <c r="U98">
        <v>-177245000</v>
      </c>
    </row>
    <row r="99" spans="1:21" x14ac:dyDescent="0.25">
      <c r="A99" t="s">
        <v>103</v>
      </c>
      <c r="B99">
        <v>-13917000</v>
      </c>
      <c r="C99">
        <v>-9012000</v>
      </c>
      <c r="D99">
        <v>-12066000</v>
      </c>
      <c r="E99">
        <v>-12625000</v>
      </c>
      <c r="F99">
        <v>-35097000</v>
      </c>
      <c r="G99">
        <v>-32250000</v>
      </c>
      <c r="H99">
        <v>998000</v>
      </c>
      <c r="I99">
        <v>2464000</v>
      </c>
      <c r="J99">
        <v>1190000</v>
      </c>
      <c r="K99">
        <v>1821000</v>
      </c>
      <c r="L99">
        <v>444000</v>
      </c>
      <c r="M99">
        <v>886000</v>
      </c>
      <c r="N99">
        <v>-292000</v>
      </c>
      <c r="O99">
        <v>-740000</v>
      </c>
      <c r="P99">
        <v>-689000</v>
      </c>
      <c r="Q99">
        <v>-454000</v>
      </c>
      <c r="R99">
        <v>-3445000</v>
      </c>
      <c r="S99">
        <v>-3206000</v>
      </c>
      <c r="T99">
        <v>-1760000</v>
      </c>
      <c r="U99">
        <v>-1070000</v>
      </c>
    </row>
    <row r="100" spans="1:21" x14ac:dyDescent="0.25">
      <c r="A100" t="s">
        <v>104</v>
      </c>
      <c r="B100">
        <v>15623207000</v>
      </c>
      <c r="C100">
        <v>9271181000</v>
      </c>
      <c r="D100">
        <v>5656152000</v>
      </c>
      <c r="E100">
        <v>2285221000</v>
      </c>
      <c r="F100">
        <v>8686759000</v>
      </c>
      <c r="G100">
        <v>4694922000</v>
      </c>
      <c r="H100">
        <v>2792525000</v>
      </c>
      <c r="I100">
        <v>1817179000</v>
      </c>
      <c r="J100">
        <v>4108330000</v>
      </c>
      <c r="K100">
        <v>2307875000</v>
      </c>
      <c r="L100">
        <v>891792000</v>
      </c>
      <c r="M100">
        <v>611849000</v>
      </c>
      <c r="N100">
        <v>1950173000</v>
      </c>
      <c r="O100">
        <v>1291724000</v>
      </c>
      <c r="P100">
        <v>878135000</v>
      </c>
      <c r="Q100">
        <v>476659000</v>
      </c>
      <c r="R100">
        <v>1761112000</v>
      </c>
      <c r="S100">
        <v>1429834000</v>
      </c>
      <c r="T100">
        <v>940413000</v>
      </c>
      <c r="U100">
        <v>441352000</v>
      </c>
    </row>
    <row r="101" spans="1:21" x14ac:dyDescent="0.25">
      <c r="A101" t="s">
        <v>105</v>
      </c>
      <c r="B101">
        <v>2990736000</v>
      </c>
      <c r="C101">
        <v>1050990000</v>
      </c>
      <c r="D101">
        <v>849829000</v>
      </c>
      <c r="E101">
        <v>516558000</v>
      </c>
      <c r="F101">
        <v>114246000</v>
      </c>
      <c r="G101">
        <v>15839000</v>
      </c>
      <c r="H101">
        <v>26052000</v>
      </c>
      <c r="I101">
        <v>2195000</v>
      </c>
      <c r="J101">
        <v>86583000</v>
      </c>
      <c r="K101">
        <v>-40169000</v>
      </c>
      <c r="L101">
        <v>17645000</v>
      </c>
      <c r="M101">
        <v>17580000</v>
      </c>
      <c r="N101">
        <v>9311000</v>
      </c>
      <c r="O101">
        <v>50983000</v>
      </c>
      <c r="P101">
        <v>10153000</v>
      </c>
      <c r="Q101">
        <v>1301000</v>
      </c>
      <c r="R101">
        <v>-77916000</v>
      </c>
      <c r="S101">
        <v>-157476000</v>
      </c>
      <c r="T101">
        <v>-21894000</v>
      </c>
      <c r="U101">
        <v>-9087000</v>
      </c>
    </row>
    <row r="102" spans="1:21" x14ac:dyDescent="0.25">
      <c r="A102" t="s">
        <v>106</v>
      </c>
      <c r="B102">
        <v>-94210000</v>
      </c>
      <c r="C102">
        <v>-73503000</v>
      </c>
      <c r="D102">
        <v>-50761000</v>
      </c>
      <c r="E102">
        <v>-32280000</v>
      </c>
      <c r="F102">
        <v>-76950000</v>
      </c>
      <c r="G102">
        <v>-45112000</v>
      </c>
      <c r="H102">
        <v>-25929000</v>
      </c>
      <c r="I102">
        <v>-12901000</v>
      </c>
      <c r="J102">
        <v>-39799000</v>
      </c>
      <c r="K102">
        <v>-19325000</v>
      </c>
      <c r="L102">
        <v>-4025000</v>
      </c>
      <c r="M102">
        <v>-4657000</v>
      </c>
      <c r="N102">
        <v>-21242000</v>
      </c>
      <c r="O102">
        <v>-17804000</v>
      </c>
      <c r="P102">
        <v>-11111000</v>
      </c>
      <c r="Q102">
        <v>-6661000</v>
      </c>
      <c r="R102">
        <v>-16969000</v>
      </c>
      <c r="S102">
        <v>-7836000</v>
      </c>
      <c r="T102">
        <v>-10688000</v>
      </c>
      <c r="U102">
        <v>-5381000</v>
      </c>
    </row>
    <row r="103" spans="1:21" x14ac:dyDescent="0.25">
      <c r="A103" t="s">
        <v>107</v>
      </c>
      <c r="B103">
        <v>3084946000</v>
      </c>
      <c r="C103">
        <v>1124493000</v>
      </c>
      <c r="D103">
        <v>900590000</v>
      </c>
      <c r="E103">
        <v>548838000</v>
      </c>
      <c r="F103">
        <v>191196000</v>
      </c>
      <c r="G103">
        <v>60951000</v>
      </c>
      <c r="H103">
        <v>51981000</v>
      </c>
      <c r="I103">
        <v>15096000</v>
      </c>
      <c r="J103">
        <v>126382000</v>
      </c>
      <c r="K103">
        <v>-20844000</v>
      </c>
      <c r="L103">
        <v>21670000</v>
      </c>
      <c r="M103">
        <v>22237000</v>
      </c>
      <c r="N103">
        <v>30553000</v>
      </c>
      <c r="O103">
        <v>68787000</v>
      </c>
      <c r="P103">
        <v>21264000</v>
      </c>
      <c r="Q103">
        <v>7962000</v>
      </c>
      <c r="R103">
        <v>-60947000</v>
      </c>
      <c r="S103">
        <v>-149640000</v>
      </c>
      <c r="T103">
        <v>-11206000</v>
      </c>
      <c r="U103">
        <v>-3706000</v>
      </c>
    </row>
    <row r="104" spans="1:21" x14ac:dyDescent="0.25">
      <c r="A104" t="s">
        <v>108</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row>
    <row r="105" spans="1:21" x14ac:dyDescent="0.25">
      <c r="A105" t="s">
        <v>109</v>
      </c>
      <c r="B105">
        <v>18613943000</v>
      </c>
      <c r="C105">
        <v>10322171000</v>
      </c>
      <c r="D105">
        <v>6505981000</v>
      </c>
      <c r="E105">
        <v>2801779000</v>
      </c>
      <c r="F105">
        <v>8801005000</v>
      </c>
      <c r="G105">
        <v>4710761000</v>
      </c>
      <c r="H105">
        <v>2818577000</v>
      </c>
      <c r="I105">
        <v>1819374000</v>
      </c>
      <c r="J105">
        <v>4194913000</v>
      </c>
      <c r="K105">
        <v>2267706000</v>
      </c>
      <c r="L105">
        <v>909437000</v>
      </c>
      <c r="M105">
        <v>629429000</v>
      </c>
      <c r="N105">
        <v>1959484000</v>
      </c>
      <c r="O105">
        <v>1342707000</v>
      </c>
      <c r="P105">
        <v>888288000</v>
      </c>
      <c r="Q105">
        <v>477960000</v>
      </c>
      <c r="R105">
        <v>1683196000</v>
      </c>
      <c r="S105">
        <v>1272358000</v>
      </c>
      <c r="T105">
        <v>918519000</v>
      </c>
      <c r="U105">
        <v>432265000</v>
      </c>
    </row>
    <row r="106" spans="1:21" x14ac:dyDescent="0.25">
      <c r="A106" t="s">
        <v>110</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row>
    <row r="107" spans="1:21" x14ac:dyDescent="0.25">
      <c r="A107" t="s">
        <v>111</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row>
    <row r="108" spans="1:21" x14ac:dyDescent="0.25">
      <c r="A108" t="s">
        <v>112</v>
      </c>
      <c r="B108">
        <v>18613943000</v>
      </c>
      <c r="C108">
        <v>10322171000</v>
      </c>
      <c r="D108">
        <v>6505981000</v>
      </c>
      <c r="E108">
        <v>2801779000</v>
      </c>
      <c r="F108">
        <v>8801005000</v>
      </c>
      <c r="G108">
        <v>4710761000</v>
      </c>
      <c r="H108">
        <v>2818577000</v>
      </c>
      <c r="I108">
        <v>1819374000</v>
      </c>
      <c r="J108">
        <v>4194913000</v>
      </c>
      <c r="K108">
        <v>2267706000</v>
      </c>
      <c r="L108">
        <v>909437000</v>
      </c>
      <c r="M108">
        <v>629429000</v>
      </c>
      <c r="N108">
        <v>1959484000</v>
      </c>
      <c r="O108">
        <v>1342707000</v>
      </c>
      <c r="P108">
        <v>888288000</v>
      </c>
      <c r="Q108">
        <v>477960000</v>
      </c>
      <c r="R108">
        <v>1683196000</v>
      </c>
      <c r="S108">
        <v>1272358000</v>
      </c>
      <c r="T108">
        <v>918519000</v>
      </c>
      <c r="U108">
        <v>432265000</v>
      </c>
    </row>
    <row r="109" spans="1:21" x14ac:dyDescent="0.25">
      <c r="A109" t="s">
        <v>113</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row>
    <row r="110" spans="1:21" x14ac:dyDescent="0.25">
      <c r="A110" t="s">
        <v>114</v>
      </c>
      <c r="B110">
        <v>0</v>
      </c>
      <c r="C110">
        <v>0</v>
      </c>
      <c r="D110">
        <v>0</v>
      </c>
      <c r="E110">
        <v>0</v>
      </c>
      <c r="F110">
        <v>0</v>
      </c>
      <c r="G110">
        <v>0</v>
      </c>
      <c r="H110">
        <v>0</v>
      </c>
      <c r="I110">
        <v>0</v>
      </c>
      <c r="J110">
        <v>0</v>
      </c>
      <c r="K110">
        <v>0</v>
      </c>
      <c r="L110">
        <v>0</v>
      </c>
      <c r="M110">
        <v>0</v>
      </c>
      <c r="N110">
        <v>0</v>
      </c>
      <c r="O110">
        <v>0</v>
      </c>
      <c r="P110">
        <v>0</v>
      </c>
      <c r="Q110">
        <v>0</v>
      </c>
      <c r="R110">
        <v>0</v>
      </c>
      <c r="S110">
        <v>0</v>
      </c>
      <c r="T110">
        <v>0</v>
      </c>
      <c r="U110">
        <v>0</v>
      </c>
    </row>
    <row r="111" spans="1:21" x14ac:dyDescent="0.25">
      <c r="A111" t="s">
        <v>115</v>
      </c>
      <c r="B111">
        <v>18613943000</v>
      </c>
      <c r="C111">
        <v>10322171000</v>
      </c>
      <c r="D111">
        <v>6505981000</v>
      </c>
      <c r="E111">
        <v>2801779000</v>
      </c>
      <c r="F111">
        <v>8801005000</v>
      </c>
      <c r="G111">
        <v>4710761000</v>
      </c>
      <c r="H111">
        <v>2818577000</v>
      </c>
      <c r="I111">
        <v>1819374000</v>
      </c>
      <c r="J111">
        <v>4194913000</v>
      </c>
      <c r="K111">
        <v>2267706000</v>
      </c>
      <c r="L111">
        <v>909437000</v>
      </c>
      <c r="M111">
        <v>629429000</v>
      </c>
      <c r="N111">
        <v>1959484000</v>
      </c>
      <c r="O111">
        <v>1342707000</v>
      </c>
      <c r="P111">
        <v>888288000</v>
      </c>
      <c r="Q111">
        <v>477960000</v>
      </c>
      <c r="R111">
        <v>1683196000</v>
      </c>
      <c r="S111">
        <v>1272358000</v>
      </c>
      <c r="T111">
        <v>918519000</v>
      </c>
      <c r="U111">
        <v>432265000</v>
      </c>
    </row>
    <row r="112" spans="1:21" x14ac:dyDescent="0.25">
      <c r="A112" t="s">
        <v>116</v>
      </c>
      <c r="B112">
        <v>53</v>
      </c>
      <c r="C112">
        <v>29</v>
      </c>
      <c r="D112">
        <v>19</v>
      </c>
      <c r="E112">
        <v>8</v>
      </c>
      <c r="F112">
        <v>25</v>
      </c>
      <c r="G112">
        <v>13</v>
      </c>
      <c r="H112">
        <v>8</v>
      </c>
      <c r="I112">
        <v>5</v>
      </c>
      <c r="J112">
        <v>12</v>
      </c>
      <c r="K112">
        <v>6</v>
      </c>
      <c r="L112">
        <v>3</v>
      </c>
      <c r="M112">
        <v>2</v>
      </c>
      <c r="N112">
        <v>6</v>
      </c>
      <c r="O112">
        <v>4</v>
      </c>
      <c r="P112">
        <v>3</v>
      </c>
      <c r="Q112">
        <v>1</v>
      </c>
      <c r="R112">
        <v>5</v>
      </c>
      <c r="S112">
        <v>4</v>
      </c>
      <c r="T112">
        <v>1</v>
      </c>
      <c r="U112">
        <v>1</v>
      </c>
    </row>
    <row r="113" spans="1:21" x14ac:dyDescent="0.25">
      <c r="A113" t="s">
        <v>117</v>
      </c>
      <c r="B113">
        <v>0</v>
      </c>
      <c r="C113">
        <v>0</v>
      </c>
      <c r="D113">
        <v>0</v>
      </c>
      <c r="E113">
        <v>0</v>
      </c>
      <c r="F113">
        <v>0</v>
      </c>
      <c r="G113">
        <v>0</v>
      </c>
      <c r="H113">
        <v>0</v>
      </c>
      <c r="I113">
        <v>0</v>
      </c>
      <c r="J113">
        <v>0</v>
      </c>
      <c r="K113">
        <v>0</v>
      </c>
      <c r="L113">
        <v>3</v>
      </c>
      <c r="M113">
        <v>0</v>
      </c>
      <c r="N113">
        <v>0</v>
      </c>
      <c r="O113">
        <v>0</v>
      </c>
      <c r="P113">
        <v>3</v>
      </c>
      <c r="Q113">
        <v>0</v>
      </c>
      <c r="R113">
        <v>0</v>
      </c>
      <c r="S113">
        <v>0</v>
      </c>
      <c r="T113">
        <v>0</v>
      </c>
      <c r="U113">
        <v>0</v>
      </c>
    </row>
    <row r="114" spans="1:21" x14ac:dyDescent="0.25">
      <c r="A114" t="s">
        <v>118</v>
      </c>
      <c r="B114">
        <v>0</v>
      </c>
      <c r="C114">
        <v>0</v>
      </c>
      <c r="D114">
        <v>0</v>
      </c>
      <c r="E114">
        <v>0</v>
      </c>
      <c r="F114">
        <v>0</v>
      </c>
      <c r="G114">
        <v>0</v>
      </c>
      <c r="H114">
        <v>0</v>
      </c>
      <c r="I114">
        <v>0</v>
      </c>
      <c r="J114">
        <v>0</v>
      </c>
      <c r="K114">
        <v>0</v>
      </c>
      <c r="L114">
        <v>3</v>
      </c>
      <c r="M114">
        <v>0</v>
      </c>
      <c r="N114">
        <v>0</v>
      </c>
      <c r="O114">
        <v>0</v>
      </c>
      <c r="P114">
        <v>3</v>
      </c>
      <c r="Q114">
        <v>0</v>
      </c>
      <c r="R114">
        <v>0</v>
      </c>
      <c r="S114">
        <v>0</v>
      </c>
      <c r="T114">
        <v>0</v>
      </c>
      <c r="U114">
        <v>0</v>
      </c>
    </row>
    <row r="115" spans="1:21" x14ac:dyDescent="0.25">
      <c r="A115" t="s">
        <v>119</v>
      </c>
      <c r="B115">
        <v>0</v>
      </c>
      <c r="C115">
        <v>0</v>
      </c>
      <c r="D115">
        <v>0</v>
      </c>
      <c r="E115">
        <v>0</v>
      </c>
      <c r="F115">
        <v>0</v>
      </c>
      <c r="G115">
        <v>0</v>
      </c>
      <c r="H115">
        <v>0</v>
      </c>
      <c r="I115">
        <v>0</v>
      </c>
      <c r="J115">
        <v>0</v>
      </c>
      <c r="K115">
        <v>0</v>
      </c>
      <c r="L115">
        <v>3</v>
      </c>
      <c r="M115">
        <v>0</v>
      </c>
      <c r="N115">
        <v>0</v>
      </c>
      <c r="O115">
        <v>0</v>
      </c>
      <c r="P115">
        <v>3</v>
      </c>
      <c r="Q115">
        <v>0</v>
      </c>
      <c r="R115">
        <v>0</v>
      </c>
      <c r="S115">
        <v>0</v>
      </c>
      <c r="T115">
        <v>0</v>
      </c>
      <c r="U115">
        <v>0</v>
      </c>
    </row>
    <row r="116" spans="1:21" x14ac:dyDescent="0.25">
      <c r="A116" t="s">
        <v>120</v>
      </c>
      <c r="B116">
        <v>1894948000</v>
      </c>
      <c r="C116">
        <v>1250885000</v>
      </c>
      <c r="D116">
        <v>584235000</v>
      </c>
      <c r="E116">
        <v>294279000</v>
      </c>
      <c r="F116">
        <v>1054264000</v>
      </c>
      <c r="G116">
        <v>772257000</v>
      </c>
      <c r="H116">
        <v>509926000</v>
      </c>
      <c r="I116">
        <v>252357000</v>
      </c>
      <c r="J116">
        <v>916575000</v>
      </c>
      <c r="K116">
        <v>673900000</v>
      </c>
      <c r="L116">
        <v>443599000</v>
      </c>
      <c r="M116">
        <v>218696000</v>
      </c>
      <c r="N116">
        <v>775988000</v>
      </c>
      <c r="O116">
        <v>561709000</v>
      </c>
      <c r="P116">
        <v>360798000</v>
      </c>
      <c r="Q116">
        <v>178053000</v>
      </c>
      <c r="R116">
        <v>569203000</v>
      </c>
      <c r="S116">
        <v>417724000</v>
      </c>
      <c r="T116">
        <v>269910000</v>
      </c>
      <c r="U116">
        <v>128162000</v>
      </c>
    </row>
    <row r="117" spans="1:21" x14ac:dyDescent="0.25">
      <c r="A117" t="s">
        <v>121</v>
      </c>
      <c r="B117">
        <v>40651000</v>
      </c>
      <c r="C117">
        <v>0</v>
      </c>
      <c r="D117">
        <v>19802000</v>
      </c>
      <c r="E117">
        <v>9901000</v>
      </c>
      <c r="F117">
        <v>23573000</v>
      </c>
      <c r="G117">
        <v>17680000</v>
      </c>
      <c r="H117">
        <v>11787000</v>
      </c>
      <c r="I117">
        <v>5893000</v>
      </c>
      <c r="J117">
        <v>19868000</v>
      </c>
      <c r="K117">
        <v>14901000</v>
      </c>
      <c r="L117">
        <v>9934000</v>
      </c>
      <c r="M117">
        <v>4967000</v>
      </c>
      <c r="N117">
        <v>71201000</v>
      </c>
      <c r="O117">
        <v>53401000</v>
      </c>
      <c r="P117">
        <v>35600000</v>
      </c>
      <c r="Q117">
        <v>17800000</v>
      </c>
      <c r="R117">
        <v>56108000</v>
      </c>
      <c r="S117">
        <v>42081000</v>
      </c>
      <c r="T117">
        <v>28055000</v>
      </c>
      <c r="U117">
        <v>14027000</v>
      </c>
    </row>
    <row r="118" spans="1:21" x14ac:dyDescent="0.25">
      <c r="A118" t="s">
        <v>122</v>
      </c>
      <c r="B118">
        <v>-10197649000</v>
      </c>
      <c r="C118">
        <v>-8079360000</v>
      </c>
      <c r="D118">
        <v>-6015294000</v>
      </c>
      <c r="E118">
        <v>-2352474000</v>
      </c>
      <c r="F118">
        <v>-6527635000</v>
      </c>
      <c r="G118">
        <v>-2277231000</v>
      </c>
      <c r="H118">
        <v>-1290127000</v>
      </c>
      <c r="I118">
        <v>-676515000</v>
      </c>
      <c r="J118">
        <v>-2553875000</v>
      </c>
      <c r="K118">
        <v>-1412652000</v>
      </c>
      <c r="L118">
        <v>-809429000</v>
      </c>
      <c r="M118">
        <v>-383742000</v>
      </c>
      <c r="N118">
        <v>-1656231000</v>
      </c>
      <c r="O118">
        <v>-1249650000</v>
      </c>
      <c r="P118">
        <v>-617058000</v>
      </c>
      <c r="Q118">
        <v>-235662000</v>
      </c>
      <c r="R118">
        <v>-2501845000</v>
      </c>
      <c r="S118">
        <v>-1508168000</v>
      </c>
      <c r="T118">
        <v>-408013000</v>
      </c>
      <c r="U118">
        <v>-177245000</v>
      </c>
    </row>
    <row r="119" spans="1:21" x14ac:dyDescent="0.25">
      <c r="A119" t="s">
        <v>123</v>
      </c>
      <c r="B119">
        <v>40807584000</v>
      </c>
      <c r="C119">
        <v>24480978000</v>
      </c>
      <c r="D119">
        <v>13855945000</v>
      </c>
      <c r="E119">
        <v>5837040000</v>
      </c>
      <c r="F119">
        <v>17983616000</v>
      </c>
      <c r="G119">
        <v>11157522000</v>
      </c>
      <c r="H119">
        <v>7542159000</v>
      </c>
      <c r="I119">
        <v>4106198000</v>
      </c>
      <c r="J119">
        <v>16153836000</v>
      </c>
      <c r="K119">
        <v>9257913000</v>
      </c>
      <c r="L119">
        <v>3921765000</v>
      </c>
      <c r="M119">
        <v>2047642000</v>
      </c>
      <c r="N119">
        <v>6571460000</v>
      </c>
      <c r="O119">
        <v>3872453000</v>
      </c>
      <c r="P119">
        <v>2684720000</v>
      </c>
      <c r="Q119">
        <v>1312516000</v>
      </c>
      <c r="R119">
        <v>6686164000</v>
      </c>
      <c r="S119">
        <v>5006471000</v>
      </c>
      <c r="T119">
        <v>3728931000</v>
      </c>
      <c r="U119">
        <v>1700954000</v>
      </c>
    </row>
    <row r="120" spans="1:21" x14ac:dyDescent="0.25">
      <c r="A120" t="s">
        <v>124</v>
      </c>
      <c r="B120">
        <v>133266750000</v>
      </c>
      <c r="C120">
        <v>87962012000</v>
      </c>
      <c r="D120">
        <v>47818495000</v>
      </c>
      <c r="E120">
        <v>22468684000</v>
      </c>
      <c r="F120">
        <v>54515151000</v>
      </c>
      <c r="G120">
        <v>35454317000</v>
      </c>
      <c r="H120">
        <v>19890920000</v>
      </c>
      <c r="I120">
        <v>12536606000</v>
      </c>
      <c r="J120">
        <v>34626072000</v>
      </c>
      <c r="K120">
        <v>20076556000</v>
      </c>
      <c r="L120">
        <v>11538648000</v>
      </c>
      <c r="M120">
        <v>7504365000</v>
      </c>
      <c r="N120">
        <v>33375426000</v>
      </c>
      <c r="O120">
        <v>24312309000</v>
      </c>
      <c r="P120">
        <v>16056227000</v>
      </c>
      <c r="Q120">
        <v>8141113000</v>
      </c>
      <c r="R120">
        <v>27303441000</v>
      </c>
      <c r="S120">
        <v>18779500000</v>
      </c>
      <c r="T120">
        <v>12098509000</v>
      </c>
      <c r="U120">
        <v>5728030000</v>
      </c>
    </row>
    <row r="121" spans="1:21" x14ac:dyDescent="0.25">
      <c r="A121" t="s">
        <v>125</v>
      </c>
      <c r="B121">
        <v>-18080529000</v>
      </c>
      <c r="C121">
        <v>-19179511000</v>
      </c>
      <c r="D121">
        <v>-14996544000</v>
      </c>
      <c r="E121">
        <v>-6788307000</v>
      </c>
      <c r="F121">
        <v>-7077311000</v>
      </c>
      <c r="G121">
        <v>-5394252000</v>
      </c>
      <c r="H121">
        <v>-5197210000</v>
      </c>
      <c r="I121">
        <v>-5556205000</v>
      </c>
      <c r="J121">
        <v>-4969534000</v>
      </c>
      <c r="K121">
        <v>-6986693000</v>
      </c>
      <c r="L121">
        <v>-5290021000</v>
      </c>
      <c r="M121">
        <v>-4328245000</v>
      </c>
      <c r="N121">
        <v>-3815780000</v>
      </c>
      <c r="O121">
        <v>-3096188000</v>
      </c>
      <c r="P121">
        <v>-3314164000</v>
      </c>
      <c r="Q121">
        <v>-2754407000</v>
      </c>
      <c r="R121">
        <v>-2649057000</v>
      </c>
      <c r="S121">
        <v>3465400000</v>
      </c>
      <c r="T121">
        <v>-2716212000</v>
      </c>
      <c r="U121">
        <v>-2144781000</v>
      </c>
    </row>
    <row r="122" spans="1:21" x14ac:dyDescent="0.25">
      <c r="A122" t="s">
        <v>126</v>
      </c>
      <c r="B122">
        <v>-13114909000</v>
      </c>
      <c r="C122">
        <v>-16555031000</v>
      </c>
      <c r="D122">
        <v>-16093591000</v>
      </c>
      <c r="E122">
        <v>-7481356000</v>
      </c>
      <c r="F122">
        <v>-7718099000</v>
      </c>
      <c r="G122">
        <v>-5695621000</v>
      </c>
      <c r="H122">
        <v>-5901969000</v>
      </c>
      <c r="I122">
        <v>-5923908000</v>
      </c>
      <c r="J122">
        <v>-5339402000</v>
      </c>
      <c r="K122">
        <v>-7295498000</v>
      </c>
      <c r="L122">
        <v>-5675454000</v>
      </c>
      <c r="M122">
        <v>-4545912000</v>
      </c>
      <c r="N122">
        <v>-4238730000</v>
      </c>
      <c r="O122">
        <v>-3509643000</v>
      </c>
      <c r="P122">
        <v>-3713564000</v>
      </c>
      <c r="Q122">
        <v>-3109612000</v>
      </c>
      <c r="R122">
        <v>-2957872000</v>
      </c>
      <c r="S122">
        <v>-3813734000</v>
      </c>
      <c r="T122">
        <v>-2962799000</v>
      </c>
      <c r="U122">
        <v>-2315433000</v>
      </c>
    </row>
    <row r="123" spans="1:21" x14ac:dyDescent="0.25">
      <c r="A123" t="s">
        <v>127</v>
      </c>
      <c r="B123">
        <v>-18080529000</v>
      </c>
      <c r="C123">
        <v>-19179511000</v>
      </c>
      <c r="D123">
        <v>-14996544000</v>
      </c>
      <c r="E123">
        <v>-6788307000</v>
      </c>
      <c r="F123">
        <v>-7077311000</v>
      </c>
      <c r="G123">
        <v>-5394252000</v>
      </c>
      <c r="H123">
        <v>-5197210000</v>
      </c>
      <c r="I123">
        <v>-5556205000</v>
      </c>
      <c r="J123">
        <v>-4969534000</v>
      </c>
      <c r="K123">
        <v>-6986693000</v>
      </c>
      <c r="L123">
        <v>-5290021000</v>
      </c>
      <c r="M123">
        <v>-4328245000</v>
      </c>
      <c r="N123">
        <v>-3815780000</v>
      </c>
      <c r="O123">
        <v>-3096188000</v>
      </c>
      <c r="P123">
        <v>-3314164000</v>
      </c>
      <c r="Q123">
        <v>-2754407000</v>
      </c>
      <c r="R123">
        <v>-2649057000</v>
      </c>
      <c r="S123">
        <v>-3465400000</v>
      </c>
      <c r="T123">
        <v>-2716212000</v>
      </c>
      <c r="U123">
        <v>-2144781000</v>
      </c>
    </row>
    <row r="124" spans="1:21" x14ac:dyDescent="0.25">
      <c r="A124" t="s">
        <v>128</v>
      </c>
      <c r="B124">
        <v>19128706000</v>
      </c>
      <c r="C124">
        <v>7914371000</v>
      </c>
      <c r="D124">
        <v>7163370000</v>
      </c>
      <c r="E124">
        <v>3961918000</v>
      </c>
      <c r="F124">
        <v>8702451000</v>
      </c>
      <c r="G124">
        <v>5508277000</v>
      </c>
      <c r="H124">
        <v>248800000</v>
      </c>
      <c r="I124">
        <v>1338394000</v>
      </c>
      <c r="J124">
        <v>7390661000</v>
      </c>
      <c r="K124">
        <v>3900965000</v>
      </c>
      <c r="L124">
        <v>1459253000</v>
      </c>
      <c r="M124">
        <v>702423000</v>
      </c>
      <c r="N124">
        <v>3007664000</v>
      </c>
      <c r="O124">
        <v>1164719000</v>
      </c>
      <c r="P124">
        <v>990853000</v>
      </c>
      <c r="Q124">
        <v>436603000</v>
      </c>
      <c r="R124">
        <v>2176407000</v>
      </c>
      <c r="S124">
        <v>1311486000</v>
      </c>
      <c r="T124">
        <v>831506000</v>
      </c>
      <c r="U124">
        <v>241963000</v>
      </c>
    </row>
    <row r="125" spans="1:21" x14ac:dyDescent="0.25">
      <c r="A125" t="s">
        <v>129</v>
      </c>
      <c r="B125">
        <v>18613943000</v>
      </c>
      <c r="C125">
        <v>10322171000</v>
      </c>
      <c r="D125">
        <v>6505981000</v>
      </c>
      <c r="E125">
        <v>2801779000</v>
      </c>
      <c r="F125">
        <v>8801005000</v>
      </c>
      <c r="G125">
        <v>4710761000</v>
      </c>
      <c r="H125">
        <v>2818577000</v>
      </c>
      <c r="I125">
        <v>1819374000</v>
      </c>
      <c r="J125">
        <v>4194913000</v>
      </c>
      <c r="K125">
        <v>2267706000</v>
      </c>
      <c r="L125">
        <v>909437000</v>
      </c>
      <c r="M125">
        <v>629429000</v>
      </c>
      <c r="N125">
        <v>1959484000</v>
      </c>
      <c r="O125">
        <v>1342707000</v>
      </c>
      <c r="P125">
        <v>888288000</v>
      </c>
      <c r="Q125">
        <v>477960000</v>
      </c>
      <c r="R125">
        <v>1683196000</v>
      </c>
      <c r="S125">
        <v>1272358000</v>
      </c>
      <c r="T125">
        <v>918519000</v>
      </c>
      <c r="U125">
        <v>432265000</v>
      </c>
    </row>
    <row r="126" spans="1:21" x14ac:dyDescent="0.25">
      <c r="A126" t="s">
        <v>130</v>
      </c>
      <c r="B126">
        <v>8555630000</v>
      </c>
      <c r="C126">
        <v>6694896000</v>
      </c>
      <c r="D126">
        <v>4210681000</v>
      </c>
      <c r="E126">
        <v>2110827000</v>
      </c>
      <c r="F126">
        <v>6373485000</v>
      </c>
      <c r="G126">
        <v>1759171000</v>
      </c>
      <c r="H126">
        <v>1214403000</v>
      </c>
      <c r="I126">
        <v>503857000</v>
      </c>
      <c r="J126">
        <v>2755794000</v>
      </c>
      <c r="K126">
        <v>2102274000</v>
      </c>
      <c r="L126">
        <v>1148892000</v>
      </c>
      <c r="M126">
        <v>485806000</v>
      </c>
      <c r="N126">
        <v>2047580000</v>
      </c>
      <c r="O126">
        <v>1318755000</v>
      </c>
      <c r="P126">
        <v>1059962000</v>
      </c>
      <c r="Q126">
        <v>494894000</v>
      </c>
      <c r="R126">
        <v>1718170000</v>
      </c>
      <c r="S126">
        <v>1759171000</v>
      </c>
      <c r="T126">
        <v>753519000</v>
      </c>
      <c r="U126">
        <v>289642000</v>
      </c>
    </row>
    <row r="127" spans="1:21" x14ac:dyDescent="0.25">
      <c r="A127" t="s">
        <v>131</v>
      </c>
      <c r="B127">
        <v>1894948000</v>
      </c>
      <c r="C127">
        <v>1250885000</v>
      </c>
      <c r="D127">
        <v>584235000</v>
      </c>
      <c r="E127">
        <v>294279000</v>
      </c>
      <c r="F127">
        <v>1054264000</v>
      </c>
      <c r="G127">
        <v>772257000</v>
      </c>
      <c r="H127">
        <v>509926000</v>
      </c>
      <c r="I127">
        <v>252357000</v>
      </c>
      <c r="J127">
        <v>916575000</v>
      </c>
      <c r="K127">
        <v>673900000</v>
      </c>
      <c r="L127">
        <v>443599000</v>
      </c>
      <c r="M127">
        <v>218696000</v>
      </c>
      <c r="N127">
        <v>775988000</v>
      </c>
      <c r="O127">
        <v>561709000</v>
      </c>
      <c r="P127">
        <v>360798000</v>
      </c>
      <c r="Q127">
        <v>178053000</v>
      </c>
      <c r="R127">
        <v>569203000</v>
      </c>
      <c r="S127">
        <v>417724000</v>
      </c>
      <c r="T127">
        <v>269910000</v>
      </c>
      <c r="U127">
        <v>128162000</v>
      </c>
    </row>
    <row r="128" spans="1:21" x14ac:dyDescent="0.25">
      <c r="A128" t="s">
        <v>132</v>
      </c>
      <c r="B128">
        <v>2305824000</v>
      </c>
      <c r="C128">
        <v>1350679000</v>
      </c>
      <c r="D128">
        <v>560028000</v>
      </c>
      <c r="E128">
        <v>167043000</v>
      </c>
      <c r="F128">
        <v>799014000</v>
      </c>
      <c r="G128">
        <v>196318000</v>
      </c>
      <c r="H128">
        <v>86187000</v>
      </c>
      <c r="I128">
        <v>-58866000</v>
      </c>
      <c r="J128">
        <v>598423000</v>
      </c>
      <c r="K128">
        <v>301048000</v>
      </c>
      <c r="L128">
        <v>108745000</v>
      </c>
      <c r="M128">
        <v>-8561000</v>
      </c>
      <c r="N128">
        <v>386234000</v>
      </c>
      <c r="O128">
        <v>251728000</v>
      </c>
      <c r="P128">
        <v>163384000</v>
      </c>
      <c r="Q128">
        <v>69251000</v>
      </c>
      <c r="R128">
        <v>154867000</v>
      </c>
      <c r="S128">
        <v>159558000</v>
      </c>
      <c r="T128">
        <v>86111000</v>
      </c>
      <c r="U128">
        <v>-7295000</v>
      </c>
    </row>
    <row r="129" spans="1:21" x14ac:dyDescent="0.25">
      <c r="A129" t="s">
        <v>133</v>
      </c>
      <c r="B129">
        <v>4354858000</v>
      </c>
      <c r="C129">
        <v>4093332000</v>
      </c>
      <c r="D129">
        <v>3066418000</v>
      </c>
      <c r="E129">
        <v>1649505000</v>
      </c>
      <c r="F129">
        <v>4520207000</v>
      </c>
      <c r="G129">
        <v>790596000</v>
      </c>
      <c r="H129">
        <v>618290000</v>
      </c>
      <c r="I129">
        <v>310366000</v>
      </c>
      <c r="J129">
        <v>1240796000</v>
      </c>
      <c r="K129">
        <v>1127326000</v>
      </c>
      <c r="L129">
        <v>596548000</v>
      </c>
      <c r="M129">
        <v>275671000</v>
      </c>
      <c r="N129">
        <v>885358000</v>
      </c>
      <c r="O129">
        <v>505318000</v>
      </c>
      <c r="P129">
        <v>535780000</v>
      </c>
      <c r="Q129">
        <v>247590000</v>
      </c>
      <c r="R129">
        <v>994100000</v>
      </c>
      <c r="S129">
        <v>1181889000</v>
      </c>
      <c r="T129">
        <v>397498000</v>
      </c>
      <c r="U129">
        <v>168775000</v>
      </c>
    </row>
    <row r="130" spans="1:21" x14ac:dyDescent="0.25">
      <c r="A130" t="s">
        <v>134</v>
      </c>
      <c r="B130">
        <v>27169573000</v>
      </c>
      <c r="C130">
        <v>17017067000</v>
      </c>
      <c r="D130">
        <v>10716662000</v>
      </c>
      <c r="E130">
        <v>4912606000</v>
      </c>
      <c r="F130">
        <v>15174490000</v>
      </c>
      <c r="G130">
        <v>6469932000</v>
      </c>
      <c r="H130">
        <v>4032980000</v>
      </c>
      <c r="I130">
        <v>2323231000</v>
      </c>
      <c r="J130">
        <v>6950707000</v>
      </c>
      <c r="K130">
        <v>4369980000</v>
      </c>
      <c r="L130">
        <v>2058329000</v>
      </c>
      <c r="M130">
        <v>1115235000</v>
      </c>
      <c r="N130">
        <v>4007064000</v>
      </c>
      <c r="O130">
        <v>2661462000</v>
      </c>
      <c r="P130">
        <v>1948250000</v>
      </c>
      <c r="Q130">
        <v>972854000</v>
      </c>
      <c r="R130">
        <v>3401366000</v>
      </c>
      <c r="S130">
        <v>3031529000</v>
      </c>
      <c r="T130">
        <v>1672038000</v>
      </c>
      <c r="U130">
        <v>721907000</v>
      </c>
    </row>
    <row r="131" spans="1:21" x14ac:dyDescent="0.25">
      <c r="A131" t="s">
        <v>135</v>
      </c>
      <c r="B131">
        <v>-6413474000</v>
      </c>
      <c r="C131">
        <v>-8077185000</v>
      </c>
      <c r="D131">
        <v>-2969110000</v>
      </c>
      <c r="E131">
        <v>-637294000</v>
      </c>
      <c r="F131">
        <v>-5726339000</v>
      </c>
      <c r="G131">
        <v>-432700000</v>
      </c>
      <c r="H131">
        <v>-3474295000</v>
      </c>
      <c r="I131">
        <v>-778036000</v>
      </c>
      <c r="J131">
        <v>779512000</v>
      </c>
      <c r="K131">
        <v>-244105000</v>
      </c>
      <c r="L131">
        <v>-440587000</v>
      </c>
      <c r="M131">
        <v>-293234000</v>
      </c>
      <c r="N131">
        <v>-434244000</v>
      </c>
      <c r="O131">
        <v>-1067971000</v>
      </c>
      <c r="P131">
        <v>-669613000</v>
      </c>
      <c r="Q131">
        <v>-377049000</v>
      </c>
      <c r="R131">
        <v>-876546000</v>
      </c>
      <c r="S131">
        <v>-1500512000</v>
      </c>
      <c r="T131">
        <v>-704854000</v>
      </c>
      <c r="U131">
        <v>-396268000</v>
      </c>
    </row>
    <row r="132" spans="1:21" x14ac:dyDescent="0.25">
      <c r="A132" t="s">
        <v>136</v>
      </c>
      <c r="B132">
        <v>20756099000</v>
      </c>
      <c r="C132">
        <v>8939882000</v>
      </c>
      <c r="D132">
        <v>7747552000</v>
      </c>
      <c r="E132">
        <v>4275312000</v>
      </c>
      <c r="F132">
        <v>9448151000</v>
      </c>
      <c r="G132">
        <v>6037232000</v>
      </c>
      <c r="H132">
        <v>558685000</v>
      </c>
      <c r="I132">
        <v>1545195000</v>
      </c>
      <c r="J132">
        <v>7730219000</v>
      </c>
      <c r="K132">
        <v>4125875000</v>
      </c>
      <c r="L132">
        <v>1617742000</v>
      </c>
      <c r="M132">
        <v>822001000</v>
      </c>
      <c r="N132">
        <v>3572820000</v>
      </c>
      <c r="O132">
        <v>1593491000</v>
      </c>
      <c r="P132">
        <v>1278637000</v>
      </c>
      <c r="Q132">
        <v>595805000</v>
      </c>
      <c r="R132">
        <v>2524820000</v>
      </c>
      <c r="S132">
        <v>1531017000</v>
      </c>
      <c r="T132">
        <v>967184000</v>
      </c>
      <c r="U132">
        <v>325639000</v>
      </c>
    </row>
    <row r="133" spans="1:21" x14ac:dyDescent="0.25">
      <c r="A133" t="s">
        <v>137</v>
      </c>
      <c r="B133">
        <v>-1627393000</v>
      </c>
      <c r="C133">
        <v>-1025511000</v>
      </c>
      <c r="D133">
        <v>-584182000</v>
      </c>
      <c r="E133">
        <v>-313394000</v>
      </c>
      <c r="F133">
        <v>-745700000</v>
      </c>
      <c r="G133">
        <v>-528955000</v>
      </c>
      <c r="H133">
        <v>-309885000</v>
      </c>
      <c r="I133">
        <v>-206801000</v>
      </c>
      <c r="J133">
        <v>-339558000</v>
      </c>
      <c r="K133">
        <v>-224910000</v>
      </c>
      <c r="L133">
        <v>-158489000</v>
      </c>
      <c r="M133">
        <v>-119578000</v>
      </c>
      <c r="N133">
        <v>-565156000</v>
      </c>
      <c r="O133">
        <v>-428772000</v>
      </c>
      <c r="P133">
        <v>-287784000</v>
      </c>
      <c r="Q133">
        <v>-159202000</v>
      </c>
      <c r="R133">
        <v>-348413000</v>
      </c>
      <c r="S133">
        <v>-219531000</v>
      </c>
      <c r="T133">
        <v>-135678000</v>
      </c>
      <c r="U133">
        <v>-83676000</v>
      </c>
    </row>
    <row r="134" spans="1:21" x14ac:dyDescent="0.25">
      <c r="A134" t="s">
        <v>138</v>
      </c>
      <c r="B134">
        <v>-9632314000</v>
      </c>
      <c r="C134">
        <v>-3720212000</v>
      </c>
      <c r="D134">
        <v>-2582680000</v>
      </c>
      <c r="E134">
        <v>-806782000</v>
      </c>
      <c r="F134">
        <v>-2369028000</v>
      </c>
      <c r="G134">
        <v>-1250873000</v>
      </c>
      <c r="H134">
        <v>-664227000</v>
      </c>
      <c r="I134">
        <v>-258681000</v>
      </c>
      <c r="J134">
        <v>-909252000</v>
      </c>
      <c r="K134">
        <v>-486773000</v>
      </c>
      <c r="L134">
        <v>-359107000</v>
      </c>
      <c r="M134">
        <v>-163325000</v>
      </c>
      <c r="N134">
        <v>-1236359000</v>
      </c>
      <c r="O134">
        <v>-815500000</v>
      </c>
      <c r="P134">
        <v>-597785000</v>
      </c>
      <c r="Q134">
        <v>-258242000</v>
      </c>
      <c r="R134">
        <v>-1079366000</v>
      </c>
      <c r="S134">
        <v>-685087000</v>
      </c>
      <c r="T134">
        <v>-344668000</v>
      </c>
      <c r="U134">
        <v>-148880000</v>
      </c>
    </row>
    <row r="135" spans="1:21" x14ac:dyDescent="0.25">
      <c r="A135" t="s">
        <v>139</v>
      </c>
      <c r="B135">
        <v>-11663543000</v>
      </c>
      <c r="C135">
        <v>-11213132000</v>
      </c>
      <c r="D135">
        <v>-9873488000</v>
      </c>
      <c r="E135">
        <v>-1449826000</v>
      </c>
      <c r="F135">
        <v>-1072457000</v>
      </c>
      <c r="G135">
        <v>-797316000</v>
      </c>
      <c r="H135">
        <v>-329836000</v>
      </c>
      <c r="I135">
        <v>-68812000</v>
      </c>
      <c r="J135">
        <v>-156753000</v>
      </c>
      <c r="K135">
        <v>-67321000</v>
      </c>
      <c r="L135">
        <v>19197000</v>
      </c>
      <c r="M135">
        <v>9935000</v>
      </c>
      <c r="N135">
        <v>187531000</v>
      </c>
      <c r="O135">
        <v>28386000</v>
      </c>
      <c r="P135">
        <v>50183000</v>
      </c>
      <c r="Q135">
        <v>-1295000</v>
      </c>
      <c r="R135">
        <v>-65240000</v>
      </c>
      <c r="S135">
        <v>-100568000</v>
      </c>
      <c r="T135">
        <v>-47253000</v>
      </c>
      <c r="U135">
        <v>-58277000</v>
      </c>
    </row>
    <row r="136" spans="1:21" x14ac:dyDescent="0.25">
      <c r="A136" t="s">
        <v>140</v>
      </c>
      <c r="B136">
        <v>-21295857000</v>
      </c>
      <c r="C136">
        <v>-14933344000</v>
      </c>
      <c r="D136">
        <v>-12456168000</v>
      </c>
      <c r="E136">
        <v>-2256608000</v>
      </c>
      <c r="F136">
        <v>-3441485000</v>
      </c>
      <c r="G136">
        <v>-2048189000</v>
      </c>
      <c r="H136">
        <v>-994063000</v>
      </c>
      <c r="I136">
        <v>-327493000</v>
      </c>
      <c r="J136">
        <v>-1066005000</v>
      </c>
      <c r="K136">
        <v>-554094000</v>
      </c>
      <c r="L136">
        <v>-339910000</v>
      </c>
      <c r="M136">
        <v>-153390000</v>
      </c>
      <c r="N136">
        <v>-1048828000</v>
      </c>
      <c r="O136">
        <v>-787114000</v>
      </c>
      <c r="P136">
        <v>-547602000</v>
      </c>
      <c r="Q136">
        <v>-259537000</v>
      </c>
      <c r="R136">
        <v>-1144606000</v>
      </c>
      <c r="S136">
        <v>-785655000</v>
      </c>
      <c r="T136">
        <v>-391921000</v>
      </c>
      <c r="U136">
        <v>-207157000</v>
      </c>
    </row>
    <row r="137" spans="1:21" x14ac:dyDescent="0.25">
      <c r="A137" t="s">
        <v>141</v>
      </c>
      <c r="B137">
        <v>-2167151000</v>
      </c>
      <c r="C137">
        <v>-7018973000</v>
      </c>
      <c r="D137">
        <v>-5292798000</v>
      </c>
      <c r="E137">
        <v>1705310000</v>
      </c>
      <c r="F137">
        <v>5260966000</v>
      </c>
      <c r="G137">
        <v>3460088000</v>
      </c>
      <c r="H137">
        <v>-745263000</v>
      </c>
      <c r="I137">
        <v>1010901000</v>
      </c>
      <c r="J137">
        <v>6324656000</v>
      </c>
      <c r="K137">
        <v>3346871000</v>
      </c>
      <c r="L137">
        <v>1119343000</v>
      </c>
      <c r="M137">
        <v>549033000</v>
      </c>
      <c r="N137">
        <v>1958836000</v>
      </c>
      <c r="O137">
        <v>377605000</v>
      </c>
      <c r="P137">
        <v>443251000</v>
      </c>
      <c r="Q137">
        <v>177066000</v>
      </c>
      <c r="R137">
        <v>1031801000</v>
      </c>
      <c r="S137">
        <v>525831000</v>
      </c>
      <c r="T137">
        <v>439585000</v>
      </c>
      <c r="U137">
        <v>34806000</v>
      </c>
    </row>
    <row r="138" spans="1:21" x14ac:dyDescent="0.25">
      <c r="A138" t="s">
        <v>142</v>
      </c>
      <c r="B138">
        <v>4718730000</v>
      </c>
      <c r="C138">
        <v>4436469000</v>
      </c>
      <c r="D138">
        <v>9147944000</v>
      </c>
      <c r="E138">
        <v>3669604000</v>
      </c>
      <c r="F138">
        <v>3562802000</v>
      </c>
      <c r="G138">
        <v>3633647000</v>
      </c>
      <c r="H138">
        <v>-466182000</v>
      </c>
      <c r="I138">
        <v>2122325000</v>
      </c>
      <c r="J138">
        <v>-516526000</v>
      </c>
      <c r="K138">
        <v>1301325000</v>
      </c>
      <c r="L138">
        <v>1959962000</v>
      </c>
      <c r="M138">
        <v>992501000</v>
      </c>
      <c r="N138">
        <v>1117540000</v>
      </c>
      <c r="O138">
        <v>838022000</v>
      </c>
      <c r="P138">
        <v>930741000</v>
      </c>
      <c r="Q138">
        <v>522365000</v>
      </c>
      <c r="R138">
        <v>-292287000</v>
      </c>
      <c r="S138">
        <v>-162292000</v>
      </c>
      <c r="T138">
        <v>-163888000</v>
      </c>
      <c r="U138">
        <v>189591000</v>
      </c>
    </row>
    <row r="139" spans="1:21" x14ac:dyDescent="0.25">
      <c r="A139" t="s">
        <v>143</v>
      </c>
      <c r="B139">
        <v>-6562017000</v>
      </c>
      <c r="C139">
        <v>-4561830000</v>
      </c>
      <c r="D139">
        <v>-4561830000</v>
      </c>
      <c r="E139">
        <v>-4561830000</v>
      </c>
      <c r="F139">
        <v>-3575773000</v>
      </c>
      <c r="G139">
        <v>-2252842000</v>
      </c>
      <c r="H139">
        <v>-2252842000</v>
      </c>
      <c r="I139">
        <v>-2252842000</v>
      </c>
      <c r="J139">
        <v>-1094839000</v>
      </c>
      <c r="K139">
        <v>-1094839000</v>
      </c>
      <c r="L139">
        <v>-1094839000</v>
      </c>
      <c r="M139">
        <v>-1094839000</v>
      </c>
      <c r="N139">
        <v>-1284331000</v>
      </c>
      <c r="O139">
        <v>-852711000</v>
      </c>
      <c r="P139">
        <v>-852711000</v>
      </c>
      <c r="Q139">
        <v>0</v>
      </c>
      <c r="R139">
        <v>-1203622000</v>
      </c>
      <c r="S139">
        <v>-800075000</v>
      </c>
      <c r="T139">
        <v>-800075000</v>
      </c>
      <c r="U139">
        <v>0</v>
      </c>
    </row>
    <row r="140" spans="1:21" x14ac:dyDescent="0.25">
      <c r="A140" t="s">
        <v>144</v>
      </c>
      <c r="B140">
        <v>0</v>
      </c>
      <c r="C140">
        <v>0</v>
      </c>
      <c r="D140">
        <v>0</v>
      </c>
      <c r="E140">
        <v>0</v>
      </c>
      <c r="F140">
        <v>0</v>
      </c>
      <c r="G140">
        <v>0</v>
      </c>
      <c r="H140">
        <v>0</v>
      </c>
      <c r="I140">
        <v>0</v>
      </c>
      <c r="J140">
        <v>0</v>
      </c>
      <c r="K140">
        <v>0</v>
      </c>
      <c r="L140">
        <v>0</v>
      </c>
      <c r="M140">
        <v>0</v>
      </c>
      <c r="N140">
        <v>0</v>
      </c>
      <c r="O140">
        <v>0</v>
      </c>
      <c r="P140">
        <v>0</v>
      </c>
      <c r="Q140">
        <v>0</v>
      </c>
      <c r="R140">
        <v>0</v>
      </c>
      <c r="S140">
        <v>0</v>
      </c>
      <c r="T140">
        <v>0</v>
      </c>
      <c r="U140">
        <v>0</v>
      </c>
    </row>
    <row r="141" spans="1:21" x14ac:dyDescent="0.25">
      <c r="A141" t="s">
        <v>145</v>
      </c>
      <c r="B141">
        <v>-146192000</v>
      </c>
      <c r="C141">
        <v>97727000</v>
      </c>
      <c r="D141">
        <v>135100000</v>
      </c>
      <c r="E141">
        <v>250210000</v>
      </c>
      <c r="F141">
        <v>784616000</v>
      </c>
      <c r="G141">
        <v>614506000</v>
      </c>
      <c r="H141">
        <v>399147000</v>
      </c>
      <c r="I141">
        <v>237919000</v>
      </c>
      <c r="J141">
        <v>160109000</v>
      </c>
      <c r="K141">
        <v>43333000</v>
      </c>
      <c r="L141">
        <v>3100000</v>
      </c>
      <c r="M141">
        <v>24838000</v>
      </c>
      <c r="N141">
        <v>17163000</v>
      </c>
      <c r="O141">
        <v>9251000</v>
      </c>
      <c r="P141">
        <v>4131000</v>
      </c>
      <c r="Q141">
        <v>10453000</v>
      </c>
      <c r="R141">
        <v>52212000</v>
      </c>
      <c r="S141">
        <v>11427000</v>
      </c>
      <c r="T141">
        <v>6070000</v>
      </c>
      <c r="U141">
        <v>10952000</v>
      </c>
    </row>
    <row r="142" spans="1:21" x14ac:dyDescent="0.25">
      <c r="A142" t="s">
        <v>146</v>
      </c>
      <c r="B142">
        <v>-1989479000</v>
      </c>
      <c r="C142">
        <v>-27634000</v>
      </c>
      <c r="D142">
        <v>4721214000</v>
      </c>
      <c r="E142">
        <v>-642016000</v>
      </c>
      <c r="F142">
        <v>771645000</v>
      </c>
      <c r="G142">
        <v>1995311000</v>
      </c>
      <c r="H142">
        <v>-2319877000</v>
      </c>
      <c r="I142">
        <v>107402000</v>
      </c>
      <c r="J142">
        <v>-1451256000</v>
      </c>
      <c r="K142">
        <v>249819000</v>
      </c>
      <c r="L142">
        <v>868223000</v>
      </c>
      <c r="M142">
        <v>-77500000</v>
      </c>
      <c r="N142">
        <v>-149628000</v>
      </c>
      <c r="O142">
        <v>-5438000</v>
      </c>
      <c r="P142">
        <v>82161000</v>
      </c>
      <c r="Q142">
        <v>532818000</v>
      </c>
      <c r="R142">
        <v>-1443697000</v>
      </c>
      <c r="S142">
        <v>-950940000</v>
      </c>
      <c r="T142">
        <v>-957893000</v>
      </c>
      <c r="U142">
        <v>200543000</v>
      </c>
    </row>
    <row r="143" spans="1:21" x14ac:dyDescent="0.25">
      <c r="A143" t="s">
        <v>147</v>
      </c>
      <c r="B143">
        <v>-4156630000</v>
      </c>
      <c r="C143">
        <v>-7046607000</v>
      </c>
      <c r="D143">
        <v>-571584000</v>
      </c>
      <c r="E143">
        <v>1063294000</v>
      </c>
      <c r="F143">
        <v>6032611000</v>
      </c>
      <c r="G143">
        <v>5455399000</v>
      </c>
      <c r="H143">
        <v>-3065140000</v>
      </c>
      <c r="I143">
        <v>1118303000</v>
      </c>
      <c r="J143">
        <v>4873400000</v>
      </c>
      <c r="K143">
        <v>3596690000</v>
      </c>
      <c r="L143">
        <v>1987566000</v>
      </c>
      <c r="M143">
        <v>471533000</v>
      </c>
      <c r="N143">
        <v>1809208000</v>
      </c>
      <c r="O143">
        <v>372167000</v>
      </c>
      <c r="P143">
        <v>525412000</v>
      </c>
      <c r="Q143">
        <v>709884000</v>
      </c>
      <c r="R143">
        <v>-411896000</v>
      </c>
      <c r="S143">
        <v>-425109000</v>
      </c>
      <c r="T143">
        <v>-518308000</v>
      </c>
      <c r="U143">
        <v>235349000</v>
      </c>
    </row>
    <row r="144" spans="1:21" x14ac:dyDescent="0.25">
      <c r="A144" t="s">
        <v>148</v>
      </c>
      <c r="B144">
        <v>160012000</v>
      </c>
      <c r="C144">
        <v>189416000</v>
      </c>
      <c r="D144">
        <v>0</v>
      </c>
      <c r="E144">
        <v>0</v>
      </c>
      <c r="F144">
        <v>0</v>
      </c>
      <c r="G144">
        <v>0</v>
      </c>
      <c r="H144">
        <v>0</v>
      </c>
      <c r="I144">
        <v>0</v>
      </c>
      <c r="J144">
        <v>0</v>
      </c>
      <c r="K144">
        <v>0</v>
      </c>
      <c r="L144">
        <v>0</v>
      </c>
      <c r="M144">
        <v>0</v>
      </c>
      <c r="N144">
        <v>0</v>
      </c>
      <c r="O144">
        <v>0</v>
      </c>
      <c r="P144">
        <v>0</v>
      </c>
      <c r="Q144">
        <v>0</v>
      </c>
      <c r="R144">
        <v>0</v>
      </c>
      <c r="S144">
        <v>0</v>
      </c>
      <c r="T144">
        <v>0</v>
      </c>
      <c r="U144">
        <v>0</v>
      </c>
    </row>
    <row r="145" spans="1:21" x14ac:dyDescent="0.25">
      <c r="A145" t="s">
        <v>149</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row>
    <row r="146" spans="1:21" x14ac:dyDescent="0.25">
      <c r="A146" t="s">
        <v>150</v>
      </c>
      <c r="B146">
        <v>-3996618000</v>
      </c>
      <c r="C146">
        <v>-6857191000</v>
      </c>
      <c r="D146">
        <v>-571584000</v>
      </c>
      <c r="E146">
        <v>1063294000</v>
      </c>
      <c r="F146">
        <v>6032611000</v>
      </c>
      <c r="G146">
        <v>5455399000</v>
      </c>
      <c r="H146">
        <v>-3065140000</v>
      </c>
      <c r="I146">
        <v>1118303000</v>
      </c>
      <c r="J146">
        <v>4873400000</v>
      </c>
      <c r="K146">
        <v>3596690000</v>
      </c>
      <c r="L146">
        <v>1987566000</v>
      </c>
      <c r="M146">
        <v>471533000</v>
      </c>
      <c r="N146">
        <v>1809208000</v>
      </c>
      <c r="O146">
        <v>372167000</v>
      </c>
      <c r="P146">
        <v>525412000</v>
      </c>
      <c r="Q146">
        <v>709884000</v>
      </c>
      <c r="R146">
        <v>-411896000</v>
      </c>
      <c r="S146">
        <v>-425109000</v>
      </c>
      <c r="T146">
        <v>-518308000</v>
      </c>
      <c r="U146">
        <v>235349000</v>
      </c>
    </row>
    <row r="147" spans="1:21" x14ac:dyDescent="0.25">
      <c r="A147" t="s">
        <v>151</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row>
    <row r="148" spans="1:21" x14ac:dyDescent="0.25">
      <c r="A148" t="s">
        <v>152</v>
      </c>
      <c r="B148">
        <v>14106240000</v>
      </c>
      <c r="C148">
        <v>14106240000</v>
      </c>
      <c r="D148">
        <v>14106240000</v>
      </c>
      <c r="E148">
        <v>14106240000</v>
      </c>
      <c r="F148">
        <v>8073629000</v>
      </c>
      <c r="G148">
        <v>8073629000</v>
      </c>
      <c r="H148">
        <v>8073629000</v>
      </c>
      <c r="I148">
        <v>8073629000</v>
      </c>
      <c r="J148">
        <v>3200229000</v>
      </c>
      <c r="K148">
        <v>3200229000</v>
      </c>
      <c r="L148">
        <v>3200229000</v>
      </c>
      <c r="M148">
        <v>3200229000</v>
      </c>
      <c r="N148">
        <v>1391021000</v>
      </c>
      <c r="O148">
        <v>1391021000</v>
      </c>
      <c r="P148">
        <v>1391021000</v>
      </c>
      <c r="Q148">
        <v>1391021000</v>
      </c>
      <c r="R148">
        <v>1802917000</v>
      </c>
      <c r="S148">
        <v>1802917000</v>
      </c>
      <c r="T148">
        <v>1802917000</v>
      </c>
      <c r="U148">
        <v>1802917000</v>
      </c>
    </row>
    <row r="149" spans="1:21" x14ac:dyDescent="0.25">
      <c r="A149" t="s">
        <v>153</v>
      </c>
      <c r="B149">
        <v>10109622000</v>
      </c>
      <c r="C149">
        <v>7249049000</v>
      </c>
      <c r="D149">
        <v>13534656000</v>
      </c>
      <c r="E149">
        <v>15169534000</v>
      </c>
      <c r="F149">
        <v>14106240000</v>
      </c>
      <c r="G149">
        <v>13529028000</v>
      </c>
      <c r="H149">
        <v>5008489000</v>
      </c>
      <c r="I149">
        <v>9191932000</v>
      </c>
      <c r="J149">
        <v>8073629000</v>
      </c>
      <c r="K149">
        <v>6796919000</v>
      </c>
      <c r="L149">
        <v>5187795000</v>
      </c>
      <c r="M149">
        <v>3671762000</v>
      </c>
      <c r="N149">
        <v>3200229000</v>
      </c>
      <c r="O149">
        <v>1763188000</v>
      </c>
      <c r="P149">
        <v>1916433000</v>
      </c>
      <c r="Q149">
        <v>2100905000</v>
      </c>
      <c r="R149">
        <v>1391021000</v>
      </c>
      <c r="S149">
        <v>1377808000</v>
      </c>
      <c r="T149">
        <v>1284609000</v>
      </c>
      <c r="U149">
        <v>2038266000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E5FB1-BB44-46A1-BE86-7A651E2D773B}">
  <dimension ref="A6:R106"/>
  <sheetViews>
    <sheetView topLeftCell="A94" zoomScale="70" zoomScaleNormal="70" workbookViewId="0">
      <selection activeCell="M24" sqref="M24"/>
    </sheetView>
  </sheetViews>
  <sheetFormatPr defaultRowHeight="15" x14ac:dyDescent="0.25"/>
  <cols>
    <col min="1" max="1" width="36.5703125" bestFit="1" customWidth="1"/>
    <col min="2" max="14" width="14.5703125" bestFit="1" customWidth="1"/>
    <col min="15" max="17" width="15.7109375" bestFit="1" customWidth="1"/>
  </cols>
  <sheetData>
    <row r="6" spans="1:18" x14ac:dyDescent="0.25">
      <c r="B6" s="48" t="s">
        <v>226</v>
      </c>
      <c r="C6" s="48"/>
      <c r="D6" s="48"/>
      <c r="E6" s="48"/>
      <c r="F6" s="48"/>
      <c r="G6" s="48"/>
      <c r="H6" s="48"/>
      <c r="I6" s="48"/>
      <c r="J6" s="48"/>
      <c r="K6" s="48"/>
      <c r="L6" s="48"/>
      <c r="M6" s="48"/>
      <c r="N6" s="48"/>
      <c r="O6" s="48"/>
      <c r="P6" s="48"/>
      <c r="Q6" s="48"/>
    </row>
    <row r="7" spans="1:18" x14ac:dyDescent="0.25">
      <c r="B7" s="2" t="str">
        <f>INDEX(Froto!$B$1:$Q$1,COLUMNS(Froto!B$1:$Q1))</f>
        <v>2019/3</v>
      </c>
      <c r="C7" s="2" t="str">
        <f>INDEX(Froto!$B$1:$Q$1,COLUMNS(Froto!C$1:$Q1))</f>
        <v>2019/6</v>
      </c>
      <c r="D7" s="2" t="str">
        <f>INDEX(Froto!$B$1:$Q$1,COLUMNS(Froto!D$1:$Q1))</f>
        <v>2019/9</v>
      </c>
      <c r="E7" s="2" t="str">
        <f>INDEX(Froto!$B$1:$Q$1,COLUMNS(Froto!E$1:$Q1))</f>
        <v>2019/12</v>
      </c>
      <c r="F7" s="2" t="str">
        <f>INDEX(Froto!$B$1:$Q$1,COLUMNS(Froto!F$1:$Q1))</f>
        <v>2020/3</v>
      </c>
      <c r="G7" s="2" t="str">
        <f>INDEX(Froto!$B$1:$Q$1,COLUMNS(Froto!G$1:$Q1))</f>
        <v>2020/6</v>
      </c>
      <c r="H7" s="2" t="str">
        <f>INDEX(Froto!$B$1:$Q$1,COLUMNS(Froto!H$1:$Q1))</f>
        <v>2020/9</v>
      </c>
      <c r="I7" s="2" t="str">
        <f>INDEX(Froto!$B$1:$Q$1,COLUMNS(Froto!I$1:$Q1))</f>
        <v>2020/12</v>
      </c>
      <c r="J7" s="2" t="str">
        <f>INDEX(Froto!$B$1:$Q$1,COLUMNS(Froto!J$1:$Q1))</f>
        <v>2021/3</v>
      </c>
      <c r="K7" s="2" t="str">
        <f>INDEX(Froto!$B$1:$Q$1,COLUMNS(Froto!K$1:$Q1))</f>
        <v>2021/6</v>
      </c>
      <c r="L7" s="2" t="str">
        <f>INDEX(Froto!$B$1:$Q$1,COLUMNS(Froto!L$1:$Q1))</f>
        <v>2021/9</v>
      </c>
      <c r="M7" s="2" t="str">
        <f>INDEX(Froto!$B$1:$Q$1,COLUMNS(Froto!M$1:$Q1))</f>
        <v>2021/12</v>
      </c>
      <c r="N7" s="2" t="str">
        <f>INDEX(Froto!$B$1:$Q$1,COLUMNS(Froto!N$1:$Q1))</f>
        <v>2022/3</v>
      </c>
      <c r="O7" s="2" t="str">
        <f>INDEX(Froto!$B$1:$Q$1,COLUMNS(Froto!O$1:$Q1))</f>
        <v>2022/6</v>
      </c>
      <c r="P7" s="2" t="str">
        <f>INDEX(Froto!$B$1:$Q$1,COLUMNS(Froto!P$1:$Q1))</f>
        <v>2022/9</v>
      </c>
      <c r="Q7" s="2" t="str">
        <f>INDEX(Froto!$B$1:$Q$1,COLUMNS(Froto!Q$1:$Q1))</f>
        <v>2022/12</v>
      </c>
    </row>
    <row r="8" spans="1:18" x14ac:dyDescent="0.25">
      <c r="A8" t="s">
        <v>78</v>
      </c>
      <c r="B8" s="6">
        <f>HLOOKUP(B7,'Yıllıklandırılmış Veriler'!$B$1:$R$74,74,0)</f>
        <v>35294072000</v>
      </c>
      <c r="C8" s="6">
        <f>HLOOKUP(C7,'Yıllıklandırılmış Veriler'!$B$1:$R$74,74,0)</f>
        <v>36228894000</v>
      </c>
      <c r="D8" s="6">
        <f>HLOOKUP(D7,'Yıllıklandırılmış Veriler'!$B$1:$R$74,74,0)</f>
        <v>37754372000</v>
      </c>
      <c r="E8" s="6">
        <f>HLOOKUP(E7,'Yıllıklandırılmış Veriler'!$B$1:$R$74,74,0)</f>
        <v>39209019000</v>
      </c>
      <c r="F8" s="6">
        <f>HLOOKUP(F7,'Yıllıklandırılmış Veriler'!$B$1:$R$74,74,0)</f>
        <v>39291576000</v>
      </c>
      <c r="G8" s="6">
        <f>HLOOKUP(G7,'Yıllıklandırılmış Veriler'!$B$1:$R$74,74,0)</f>
        <v>35893712000</v>
      </c>
      <c r="H8" s="6">
        <f>HLOOKUP(H7,'Yıllıklandırılmış Veriler'!$B$1:$R$74,74,0)</f>
        <v>39992483000</v>
      </c>
      <c r="I8" s="6">
        <f>HLOOKUP(I7,'Yıllıklandırılmış Veriler'!$B$1:$R$74,74,0)</f>
        <v>49451407000</v>
      </c>
      <c r="J8" s="6">
        <f>HLOOKUP(J7,'Yıllıklandırılmış Veriler'!$B$1:$R$74,74,0)</f>
        <v>56338940000</v>
      </c>
      <c r="K8" s="6">
        <f>HLOOKUP(K7,'Yıllıklandırılmış Veriler'!$B$1:$R$74,74,0)</f>
        <v>61144236000</v>
      </c>
      <c r="L8" s="6">
        <f>HLOOKUP(L7,'Yıllıklandırılmış Veriler'!$B$1:$R$74,74,0)</f>
        <v>66618707000</v>
      </c>
      <c r="M8" s="6">
        <f>HLOOKUP(M7,'Yıllıklandırılmış Veriler'!$B$1:$R$74,74,0)</f>
        <v>71101258000</v>
      </c>
      <c r="N8" s="6">
        <f>HLOOKUP(N7,'Yıllıklandırılmış Veriler'!$B$1:$R$74,74,0)</f>
        <v>82723541000</v>
      </c>
      <c r="O8" s="6">
        <f>HLOOKUP(O7,'Yıllıklandırılmış Veriler'!$B$1:$R$74,74,0)</f>
        <v>105044600000</v>
      </c>
      <c r="P8" s="6">
        <f>HLOOKUP(P7,'Yıllıklandırılmış Veriler'!$B$1:$R$74,74,0)</f>
        <v>136301246000</v>
      </c>
      <c r="Q8" s="6">
        <f>HLOOKUP(Q7,'Yıllıklandırılmış Veriler'!$B$1:$R$74,74,0)</f>
        <v>171796902000</v>
      </c>
    </row>
    <row r="9" spans="1:18" x14ac:dyDescent="0.25">
      <c r="A9" t="s">
        <v>227</v>
      </c>
      <c r="B9" s="6">
        <f>HLOOKUP(B7,'Yıllıklandırılmış Veriler'!$B$1:$R$83,83,0)</f>
        <v>3645022000</v>
      </c>
      <c r="C9" s="6">
        <f>HLOOKUP(C7,'Yıllıklandırılmış Veriler'!$B$1:$R$83,83,0)</f>
        <v>3694837000</v>
      </c>
      <c r="D9" s="6">
        <f>HLOOKUP(D7,'Yıllıklandırılmış Veriler'!$B$1:$R$83,83,0)</f>
        <v>3822514000</v>
      </c>
      <c r="E9" s="6">
        <f>HLOOKUP(E7,'Yıllıklandırılmış Veriler'!$B$1:$R$83,83,0)</f>
        <v>4015217000</v>
      </c>
      <c r="F9" s="6">
        <f>HLOOKUP(F7,'Yıllıklandırılmış Veriler'!$B$1:$R$83,83,0)</f>
        <v>4142962000</v>
      </c>
      <c r="G9" s="6">
        <f>HLOOKUP(G7,'Yıllıklandırılmış Veriler'!$B$1:$R$83,83,0)</f>
        <v>3850725000</v>
      </c>
      <c r="H9" s="6">
        <f>HLOOKUP(H7,'Yıllıklandırılmış Veriler'!$B$1:$R$83,83,0)</f>
        <v>4549706000</v>
      </c>
      <c r="I9" s="6">
        <f>HLOOKUP(I7,'Yıllıklandırılmış Veriler'!$B$1:$R$83,83,0)</f>
        <v>6186529000</v>
      </c>
      <c r="J9" s="6">
        <f>HLOOKUP(J7,'Yıllıklandırılmış Veriler'!$B$1:$R$83,83,0)</f>
        <v>7183085000</v>
      </c>
      <c r="K9" s="6">
        <f>HLOOKUP(K7,'Yıllıklandırılmış Veriler'!$B$1:$R$83,83,0)</f>
        <v>8021441000</v>
      </c>
      <c r="L9" s="6">
        <f>HLOOKUP(L7,'Yıllıklandırılmış Veriler'!$B$1:$R$83,83,0)</f>
        <v>8691713000</v>
      </c>
      <c r="M9" s="6">
        <f>HLOOKUP(M7,'Yıllıklandırılmış Veriler'!$B$1:$R$83,83,0)</f>
        <v>11154160000</v>
      </c>
      <c r="N9" s="6">
        <f>HLOOKUP(N7,'Yıllıklandırılmış Veriler'!$B$1:$R$83,83,0)</f>
        <v>12805201000</v>
      </c>
      <c r="O9" s="6">
        <f>HLOOKUP(O7,'Yıllıklandırılmış Veriler'!$B$1:$R$83,83,0)</f>
        <v>16441285000</v>
      </c>
      <c r="P9" s="6">
        <f>HLOOKUP(P7,'Yıllıklandırılmış Veriler'!$B$1:$R$83,83,0)</f>
        <v>19809368000</v>
      </c>
      <c r="Q9" s="6">
        <f>HLOOKUP(Q7,'Yıllıklandırılmış Veriler'!$B$1:$R$83,83,0)</f>
        <v>23941244000</v>
      </c>
    </row>
    <row r="10" spans="1:18" x14ac:dyDescent="0.25">
      <c r="A10" t="s">
        <v>228</v>
      </c>
      <c r="B10" s="6">
        <f>HLOOKUP(B7,'Yıllıklandırılmış Veriler'!$B$1:$R$90,90,0)</f>
        <v>2374768000</v>
      </c>
      <c r="C10" s="6">
        <f>HLOOKUP(C7,'Yıllıklandırılmış Veriler'!$B$1:$R$90,90,0)</f>
        <v>2361049000</v>
      </c>
      <c r="D10" s="6">
        <f>HLOOKUP(D7,'Yıllıklandırılmış Veriler'!$B$1:$R$90,90,0)</f>
        <v>1991919000</v>
      </c>
      <c r="E10" s="6">
        <f>HLOOKUP(E7,'Yıllıklandırılmış Veriler'!$B$1:$R$90,90,0)</f>
        <v>2422028000</v>
      </c>
      <c r="F10" s="6">
        <f>HLOOKUP(F7,'Yıllıklandırılmış Veriler'!$B$1:$R$90,90,0)</f>
        <v>2612427000</v>
      </c>
      <c r="G10" s="6">
        <f>HLOOKUP(G7,'Yıllıklandırılmış Veriler'!$B$1:$R$90,90,0)</f>
        <v>2471823000</v>
      </c>
      <c r="H10" s="6">
        <f>HLOOKUP(H7,'Yıllıklandırılmış Veriler'!$B$1:$R$90,90,0)</f>
        <v>3608345000</v>
      </c>
      <c r="I10" s="6">
        <f>HLOOKUP(I7,'Yıllıklandırılmış Veriler'!$B$1:$R$90,90,0)</f>
        <v>4805661000</v>
      </c>
      <c r="J10" s="6">
        <f>HLOOKUP(J7,'Yıllıklandırılmış Veriler'!$B$1:$R$90,90,0)</f>
        <v>5732661000</v>
      </c>
      <c r="K10" s="6">
        <f>HLOOKUP(K7,'Yıllıklandırılmış Veriler'!$B$1:$R$90,90,0)</f>
        <v>6343383000</v>
      </c>
      <c r="L10" s="6">
        <f>HLOOKUP(L7,'Yıllıklandırılmış Veriler'!$B$1:$R$90,90,0)</f>
        <v>6633794000</v>
      </c>
      <c r="M10" s="6">
        <f>HLOOKUP(M7,'Yıllıklandırılmış Veriler'!$B$1:$R$90,90,0)</f>
        <v>9437743000</v>
      </c>
      <c r="N10" s="6">
        <f>HLOOKUP(N7,'Yıllıklandırılmış Veriler'!$B$1:$R$90,90,0)</f>
        <v>10839869000</v>
      </c>
      <c r="O10" s="6">
        <f>HLOOKUP(O7,'Yıllıklandırılmış Veriler'!$B$1:$R$90,90,0)</f>
        <v>13804713000</v>
      </c>
      <c r="P10" s="6">
        <f>HLOOKUP(P7,'Yıllıklandırılmış Veriler'!$B$1:$R$90,90,0)</f>
        <v>16264115000</v>
      </c>
      <c r="Q10" s="6">
        <f>HLOOKUP(Q7,'Yıllıklandırılmış Veriler'!$B$1:$R$90,90,0)</f>
        <v>19140343000</v>
      </c>
    </row>
    <row r="11" spans="1:18" x14ac:dyDescent="0.25">
      <c r="A11" t="s">
        <v>229</v>
      </c>
      <c r="B11" s="6">
        <f>HLOOKUP(B7,'Yıllıklandırılmış Veriler'!$B$1:$R$105,105,0)</f>
        <v>1728891000</v>
      </c>
      <c r="C11" s="6">
        <f>HLOOKUP(C7,'Yıllıklandırılmış Veriler'!$B$1:$R$105,105,0)</f>
        <v>1652965000</v>
      </c>
      <c r="D11" s="6">
        <f>HLOOKUP(D7,'Yıllıklandırılmış Veriler'!$B$1:$R$105,105,0)</f>
        <v>1753545000</v>
      </c>
      <c r="E11" s="6">
        <f>HLOOKUP(E7,'Yıllıklandırılmış Veriler'!$B$1:$R$105,105,0)</f>
        <v>1959484000</v>
      </c>
      <c r="F11" s="6">
        <f>HLOOKUP(F7,'Yıllıklandırılmış Veriler'!$B$1:$R$105,105,0)</f>
        <v>2110953000</v>
      </c>
      <c r="G11" s="6">
        <f>HLOOKUP(G7,'Yıllıklandırılmış Veriler'!$B$1:$R$105,105,0)</f>
        <v>1980633000</v>
      </c>
      <c r="H11" s="6">
        <f>HLOOKUP(H7,'Yıllıklandırılmış Veriler'!$B$1:$R$105,105,0)</f>
        <v>2884483000</v>
      </c>
      <c r="I11" s="6">
        <f>HLOOKUP(I7,'Yıllıklandırılmış Veriler'!$B$1:$R$105,105,0)</f>
        <v>4194913000</v>
      </c>
      <c r="J11" s="6">
        <f>HLOOKUP(J7,'Yıllıklandırılmış Veriler'!$B$1:$R$105,105,0)</f>
        <v>5384858000</v>
      </c>
      <c r="K11" s="6">
        <f>HLOOKUP(K7,'Yıllıklandırılmış Veriler'!$B$1:$R$105,105,0)</f>
        <v>6104053000</v>
      </c>
      <c r="L11" s="6">
        <f>HLOOKUP(L7,'Yıllıklandırılmış Veriler'!$B$1:$R$105,105,0)</f>
        <v>6637968000</v>
      </c>
      <c r="M11" s="6">
        <f>HLOOKUP(M7,'Yıllıklandırılmış Veriler'!$B$1:$R$105,105,0)</f>
        <v>8801005000</v>
      </c>
      <c r="N11" s="6">
        <f>HLOOKUP(N7,'Yıllıklandırılmış Veriler'!$B$1:$R$105,105,0)</f>
        <v>9783410000</v>
      </c>
      <c r="O11" s="6">
        <f>HLOOKUP(O7,'Yıllıklandırılmış Veriler'!$B$1:$R$105,105,0)</f>
        <v>12488409000</v>
      </c>
      <c r="P11" s="6">
        <f>HLOOKUP(P7,'Yıllıklandırılmış Veriler'!$B$1:$R$105,105,0)</f>
        <v>14412415000</v>
      </c>
      <c r="Q11" s="6">
        <f>HLOOKUP(Q7,'Yıllıklandırılmış Veriler'!$B$1:$R$105,105,0)</f>
        <v>18613943000</v>
      </c>
    </row>
    <row r="12" spans="1:18" x14ac:dyDescent="0.25">
      <c r="A12" t="s">
        <v>230</v>
      </c>
      <c r="B12" s="6">
        <f>HLOOKUP(B7,'Yıllıklandırılmış Veriler'!$B$1:$R$108,108,0)</f>
        <v>1728891000</v>
      </c>
      <c r="C12" s="6">
        <f>HLOOKUP(C7,'Yıllıklandırılmış Veriler'!$B$1:$R$108,108,0)</f>
        <v>1652965000</v>
      </c>
      <c r="D12" s="6">
        <f>HLOOKUP(D7,'Yıllıklandırılmış Veriler'!$B$1:$R$108,108,0)</f>
        <v>1753545000</v>
      </c>
      <c r="E12" s="6">
        <f>HLOOKUP(E7,'Yıllıklandırılmış Veriler'!$B$1:$R$108,108,0)</f>
        <v>1959484000</v>
      </c>
      <c r="F12" s="6">
        <f>HLOOKUP(F7,'Yıllıklandırılmış Veriler'!$B$1:$R$108,108,0)</f>
        <v>2110953000</v>
      </c>
      <c r="G12" s="6">
        <f>HLOOKUP(G7,'Yıllıklandırılmış Veriler'!$B$1:$R$108,108,0)</f>
        <v>1980633000</v>
      </c>
      <c r="H12" s="6">
        <f>HLOOKUP(H7,'Yıllıklandırılmış Veriler'!$B$1:$R$108,108,0)</f>
        <v>2884483000</v>
      </c>
      <c r="I12" s="6">
        <f>HLOOKUP(I7,'Yıllıklandırılmış Veriler'!$B$1:$R$108,108,0)</f>
        <v>4194913000</v>
      </c>
      <c r="J12" s="6">
        <f>HLOOKUP(J7,'Yıllıklandırılmış Veriler'!$B$1:$R$108,108,0)</f>
        <v>5384858000</v>
      </c>
      <c r="K12" s="6">
        <f>HLOOKUP(K7,'Yıllıklandırılmış Veriler'!$B$1:$R$108,108,0)</f>
        <v>6104053000</v>
      </c>
      <c r="L12" s="6">
        <f>HLOOKUP(L7,'Yıllıklandırılmış Veriler'!$B$1:$R$108,108,0)</f>
        <v>6637968000</v>
      </c>
      <c r="M12" s="6">
        <f>HLOOKUP(M7,'Yıllıklandırılmış Veriler'!$B$1:$R$108,108,0)</f>
        <v>8801005000</v>
      </c>
      <c r="N12" s="6">
        <f>HLOOKUP(N7,'Yıllıklandırılmış Veriler'!$B$1:$R$108,108,0)</f>
        <v>9783410000</v>
      </c>
      <c r="O12" s="6">
        <f>HLOOKUP(O7,'Yıllıklandırılmış Veriler'!$B$1:$R$108,108,0)</f>
        <v>12488409000</v>
      </c>
      <c r="P12" s="6">
        <f>HLOOKUP(P7,'Yıllıklandırılmış Veriler'!$B$1:$R$108,108,0)</f>
        <v>14412415000</v>
      </c>
      <c r="Q12" s="6">
        <f>HLOOKUP(Q7,'Yıllıklandırılmış Veriler'!$B$1:$R$108,108,0)</f>
        <v>18613943000</v>
      </c>
    </row>
    <row r="13" spans="1:18" x14ac:dyDescent="0.25">
      <c r="A13" s="2" t="s">
        <v>231</v>
      </c>
      <c r="B13" s="29">
        <f>B9/B$8</f>
        <v>0.10327575690331227</v>
      </c>
      <c r="C13" s="29">
        <f t="shared" ref="C13:Q13" si="0">C9/C$8</f>
        <v>0.10198591764904553</v>
      </c>
      <c r="D13" s="29">
        <f t="shared" si="0"/>
        <v>0.10124692313780242</v>
      </c>
      <c r="E13" s="29">
        <f t="shared" si="0"/>
        <v>0.10240544401276655</v>
      </c>
      <c r="F13" s="29">
        <f t="shared" si="0"/>
        <v>0.1054414819095065</v>
      </c>
      <c r="G13" s="29">
        <f t="shared" si="0"/>
        <v>0.10728132548675935</v>
      </c>
      <c r="H13" s="29">
        <f t="shared" si="0"/>
        <v>0.11376402910516958</v>
      </c>
      <c r="I13" s="29">
        <f t="shared" si="0"/>
        <v>0.12510319473822049</v>
      </c>
      <c r="J13" s="29">
        <f t="shared" si="0"/>
        <v>0.1274976951998032</v>
      </c>
      <c r="K13" s="29">
        <f t="shared" si="0"/>
        <v>0.13118883356396832</v>
      </c>
      <c r="L13" s="29">
        <f t="shared" si="0"/>
        <v>0.13046955414490408</v>
      </c>
      <c r="M13" s="29">
        <f t="shared" si="0"/>
        <v>0.15687711179456207</v>
      </c>
      <c r="N13" s="29">
        <f t="shared" si="0"/>
        <v>0.15479512657708885</v>
      </c>
      <c r="O13" s="29">
        <f t="shared" si="0"/>
        <v>0.15651718412940788</v>
      </c>
      <c r="P13" s="29">
        <f t="shared" si="0"/>
        <v>0.14533519378098717</v>
      </c>
      <c r="Q13" s="29">
        <f t="shared" si="0"/>
        <v>0.13935783312320732</v>
      </c>
      <c r="R13" s="29"/>
    </row>
    <row r="14" spans="1:18" x14ac:dyDescent="0.25">
      <c r="A14" s="2" t="s">
        <v>232</v>
      </c>
      <c r="B14" s="29">
        <f t="shared" ref="B14:Q16" si="1">B10/B$8</f>
        <v>6.7285180355499921E-2</v>
      </c>
      <c r="C14" s="29">
        <f t="shared" si="1"/>
        <v>6.5170330620636666E-2</v>
      </c>
      <c r="D14" s="29">
        <f t="shared" si="1"/>
        <v>5.275995585358962E-2</v>
      </c>
      <c r="E14" s="29">
        <f t="shared" si="1"/>
        <v>6.1772216234229169E-2</v>
      </c>
      <c r="F14" s="29">
        <f t="shared" si="1"/>
        <v>6.6488221292014343E-2</v>
      </c>
      <c r="G14" s="29">
        <f t="shared" si="1"/>
        <v>6.886507029420641E-2</v>
      </c>
      <c r="H14" s="29">
        <f t="shared" si="1"/>
        <v>9.022558064224219E-2</v>
      </c>
      <c r="I14" s="29">
        <f t="shared" si="1"/>
        <v>9.7179459423672218E-2</v>
      </c>
      <c r="J14" s="29">
        <f t="shared" si="1"/>
        <v>0.10175308587630509</v>
      </c>
      <c r="K14" s="29">
        <f t="shared" si="1"/>
        <v>0.10374457863861444</v>
      </c>
      <c r="L14" s="29">
        <f t="shared" si="1"/>
        <v>9.9578546308321469E-2</v>
      </c>
      <c r="M14" s="29">
        <f t="shared" si="1"/>
        <v>0.13273665284515782</v>
      </c>
      <c r="N14" s="29">
        <f t="shared" si="1"/>
        <v>0.13103729445043943</v>
      </c>
      <c r="O14" s="29">
        <f t="shared" si="1"/>
        <v>0.13141763593749703</v>
      </c>
      <c r="P14" s="29">
        <f t="shared" si="1"/>
        <v>0.1193247712497067</v>
      </c>
      <c r="Q14" s="29">
        <f t="shared" si="1"/>
        <v>0.11141262023456046</v>
      </c>
    </row>
    <row r="15" spans="1:18" x14ac:dyDescent="0.25">
      <c r="A15" s="2" t="s">
        <v>233</v>
      </c>
      <c r="B15" s="29">
        <f t="shared" si="1"/>
        <v>4.8985308354332138E-2</v>
      </c>
      <c r="C15" s="29">
        <f t="shared" si="1"/>
        <v>4.5625599279955936E-2</v>
      </c>
      <c r="D15" s="29">
        <f t="shared" si="1"/>
        <v>4.6446144038629483E-2</v>
      </c>
      <c r="E15" s="29">
        <f t="shared" si="1"/>
        <v>4.9975338582176718E-2</v>
      </c>
      <c r="F15" s="29">
        <f t="shared" si="1"/>
        <v>5.3725332880513628E-2</v>
      </c>
      <c r="G15" s="29">
        <f t="shared" si="1"/>
        <v>5.5180500696055061E-2</v>
      </c>
      <c r="H15" s="29">
        <f t="shared" si="1"/>
        <v>7.2125629208869071E-2</v>
      </c>
      <c r="I15" s="29">
        <f t="shared" si="1"/>
        <v>8.4828991822214483E-2</v>
      </c>
      <c r="J15" s="29">
        <f t="shared" si="1"/>
        <v>9.5579682542838038E-2</v>
      </c>
      <c r="K15" s="29">
        <f t="shared" si="1"/>
        <v>9.9830391208093602E-2</v>
      </c>
      <c r="L15" s="29">
        <f t="shared" si="1"/>
        <v>9.9641201382068251E-2</v>
      </c>
      <c r="M15" s="29">
        <f t="shared" si="1"/>
        <v>0.1237812838698297</v>
      </c>
      <c r="N15" s="29">
        <f t="shared" si="1"/>
        <v>0.11826633485140584</v>
      </c>
      <c r="O15" s="29">
        <f t="shared" si="1"/>
        <v>0.11888673001753541</v>
      </c>
      <c r="P15" s="29">
        <f t="shared" si="1"/>
        <v>0.10573942222068902</v>
      </c>
      <c r="Q15" s="29">
        <f t="shared" si="1"/>
        <v>0.10834853704172151</v>
      </c>
    </row>
    <row r="16" spans="1:18" x14ac:dyDescent="0.25">
      <c r="A16" s="2" t="s">
        <v>234</v>
      </c>
      <c r="B16" s="29">
        <f t="shared" si="1"/>
        <v>4.8985308354332138E-2</v>
      </c>
      <c r="C16" s="29">
        <f t="shared" si="1"/>
        <v>4.5625599279955936E-2</v>
      </c>
      <c r="D16" s="29">
        <f t="shared" si="1"/>
        <v>4.6446144038629483E-2</v>
      </c>
      <c r="E16" s="29">
        <f t="shared" si="1"/>
        <v>4.9975338582176718E-2</v>
      </c>
      <c r="F16" s="29">
        <f t="shared" si="1"/>
        <v>5.3725332880513628E-2</v>
      </c>
      <c r="G16" s="29">
        <f t="shared" si="1"/>
        <v>5.5180500696055061E-2</v>
      </c>
      <c r="H16" s="29">
        <f t="shared" si="1"/>
        <v>7.2125629208869071E-2</v>
      </c>
      <c r="I16" s="29">
        <f t="shared" si="1"/>
        <v>8.4828991822214483E-2</v>
      </c>
      <c r="J16" s="29">
        <f t="shared" si="1"/>
        <v>9.5579682542838038E-2</v>
      </c>
      <c r="K16" s="29">
        <f t="shared" si="1"/>
        <v>9.9830391208093602E-2</v>
      </c>
      <c r="L16" s="29">
        <f t="shared" si="1"/>
        <v>9.9641201382068251E-2</v>
      </c>
      <c r="M16" s="29">
        <f t="shared" si="1"/>
        <v>0.1237812838698297</v>
      </c>
      <c r="N16" s="29">
        <f t="shared" si="1"/>
        <v>0.11826633485140584</v>
      </c>
      <c r="O16" s="29">
        <f t="shared" si="1"/>
        <v>0.11888673001753541</v>
      </c>
      <c r="P16" s="29">
        <f t="shared" si="1"/>
        <v>0.10573942222068902</v>
      </c>
      <c r="Q16" s="29">
        <f t="shared" si="1"/>
        <v>0.10834853704172151</v>
      </c>
    </row>
    <row r="37" spans="1:17" x14ac:dyDescent="0.25">
      <c r="B37" s="48" t="s">
        <v>235</v>
      </c>
      <c r="C37" s="48"/>
      <c r="D37" s="48"/>
      <c r="E37" s="48"/>
      <c r="F37" s="48"/>
      <c r="G37" s="48"/>
      <c r="H37" s="48"/>
      <c r="I37" s="48"/>
      <c r="J37" s="48"/>
      <c r="K37" s="48"/>
      <c r="L37" s="48"/>
      <c r="M37" s="48"/>
      <c r="N37" s="48"/>
      <c r="O37" s="48"/>
      <c r="P37" s="48"/>
      <c r="Q37" s="48"/>
    </row>
    <row r="38" spans="1:17" x14ac:dyDescent="0.25">
      <c r="B38" s="2" t="str">
        <f>INDEX(Froto!$B$1:$Q$1,COLUMNS(Froto!B$1:$Q32))</f>
        <v>2019/3</v>
      </c>
      <c r="C38" s="2" t="str">
        <f>INDEX(Froto!$B$1:$Q$1,COLUMNS(Froto!C$1:$Q32))</f>
        <v>2019/6</v>
      </c>
      <c r="D38" s="2" t="str">
        <f>INDEX(Froto!$B$1:$Q$1,COLUMNS(Froto!D$1:$Q32))</f>
        <v>2019/9</v>
      </c>
      <c r="E38" s="2" t="str">
        <f>INDEX(Froto!$B$1:$Q$1,COLUMNS(Froto!E$1:$Q32))</f>
        <v>2019/12</v>
      </c>
      <c r="F38" s="2" t="str">
        <f>INDEX(Froto!$B$1:$Q$1,COLUMNS(Froto!F$1:$Q32))</f>
        <v>2020/3</v>
      </c>
      <c r="G38" s="2" t="str">
        <f>INDEX(Froto!$B$1:$Q$1,COLUMNS(Froto!G$1:$Q32))</f>
        <v>2020/6</v>
      </c>
      <c r="H38" s="2" t="str">
        <f>INDEX(Froto!$B$1:$Q$1,COLUMNS(Froto!H$1:$Q32))</f>
        <v>2020/9</v>
      </c>
      <c r="I38" s="2" t="str">
        <f>INDEX(Froto!$B$1:$Q$1,COLUMNS(Froto!I$1:$Q32))</f>
        <v>2020/12</v>
      </c>
      <c r="J38" s="2" t="str">
        <f>INDEX(Froto!$B$1:$Q$1,COLUMNS(Froto!J$1:$Q32))</f>
        <v>2021/3</v>
      </c>
      <c r="K38" s="2" t="str">
        <f>INDEX(Froto!$B$1:$Q$1,COLUMNS(Froto!K$1:$Q32))</f>
        <v>2021/6</v>
      </c>
      <c r="L38" s="2" t="str">
        <f>INDEX(Froto!$B$1:$Q$1,COLUMNS(Froto!L$1:$Q32))</f>
        <v>2021/9</v>
      </c>
      <c r="M38" s="2" t="str">
        <f>INDEX(Froto!$B$1:$Q$1,COLUMNS(Froto!M$1:$Q32))</f>
        <v>2021/12</v>
      </c>
      <c r="N38" s="2" t="str">
        <f>INDEX(Froto!$B$1:$Q$1,COLUMNS(Froto!N$1:$Q32))</f>
        <v>2022/3</v>
      </c>
      <c r="O38" s="2" t="str">
        <f>INDEX(Froto!$B$1:$Q$1,COLUMNS(Froto!O$1:$Q32))</f>
        <v>2022/6</v>
      </c>
      <c r="P38" s="2" t="str">
        <f>INDEX(Froto!$B$1:$Q$1,COLUMNS(Froto!P$1:$Q32))</f>
        <v>2022/9</v>
      </c>
      <c r="Q38" s="2" t="str">
        <f>INDEX(Froto!$B$1:$Q$1,COLUMNS(Froto!Q$1:$Q32))</f>
        <v>2022/12</v>
      </c>
    </row>
    <row r="39" spans="1:17" x14ac:dyDescent="0.25">
      <c r="A39" t="s">
        <v>230</v>
      </c>
      <c r="B39" s="6">
        <f>HLOOKUP(B38,'Yıllıklandırılmış Veriler'!$B$1:$R$108,108,0)</f>
        <v>1728891000</v>
      </c>
      <c r="C39" s="6">
        <f>HLOOKUP(C38,'Yıllıklandırılmış Veriler'!$B$1:$R$108,108,0)</f>
        <v>1652965000</v>
      </c>
      <c r="D39" s="6">
        <f>HLOOKUP(D38,'Yıllıklandırılmış Veriler'!$B$1:$R$108,108,0)</f>
        <v>1753545000</v>
      </c>
      <c r="E39" s="6">
        <f>HLOOKUP(E38,'Yıllıklandırılmış Veriler'!$B$1:$R$108,108,0)</f>
        <v>1959484000</v>
      </c>
      <c r="F39" s="6">
        <f>HLOOKUP(F38,'Yıllıklandırılmış Veriler'!$B$1:$R$108,108,0)</f>
        <v>2110953000</v>
      </c>
      <c r="G39" s="6">
        <f>HLOOKUP(G38,'Yıllıklandırılmış Veriler'!$B$1:$R$108,108,0)</f>
        <v>1980633000</v>
      </c>
      <c r="H39" s="6">
        <f>HLOOKUP(H38,'Yıllıklandırılmış Veriler'!$B$1:$R$108,108,0)</f>
        <v>2884483000</v>
      </c>
      <c r="I39" s="6">
        <f>HLOOKUP(I38,'Yıllıklandırılmış Veriler'!$B$1:$R$108,108,0)</f>
        <v>4194913000</v>
      </c>
      <c r="J39" s="6">
        <f>HLOOKUP(J38,'Yıllıklandırılmış Veriler'!$B$1:$R$108,108,0)</f>
        <v>5384858000</v>
      </c>
      <c r="K39" s="6">
        <f>HLOOKUP(K38,'Yıllıklandırılmış Veriler'!$B$1:$R$108,108,0)</f>
        <v>6104053000</v>
      </c>
      <c r="L39" s="6">
        <f>HLOOKUP(L38,'Yıllıklandırılmış Veriler'!$B$1:$R$108,108,0)</f>
        <v>6637968000</v>
      </c>
      <c r="M39" s="6">
        <f>HLOOKUP(M38,'Yıllıklandırılmış Veriler'!$B$1:$R$108,108,0)</f>
        <v>8801005000</v>
      </c>
      <c r="N39" s="6">
        <f>HLOOKUP(N38,'Yıllıklandırılmış Veriler'!$B$1:$R$108,108,0)</f>
        <v>9783410000</v>
      </c>
      <c r="O39" s="6">
        <f>HLOOKUP(O38,'Yıllıklandırılmış Veriler'!$B$1:$R$108,108,0)</f>
        <v>12488409000</v>
      </c>
      <c r="P39" s="6">
        <f>HLOOKUP(P38,'Yıllıklandırılmış Veriler'!$B$1:$R$108,108,0)</f>
        <v>14412415000</v>
      </c>
      <c r="Q39" s="6">
        <f>HLOOKUP(Q38,'Yıllıklandırılmış Veriler'!$B$1:$R$108,108,0)</f>
        <v>18613943000</v>
      </c>
    </row>
    <row r="40" spans="1:17" x14ac:dyDescent="0.25">
      <c r="A40" t="s">
        <v>222</v>
      </c>
      <c r="B40" s="6">
        <f>HLOOKUP(B38,'Yıllıklandırılmış Veriler'!$B$1:$R$30,30,0)</f>
        <v>15228810000</v>
      </c>
      <c r="C40" s="6">
        <f>HLOOKUP(C38,'Yıllıklandırılmış Veriler'!$B$1:$R$30,30,0)</f>
        <v>15885025000</v>
      </c>
      <c r="D40" s="6">
        <f>HLOOKUP(D38,'Yıllıklandırılmış Veriler'!$B$1:$R$30,30,0)</f>
        <v>14551847000</v>
      </c>
      <c r="E40" s="6">
        <f>HLOOKUP(E38,'Yıllıklandırılmış Veriler'!$B$1:$R$30,30,0)</f>
        <v>16406372000</v>
      </c>
      <c r="F40" s="6">
        <f>HLOOKUP(F38,'Yıllıklandırılmış Veriler'!$B$1:$R$30,30,0)</f>
        <v>18051098000</v>
      </c>
      <c r="G40" s="6">
        <f>HLOOKUP(G38,'Yıllıklandırılmış Veriler'!$B$1:$R$30,30,0)</f>
        <v>19191612000</v>
      </c>
      <c r="H40" s="6">
        <f>HLOOKUP(H38,'Yıllıklandırılmış Veriler'!$B$1:$R$30,30,0)</f>
        <v>24071270000</v>
      </c>
      <c r="I40" s="6">
        <f>HLOOKUP(I38,'Yıllıklandırılmış Veriler'!$B$1:$R$30,30,0)</f>
        <v>24349179000</v>
      </c>
      <c r="J40" s="6">
        <f>HLOOKUP(J38,'Yıllıklandırılmış Veriler'!$B$1:$R$30,30,0)</f>
        <v>34195857000</v>
      </c>
      <c r="K40" s="6">
        <f>HLOOKUP(K38,'Yıllıklandırılmış Veriler'!$B$1:$R$30,30,0)</f>
        <v>29980116000</v>
      </c>
      <c r="L40" s="6">
        <f>HLOOKUP(L38,'Yıllıklandırılmış Veriler'!$B$1:$R$30,30,0)</f>
        <v>35629538000</v>
      </c>
      <c r="M40" s="6">
        <f>HLOOKUP(M38,'Yıllıklandırılmış Veriler'!$B$1:$R$30,30,0)</f>
        <v>42792853000</v>
      </c>
      <c r="N40" s="6">
        <f>HLOOKUP(N38,'Yıllıklandırılmış Veriler'!$B$1:$R$30,30,0)</f>
        <v>66380613000</v>
      </c>
      <c r="O40" s="6">
        <f>HLOOKUP(O38,'Yıllıklandırılmış Veriler'!$B$1:$R$30,30,0)</f>
        <v>82164417000</v>
      </c>
      <c r="P40" s="6">
        <f>HLOOKUP(P38,'Yıllıklandırılmış Veriler'!$B$1:$R$30,30,0)</f>
        <v>88504179000</v>
      </c>
      <c r="Q40" s="6">
        <f>HLOOKUP(Q38,'Yıllıklandırılmış Veriler'!$B$1:$R$30,30,0)</f>
        <v>96052247000</v>
      </c>
    </row>
    <row r="41" spans="1:17" x14ac:dyDescent="0.25">
      <c r="A41" t="s">
        <v>223</v>
      </c>
      <c r="F41" s="6">
        <f>(B40+F40)/2</f>
        <v>16639954000</v>
      </c>
      <c r="G41" s="6">
        <f t="shared" ref="G41:Q41" si="2">(C40+G40)/2</f>
        <v>17538318500</v>
      </c>
      <c r="H41" s="6">
        <f t="shared" si="2"/>
        <v>19311558500</v>
      </c>
      <c r="I41" s="6">
        <f t="shared" si="2"/>
        <v>20377775500</v>
      </c>
      <c r="J41" s="6">
        <f t="shared" si="2"/>
        <v>26123477500</v>
      </c>
      <c r="K41" s="6">
        <f t="shared" si="2"/>
        <v>24585864000</v>
      </c>
      <c r="L41" s="6">
        <f t="shared" si="2"/>
        <v>29850404000</v>
      </c>
      <c r="M41" s="6">
        <f t="shared" si="2"/>
        <v>33571016000</v>
      </c>
      <c r="N41" s="6">
        <f t="shared" si="2"/>
        <v>50288235000</v>
      </c>
      <c r="O41" s="6">
        <f t="shared" si="2"/>
        <v>56072266500</v>
      </c>
      <c r="P41" s="6">
        <f t="shared" si="2"/>
        <v>62066858500</v>
      </c>
      <c r="Q41" s="6">
        <f t="shared" si="2"/>
        <v>69422550000</v>
      </c>
    </row>
    <row r="42" spans="1:17" x14ac:dyDescent="0.25">
      <c r="A42" s="2" t="s">
        <v>236</v>
      </c>
      <c r="F42" s="29">
        <f>F39/F41</f>
        <v>0.12686050694611295</v>
      </c>
      <c r="G42" s="29">
        <f t="shared" ref="G42:Q42" si="3">G39/G41</f>
        <v>0.11293174998503989</v>
      </c>
      <c r="H42" s="29">
        <f t="shared" si="3"/>
        <v>0.14936562473712311</v>
      </c>
      <c r="I42" s="30">
        <f t="shared" si="3"/>
        <v>0.20585725856092585</v>
      </c>
      <c r="J42" s="29">
        <f t="shared" si="3"/>
        <v>0.20613097930778931</v>
      </c>
      <c r="K42" s="29">
        <f t="shared" si="3"/>
        <v>0.24827490300930649</v>
      </c>
      <c r="L42" s="29">
        <f t="shared" si="3"/>
        <v>0.22237447774576183</v>
      </c>
      <c r="M42" s="30">
        <f t="shared" si="3"/>
        <v>0.26216081753379167</v>
      </c>
      <c r="N42" s="29">
        <f t="shared" si="3"/>
        <v>0.19454669665777691</v>
      </c>
      <c r="O42" s="29">
        <f t="shared" si="3"/>
        <v>0.22271988951971469</v>
      </c>
      <c r="P42" s="29">
        <f t="shared" si="3"/>
        <v>0.23220790206419098</v>
      </c>
      <c r="Q42" s="30">
        <f t="shared" si="3"/>
        <v>0.26812531374891874</v>
      </c>
    </row>
    <row r="59" spans="1:17" x14ac:dyDescent="0.25">
      <c r="B59" s="48" t="s">
        <v>237</v>
      </c>
      <c r="C59" s="48"/>
      <c r="D59" s="48"/>
      <c r="E59" s="48"/>
      <c r="F59" s="48"/>
      <c r="G59" s="48"/>
      <c r="H59" s="48"/>
      <c r="I59" s="48"/>
      <c r="J59" s="48"/>
      <c r="K59" s="48"/>
      <c r="L59" s="48"/>
      <c r="M59" s="48"/>
      <c r="N59" s="48"/>
      <c r="O59" s="48"/>
      <c r="P59" s="48"/>
      <c r="Q59" s="48"/>
    </row>
    <row r="60" spans="1:17" x14ac:dyDescent="0.25">
      <c r="B60" s="2" t="str">
        <f>INDEX(Froto!$B$1:$Q$1,COLUMNS(Froto!B$1:$Q54))</f>
        <v>2019/3</v>
      </c>
      <c r="C60" s="2" t="str">
        <f>INDEX(Froto!$B$1:$Q$1,COLUMNS(Froto!C$1:$Q54))</f>
        <v>2019/6</v>
      </c>
      <c r="D60" s="2" t="str">
        <f>INDEX(Froto!$B$1:$Q$1,COLUMNS(Froto!D$1:$Q54))</f>
        <v>2019/9</v>
      </c>
      <c r="E60" s="2" t="str">
        <f>INDEX(Froto!$B$1:$Q$1,COLUMNS(Froto!E$1:$Q54))</f>
        <v>2019/12</v>
      </c>
      <c r="F60" s="2" t="str">
        <f>INDEX(Froto!$B$1:$Q$1,COLUMNS(Froto!F$1:$Q54))</f>
        <v>2020/3</v>
      </c>
      <c r="G60" s="2" t="str">
        <f>INDEX(Froto!$B$1:$Q$1,COLUMNS(Froto!G$1:$Q54))</f>
        <v>2020/6</v>
      </c>
      <c r="H60" s="2" t="str">
        <f>INDEX(Froto!$B$1:$Q$1,COLUMNS(Froto!H$1:$Q54))</f>
        <v>2020/9</v>
      </c>
      <c r="I60" s="2" t="str">
        <f>INDEX(Froto!$B$1:$Q$1,COLUMNS(Froto!I$1:$Q54))</f>
        <v>2020/12</v>
      </c>
      <c r="J60" s="2" t="str">
        <f>INDEX(Froto!$B$1:$Q$1,COLUMNS(Froto!J$1:$Q54))</f>
        <v>2021/3</v>
      </c>
      <c r="K60" s="2" t="str">
        <f>INDEX(Froto!$B$1:$Q$1,COLUMNS(Froto!K$1:$Q54))</f>
        <v>2021/6</v>
      </c>
      <c r="L60" s="2" t="str">
        <f>INDEX(Froto!$B$1:$Q$1,COLUMNS(Froto!L$1:$Q54))</f>
        <v>2021/9</v>
      </c>
      <c r="M60" s="2" t="str">
        <f>INDEX(Froto!$B$1:$Q$1,COLUMNS(Froto!M$1:$Q54))</f>
        <v>2021/12</v>
      </c>
      <c r="N60" s="2" t="str">
        <f>INDEX(Froto!$B$1:$Q$1,COLUMNS(Froto!N$1:$Q54))</f>
        <v>2022/3</v>
      </c>
      <c r="O60" s="2" t="str">
        <f>INDEX(Froto!$B$1:$Q$1,COLUMNS(Froto!O$1:$Q54))</f>
        <v>2022/6</v>
      </c>
      <c r="P60" s="2" t="str">
        <f>INDEX(Froto!$B$1:$Q$1,COLUMNS(Froto!P$1:$Q54))</f>
        <v>2022/9</v>
      </c>
      <c r="Q60" s="2" t="str">
        <f>INDEX(Froto!$B$1:$Q$1,COLUMNS(Froto!Q$1:$Q54))</f>
        <v>2022/12</v>
      </c>
    </row>
    <row r="61" spans="1:17" x14ac:dyDescent="0.25">
      <c r="A61" t="s">
        <v>238</v>
      </c>
      <c r="B61" s="6">
        <f>HLOOKUP(B60,'Yıllıklandırılmış Veriler'!$B$1:$R$96,96,0)</f>
        <v>2371813000</v>
      </c>
      <c r="C61" s="6">
        <f>HLOOKUP(C60,'Yıllıklandırılmış Veriler'!$B$1:$R$96,96,0)</f>
        <v>2358431000</v>
      </c>
      <c r="D61" s="6">
        <f>HLOOKUP(D60,'Yıllıklandırılmış Veriler'!$B$1:$R$96,96,0)</f>
        <v>1989934000</v>
      </c>
      <c r="E61" s="6">
        <f>HLOOKUP(E60,'Yıllıklandırılmış Veriler'!$B$1:$R$96,96,0)</f>
        <v>2420803000</v>
      </c>
      <c r="F61" s="6">
        <f>HLOOKUP(F60,'Yıllıklandırılmış Veriler'!$B$1:$R$96,96,0)</f>
        <v>2612574000</v>
      </c>
      <c r="G61" s="6">
        <f>HLOOKUP(G60,'Yıllıklandırılmış Veriler'!$B$1:$R$96,96,0)</f>
        <v>2471881000</v>
      </c>
      <c r="H61" s="6">
        <f>HLOOKUP(H60,'Yıllıklandırılmış Veriler'!$B$1:$R$96,96,0)</f>
        <v>3610614000</v>
      </c>
      <c r="I61" s="6">
        <f>HLOOKUP(I60,'Yıllıklandırılmış Veriler'!$B$1:$R$96,96,0)</f>
        <v>4806851000</v>
      </c>
      <c r="J61" s="6">
        <f>HLOOKUP(J60,'Yıllıklandırılmış Veriler'!$B$1:$R$96,96,0)</f>
        <v>5735429000</v>
      </c>
      <c r="K61" s="6">
        <f>HLOOKUP(K60,'Yıllıklandırılmış Veriler'!$B$1:$R$96,96,0)</f>
        <v>6345127000</v>
      </c>
      <c r="L61" s="6">
        <f>HLOOKUP(L60,'Yıllıklandırılmış Veriler'!$B$1:$R$96,96,0)</f>
        <v>6600913000</v>
      </c>
      <c r="M61" s="6">
        <f>HLOOKUP(M60,'Yıllıklandırılmış Veriler'!$B$1:$R$96,96,0)</f>
        <v>9402646000</v>
      </c>
      <c r="N61" s="6">
        <f>HLOOKUP(N60,'Yıllıklandırılmış Veriler'!$B$1:$R$96,96,0)</f>
        <v>10789683000</v>
      </c>
      <c r="O61" s="6">
        <f>HLOOKUP(O60,'Yıllıklandırılmış Veriler'!$B$1:$R$96,96,0)</f>
        <v>13756552000</v>
      </c>
      <c r="P61" s="6">
        <f>HLOOKUP(P60,'Yıllıklandırılmış Veriler'!$B$1:$R$96,96,0)</f>
        <v>16252256000</v>
      </c>
      <c r="Q61" s="6">
        <f>HLOOKUP(Q60,'Yıllıklandırılmış Veriler'!$B$1:$R$96,96,0)</f>
        <v>19126426000</v>
      </c>
    </row>
    <row r="62" spans="1:17" x14ac:dyDescent="0.25">
      <c r="A62" t="s">
        <v>239</v>
      </c>
      <c r="B62" s="6">
        <f>-HLOOKUP(B60,'Yıllıklandırılmış Veriler'!$B$1:$R$98,98,0)</f>
        <v>2560262000</v>
      </c>
      <c r="C62" s="6">
        <f>-HLOOKUP(C60,'Yıllıklandırılmış Veriler'!$B$1:$R$98,98,0)</f>
        <v>2710890000</v>
      </c>
      <c r="D62" s="6">
        <f>-HLOOKUP(D60,'Yıllıklandırılmış Veriler'!$B$1:$R$98,98,0)</f>
        <v>2243327000</v>
      </c>
      <c r="E62" s="6">
        <f>-HLOOKUP(E60,'Yıllıklandırılmış Veriler'!$B$1:$R$98,98,0)</f>
        <v>1656231000</v>
      </c>
      <c r="F62" s="6">
        <f>-HLOOKUP(F60,'Yıllıklandırılmış Veriler'!$B$1:$R$98,98,0)</f>
        <v>1804311000</v>
      </c>
      <c r="G62" s="6">
        <f>-HLOOKUP(G60,'Yıllıklandırılmış Veriler'!$B$1:$R$98,98,0)</f>
        <v>1848602000</v>
      </c>
      <c r="H62" s="6">
        <f>-HLOOKUP(H60,'Yıllıklandırılmış Veriler'!$B$1:$R$98,98,0)</f>
        <v>1819233000</v>
      </c>
      <c r="I62" s="6">
        <f>-HLOOKUP(I60,'Yıllıklandırılmış Veriler'!$B$1:$R$98,98,0)</f>
        <v>2553875000</v>
      </c>
      <c r="J62" s="6">
        <f>-HLOOKUP(J60,'Yıllıklandırılmış Veriler'!$B$1:$R$98,98,0)</f>
        <v>2846648000</v>
      </c>
      <c r="K62" s="6">
        <f>-HLOOKUP(K60,'Yıllıklandırılmış Veriler'!$B$1:$R$98,98,0)</f>
        <v>3034573000</v>
      </c>
      <c r="L62" s="6">
        <f>-HLOOKUP(L60,'Yıllıklandırılmış Veriler'!$B$1:$R$98,98,0)</f>
        <v>3418454000</v>
      </c>
      <c r="M62" s="6">
        <f>-HLOOKUP(M60,'Yıllıklandırılmış Veriler'!$B$1:$R$98,98,0)</f>
        <v>6527635000</v>
      </c>
      <c r="N62" s="6">
        <f>-HLOOKUP(N60,'Yıllıklandırılmış Veriler'!$B$1:$R$98,98,0)</f>
        <v>8203594000</v>
      </c>
      <c r="O62" s="6">
        <f>-HLOOKUP(O60,'Yıllıklandırılmış Veriler'!$B$1:$R$98,98,0)</f>
        <v>11252802000</v>
      </c>
      <c r="P62" s="6">
        <f>-HLOOKUP(P60,'Yıllıklandırılmış Veriler'!$B$1:$R$98,98,0)</f>
        <v>12329764000</v>
      </c>
      <c r="Q62" s="6">
        <f>-HLOOKUP(Q60,'Yıllıklandırılmış Veriler'!$B$1:$R$98,98,0)</f>
        <v>10197649000</v>
      </c>
    </row>
    <row r="63" spans="1:17" x14ac:dyDescent="0.25">
      <c r="A63" t="s">
        <v>240</v>
      </c>
      <c r="B63" s="6">
        <f>HLOOKUP(B60,'Yıllıklandırılmış Veriler'!$B$1:$R$30,30,0)</f>
        <v>15228810000</v>
      </c>
      <c r="C63" s="6">
        <f>HLOOKUP(C60,'Yıllıklandırılmış Veriler'!$B$1:$R$30,30,0)</f>
        <v>15885025000</v>
      </c>
      <c r="D63" s="6">
        <f>HLOOKUP(D60,'Yıllıklandırılmış Veriler'!$B$1:$R$30,30,0)</f>
        <v>14551847000</v>
      </c>
      <c r="E63" s="6">
        <f>HLOOKUP(E60,'Yıllıklandırılmış Veriler'!$B$1:$R$30,30,0)</f>
        <v>16406372000</v>
      </c>
      <c r="F63" s="6">
        <f>HLOOKUP(F60,'Yıllıklandırılmış Veriler'!$B$1:$R$30,30,0)</f>
        <v>18051098000</v>
      </c>
      <c r="G63" s="6">
        <f>HLOOKUP(G60,'Yıllıklandırılmış Veriler'!$B$1:$R$30,30,0)</f>
        <v>19191612000</v>
      </c>
      <c r="H63" s="6">
        <f>HLOOKUP(H60,'Yıllıklandırılmış Veriler'!$B$1:$R$30,30,0)</f>
        <v>24071270000</v>
      </c>
      <c r="I63" s="6">
        <f>HLOOKUP(I60,'Yıllıklandırılmış Veriler'!$B$1:$R$30,30,0)</f>
        <v>24349179000</v>
      </c>
      <c r="J63" s="6">
        <f>HLOOKUP(J60,'Yıllıklandırılmış Veriler'!$B$1:$R$30,30,0)</f>
        <v>34195857000</v>
      </c>
      <c r="K63" s="6">
        <f>HLOOKUP(K60,'Yıllıklandırılmış Veriler'!$B$1:$R$30,30,0)</f>
        <v>29980116000</v>
      </c>
      <c r="L63" s="6">
        <f>HLOOKUP(L60,'Yıllıklandırılmış Veriler'!$B$1:$R$30,30,0)</f>
        <v>35629538000</v>
      </c>
      <c r="M63" s="6">
        <f>HLOOKUP(M60,'Yıllıklandırılmış Veriler'!$B$1:$R$30,30,0)</f>
        <v>42792853000</v>
      </c>
      <c r="N63" s="6">
        <f>HLOOKUP(N60,'Yıllıklandırılmış Veriler'!$B$1:$R$30,30,0)</f>
        <v>66380613000</v>
      </c>
      <c r="O63" s="6">
        <f>HLOOKUP(O60,'Yıllıklandırılmış Veriler'!$B$1:$R$30,30,0)</f>
        <v>82164417000</v>
      </c>
      <c r="P63" s="6">
        <f>HLOOKUP(P60,'Yıllıklandırılmış Veriler'!$B$1:$R$30,30,0)</f>
        <v>88504179000</v>
      </c>
      <c r="Q63" s="6">
        <f>HLOOKUP(Q60,'Yıllıklandırılmış Veriler'!$B$1:$R$30,30,0)</f>
        <v>96052247000</v>
      </c>
    </row>
    <row r="64" spans="1:17" x14ac:dyDescent="0.25">
      <c r="A64" t="s">
        <v>241</v>
      </c>
      <c r="F64" s="6">
        <f>(B63+F63)/2</f>
        <v>16639954000</v>
      </c>
      <c r="G64" s="6">
        <f t="shared" ref="G64:Q64" si="4">(C63+G63)/2</f>
        <v>17538318500</v>
      </c>
      <c r="H64" s="6">
        <f t="shared" si="4"/>
        <v>19311558500</v>
      </c>
      <c r="I64" s="6">
        <f t="shared" si="4"/>
        <v>20377775500</v>
      </c>
      <c r="J64" s="6">
        <f t="shared" si="4"/>
        <v>26123477500</v>
      </c>
      <c r="K64" s="6">
        <f t="shared" si="4"/>
        <v>24585864000</v>
      </c>
      <c r="L64" s="6">
        <f t="shared" si="4"/>
        <v>29850404000</v>
      </c>
      <c r="M64" s="6">
        <f t="shared" si="4"/>
        <v>33571016000</v>
      </c>
      <c r="N64" s="6">
        <f t="shared" si="4"/>
        <v>50288235000</v>
      </c>
      <c r="O64" s="6">
        <f t="shared" si="4"/>
        <v>56072266500</v>
      </c>
      <c r="P64" s="6">
        <f t="shared" si="4"/>
        <v>62066858500</v>
      </c>
      <c r="Q64" s="6">
        <f t="shared" si="4"/>
        <v>69422550000</v>
      </c>
    </row>
    <row r="65" spans="1:17" x14ac:dyDescent="0.25">
      <c r="A65" s="2" t="s">
        <v>242</v>
      </c>
      <c r="F65" s="29">
        <f>F61/F64</f>
        <v>0.15700608306970079</v>
      </c>
      <c r="G65" s="29">
        <f t="shared" ref="G65:Q65" si="5">G61/G64</f>
        <v>0.1409417328120709</v>
      </c>
      <c r="H65" s="29">
        <f t="shared" si="5"/>
        <v>0.18696647399017535</v>
      </c>
      <c r="I65" s="29">
        <f t="shared" si="5"/>
        <v>0.23588693476380679</v>
      </c>
      <c r="J65" s="29">
        <f t="shared" si="5"/>
        <v>0.21955074702439598</v>
      </c>
      <c r="K65" s="29">
        <f t="shared" si="5"/>
        <v>0.2580802936191301</v>
      </c>
      <c r="L65" s="29">
        <f t="shared" si="5"/>
        <v>0.22113312101236554</v>
      </c>
      <c r="M65" s="29">
        <f t="shared" si="5"/>
        <v>0.28008225905346446</v>
      </c>
      <c r="N65" s="29">
        <f t="shared" si="5"/>
        <v>0.21455680438973448</v>
      </c>
      <c r="O65" s="29">
        <f t="shared" si="5"/>
        <v>0.24533611460132435</v>
      </c>
      <c r="P65" s="29">
        <f t="shared" si="5"/>
        <v>0.26185079111100812</v>
      </c>
      <c r="Q65" s="29">
        <f t="shared" si="5"/>
        <v>0.27550739637192811</v>
      </c>
    </row>
    <row r="80" spans="1:17" x14ac:dyDescent="0.25">
      <c r="B80" s="48" t="s">
        <v>243</v>
      </c>
      <c r="C80" s="48"/>
      <c r="D80" s="48"/>
      <c r="E80" s="48"/>
      <c r="F80" s="48"/>
      <c r="G80" s="48"/>
      <c r="H80" s="48"/>
      <c r="I80" s="48"/>
      <c r="J80" s="48"/>
      <c r="K80" s="48"/>
      <c r="L80" s="48"/>
      <c r="M80" s="48"/>
      <c r="N80" s="48"/>
      <c r="O80" s="48"/>
      <c r="P80" s="48"/>
      <c r="Q80" s="48"/>
    </row>
    <row r="81" spans="1:17" x14ac:dyDescent="0.25">
      <c r="B81" s="2" t="str">
        <f>INDEX(Froto!$B$1:$Q$1,COLUMNS(Froto!B$1:$Q75))</f>
        <v>2019/3</v>
      </c>
      <c r="C81" s="2" t="str">
        <f>INDEX(Froto!$B$1:$Q$1,COLUMNS(Froto!C$1:$Q75))</f>
        <v>2019/6</v>
      </c>
      <c r="D81" s="2" t="str">
        <f>INDEX(Froto!$B$1:$Q$1,COLUMNS(Froto!D$1:$Q75))</f>
        <v>2019/9</v>
      </c>
      <c r="E81" s="2" t="str">
        <f>INDEX(Froto!$B$1:$Q$1,COLUMNS(Froto!E$1:$Q75))</f>
        <v>2019/12</v>
      </c>
      <c r="F81" s="2" t="str">
        <f>INDEX(Froto!$B$1:$Q$1,COLUMNS(Froto!F$1:$Q75))</f>
        <v>2020/3</v>
      </c>
      <c r="G81" s="2" t="str">
        <f>INDEX(Froto!$B$1:$Q$1,COLUMNS(Froto!G$1:$Q75))</f>
        <v>2020/6</v>
      </c>
      <c r="H81" s="2" t="str">
        <f>INDEX(Froto!$B$1:$Q$1,COLUMNS(Froto!H$1:$Q75))</f>
        <v>2020/9</v>
      </c>
      <c r="I81" s="2" t="str">
        <f>INDEX(Froto!$B$1:$Q$1,COLUMNS(Froto!I$1:$Q75))</f>
        <v>2020/12</v>
      </c>
      <c r="J81" s="2" t="str">
        <f>INDEX(Froto!$B$1:$Q$1,COLUMNS(Froto!J$1:$Q75))</f>
        <v>2021/3</v>
      </c>
      <c r="K81" s="2" t="str">
        <f>INDEX(Froto!$B$1:$Q$1,COLUMNS(Froto!K$1:$Q75))</f>
        <v>2021/6</v>
      </c>
      <c r="L81" s="2" t="str">
        <f>INDEX(Froto!$B$1:$Q$1,COLUMNS(Froto!L$1:$Q75))</f>
        <v>2021/9</v>
      </c>
      <c r="M81" s="2" t="str">
        <f>INDEX(Froto!$B$1:$Q$1,COLUMNS(Froto!M$1:$Q75))</f>
        <v>2021/12</v>
      </c>
      <c r="N81" s="2" t="str">
        <f>INDEX(Froto!$B$1:$Q$1,COLUMNS(Froto!N$1:$Q75))</f>
        <v>2022/3</v>
      </c>
      <c r="O81" s="2" t="str">
        <f>INDEX(Froto!$B$1:$Q$1,COLUMNS(Froto!O$1:$Q75))</f>
        <v>2022/6</v>
      </c>
      <c r="P81" s="2" t="str">
        <f>INDEX(Froto!$B$1:$Q$1,COLUMNS(Froto!P$1:$Q75))</f>
        <v>2022/9</v>
      </c>
      <c r="Q81" s="2" t="str">
        <f>INDEX(Froto!$B$1:$Q$1,COLUMNS(Froto!Q$1:$Q75))</f>
        <v>2022/12</v>
      </c>
    </row>
    <row r="82" spans="1:17" x14ac:dyDescent="0.25">
      <c r="A82" t="s">
        <v>230</v>
      </c>
      <c r="B82" s="6">
        <f>HLOOKUP(B81,'Yıllıklandırılmış Veriler'!$B$1:$R$108,108,0)</f>
        <v>1728891000</v>
      </c>
      <c r="C82" s="6">
        <f>HLOOKUP(C81,'Yıllıklandırılmış Veriler'!$B$1:$R$108,108,0)</f>
        <v>1652965000</v>
      </c>
      <c r="D82" s="6">
        <f>HLOOKUP(D81,'Yıllıklandırılmış Veriler'!$B$1:$R$108,108,0)</f>
        <v>1753545000</v>
      </c>
      <c r="E82" s="6">
        <f>HLOOKUP(E81,'Yıllıklandırılmış Veriler'!$B$1:$R$108,108,0)</f>
        <v>1959484000</v>
      </c>
      <c r="F82" s="6">
        <f>HLOOKUP(F81,'Yıllıklandırılmış Veriler'!$B$1:$R$108,108,0)</f>
        <v>2110953000</v>
      </c>
      <c r="G82" s="6">
        <f>HLOOKUP(G81,'Yıllıklandırılmış Veriler'!$B$1:$R$108,108,0)</f>
        <v>1980633000</v>
      </c>
      <c r="H82" s="6">
        <f>HLOOKUP(H81,'Yıllıklandırılmış Veriler'!$B$1:$R$108,108,0)</f>
        <v>2884483000</v>
      </c>
      <c r="I82" s="6">
        <f>HLOOKUP(I81,'Yıllıklandırılmış Veriler'!$B$1:$R$108,108,0)</f>
        <v>4194913000</v>
      </c>
      <c r="J82" s="6">
        <f>HLOOKUP(J81,'Yıllıklandırılmış Veriler'!$B$1:$R$108,108,0)</f>
        <v>5384858000</v>
      </c>
      <c r="K82" s="6">
        <f>HLOOKUP(K81,'Yıllıklandırılmış Veriler'!$B$1:$R$108,108,0)</f>
        <v>6104053000</v>
      </c>
      <c r="L82" s="6">
        <f>HLOOKUP(L81,'Yıllıklandırılmış Veriler'!$B$1:$R$108,108,0)</f>
        <v>6637968000</v>
      </c>
      <c r="M82" s="6">
        <f>HLOOKUP(M81,'Yıllıklandırılmış Veriler'!$B$1:$R$108,108,0)</f>
        <v>8801005000</v>
      </c>
      <c r="N82" s="6">
        <f>HLOOKUP(N81,'Yıllıklandırılmış Veriler'!$B$1:$R$108,108,0)</f>
        <v>9783410000</v>
      </c>
      <c r="O82" s="6">
        <f>HLOOKUP(O81,'Yıllıklandırılmış Veriler'!$B$1:$R$108,108,0)</f>
        <v>12488409000</v>
      </c>
      <c r="P82" s="6">
        <f>HLOOKUP(P81,'Yıllıklandırılmış Veriler'!$B$1:$R$108,108,0)</f>
        <v>14412415000</v>
      </c>
      <c r="Q82" s="6">
        <f>HLOOKUP(Q81,'Yıllıklandırılmış Veriler'!$B$1:$R$108,108,0)</f>
        <v>18613943000</v>
      </c>
    </row>
    <row r="83" spans="1:17" x14ac:dyDescent="0.25">
      <c r="A83" t="s">
        <v>197</v>
      </c>
      <c r="B83" s="6">
        <f>HLOOKUP(B81,'Yıllıklandırılmış Veriler'!$B$1:$R$59,59,0)</f>
        <v>4157089000</v>
      </c>
      <c r="C83" s="6">
        <f>HLOOKUP(C81,'Yıllıklandırılmış Veriler'!$B$1:$R$59,59,0)</f>
        <v>4245015000</v>
      </c>
      <c r="D83" s="6">
        <f>HLOOKUP(D81,'Yıllıklandırılmış Veriler'!$B$1:$R$59,59,0)</f>
        <v>5090567000</v>
      </c>
      <c r="E83" s="6">
        <f>HLOOKUP(E81,'Yıllıklandırılmış Veriler'!$B$1:$R$59,59,0)</f>
        <v>4664921000</v>
      </c>
      <c r="F83" s="6">
        <f>HLOOKUP(F81,'Yıllıklandırılmış Veriler'!$B$1:$R$59,59,0)</f>
        <v>5190941000</v>
      </c>
      <c r="G83" s="6">
        <f>HLOOKUP(G81,'Yıllıklandırılmış Veriler'!$B$1:$R$59,59,0)</f>
        <v>4861828000</v>
      </c>
      <c r="H83" s="6">
        <f>HLOOKUP(H81,'Yıllıklandırılmış Veriler'!$B$1:$R$59,59,0)</f>
        <v>4820299000</v>
      </c>
      <c r="I83" s="6">
        <f>HLOOKUP(I81,'Yıllıklandırılmış Veriler'!$B$1:$R$59,59,0)</f>
        <v>7043902000</v>
      </c>
      <c r="J83" s="6">
        <f>HLOOKUP(J81,'Yıllıklandırılmış Veriler'!$B$1:$R$59,59,0)</f>
        <v>9074969000</v>
      </c>
      <c r="K83" s="6">
        <f>HLOOKUP(K81,'Yıllıklandırılmış Veriler'!$B$1:$R$59,59,0)</f>
        <v>9869822000</v>
      </c>
      <c r="L83" s="6">
        <f>HLOOKUP(L81,'Yıllıklandırılmış Veriler'!$B$1:$R$59,59,0)</f>
        <v>11274937000</v>
      </c>
      <c r="M83" s="6">
        <f>HLOOKUP(M81,'Yıllıklandırılmış Veriler'!$B$1:$R$59,59,0)</f>
        <v>10148538000</v>
      </c>
      <c r="N83" s="6">
        <f>HLOOKUP(N81,'Yıllıklandırılmış Veriler'!$B$1:$R$59,59,0)</f>
        <v>12395269000</v>
      </c>
      <c r="O83" s="6">
        <f>HLOOKUP(O81,'Yıllıklandırılmış Veriler'!$B$1:$R$59,59,0)</f>
        <v>14841384000</v>
      </c>
      <c r="P83" s="6">
        <f>HLOOKUP(P81,'Yıllıklandırılmış Veriler'!$B$1:$R$59,59,0)</f>
        <v>16783433000</v>
      </c>
      <c r="Q83" s="6">
        <f>HLOOKUP(Q81,'Yıllıklandırılmış Veriler'!$B$1:$R$59,59,0)</f>
        <v>21402174000</v>
      </c>
    </row>
    <row r="84" spans="1:17" x14ac:dyDescent="0.25">
      <c r="A84" t="s">
        <v>225</v>
      </c>
      <c r="F84" s="6">
        <f>(B83+F83)/2</f>
        <v>4674015000</v>
      </c>
      <c r="G84" s="6">
        <f t="shared" ref="G84:Q84" si="6">(C83+G83)/2</f>
        <v>4553421500</v>
      </c>
      <c r="H84" s="6">
        <f t="shared" si="6"/>
        <v>4955433000</v>
      </c>
      <c r="I84" s="6">
        <f t="shared" si="6"/>
        <v>5854411500</v>
      </c>
      <c r="J84" s="6">
        <f t="shared" si="6"/>
        <v>7132955000</v>
      </c>
      <c r="K84" s="6">
        <f t="shared" si="6"/>
        <v>7365825000</v>
      </c>
      <c r="L84" s="6">
        <f t="shared" si="6"/>
        <v>8047618000</v>
      </c>
      <c r="M84" s="6">
        <f t="shared" si="6"/>
        <v>8596220000</v>
      </c>
      <c r="N84" s="6">
        <f t="shared" si="6"/>
        <v>10735119000</v>
      </c>
      <c r="O84" s="6">
        <f t="shared" si="6"/>
        <v>12355603000</v>
      </c>
      <c r="P84" s="6">
        <f t="shared" si="6"/>
        <v>14029185000</v>
      </c>
      <c r="Q84" s="6">
        <f t="shared" si="6"/>
        <v>15775356000</v>
      </c>
    </row>
    <row r="85" spans="1:17" x14ac:dyDescent="0.25">
      <c r="A85" t="s">
        <v>244</v>
      </c>
      <c r="F85" s="29">
        <f>F82/F84</f>
        <v>0.45163590617488392</v>
      </c>
      <c r="G85" s="29">
        <f t="shared" ref="G85:Q85" si="7">G82/G84</f>
        <v>0.43497686300290889</v>
      </c>
      <c r="H85" s="29">
        <f t="shared" si="7"/>
        <v>0.58208495604723143</v>
      </c>
      <c r="I85" s="29">
        <f t="shared" si="7"/>
        <v>0.7165388015516162</v>
      </c>
      <c r="J85" s="29">
        <f t="shared" si="7"/>
        <v>0.75492667484934362</v>
      </c>
      <c r="K85" s="29">
        <f t="shared" si="7"/>
        <v>0.82869916132951837</v>
      </c>
      <c r="L85" s="29">
        <f t="shared" si="7"/>
        <v>0.8248363677301781</v>
      </c>
      <c r="M85" s="29">
        <f t="shared" si="7"/>
        <v>1.0238226802012977</v>
      </c>
      <c r="N85" s="29">
        <f t="shared" si="7"/>
        <v>0.91134620864472948</v>
      </c>
      <c r="O85" s="29">
        <f t="shared" si="7"/>
        <v>1.0107486457763333</v>
      </c>
      <c r="P85" s="29">
        <f t="shared" si="7"/>
        <v>1.0273166260192592</v>
      </c>
      <c r="Q85" s="29">
        <f t="shared" si="7"/>
        <v>1.1799380628874556</v>
      </c>
    </row>
    <row r="102" spans="1:17" x14ac:dyDescent="0.25">
      <c r="B102" s="48" t="s">
        <v>245</v>
      </c>
      <c r="C102" s="48"/>
      <c r="D102" s="48"/>
      <c r="E102" s="48"/>
      <c r="F102" s="48"/>
      <c r="G102" s="48"/>
      <c r="H102" s="48"/>
      <c r="I102" s="48"/>
      <c r="J102" s="48"/>
      <c r="K102" s="48"/>
      <c r="L102" s="48"/>
      <c r="M102" s="48"/>
      <c r="N102" s="48"/>
      <c r="O102" s="48"/>
      <c r="P102" s="48"/>
      <c r="Q102" s="48"/>
    </row>
    <row r="103" spans="1:17" x14ac:dyDescent="0.25">
      <c r="B103" s="2" t="str">
        <f>INDEX(Froto!$B$1:$Q$1,COLUMNS(Froto!B$1:$Q97))</f>
        <v>2019/3</v>
      </c>
      <c r="C103" s="2" t="str">
        <f>INDEX(Froto!$B$1:$Q$1,COLUMNS(Froto!C$1:$Q97))</f>
        <v>2019/6</v>
      </c>
      <c r="D103" s="2" t="str">
        <f>INDEX(Froto!$B$1:$Q$1,COLUMNS(Froto!D$1:$Q97))</f>
        <v>2019/9</v>
      </c>
      <c r="E103" s="2" t="str">
        <f>INDEX(Froto!$B$1:$Q$1,COLUMNS(Froto!E$1:$Q97))</f>
        <v>2019/12</v>
      </c>
      <c r="F103" s="2" t="str">
        <f>INDEX(Froto!$B$1:$Q$1,COLUMNS(Froto!F$1:$Q97))</f>
        <v>2020/3</v>
      </c>
      <c r="G103" s="2" t="str">
        <f>INDEX(Froto!$B$1:$Q$1,COLUMNS(Froto!G$1:$Q97))</f>
        <v>2020/6</v>
      </c>
      <c r="H103" s="2" t="str">
        <f>INDEX(Froto!$B$1:$Q$1,COLUMNS(Froto!H$1:$Q97))</f>
        <v>2020/9</v>
      </c>
      <c r="I103" s="2" t="str">
        <f>INDEX(Froto!$B$1:$Q$1,COLUMNS(Froto!I$1:$Q97))</f>
        <v>2020/12</v>
      </c>
      <c r="J103" s="2" t="str">
        <f>INDEX(Froto!$B$1:$Q$1,COLUMNS(Froto!J$1:$Q97))</f>
        <v>2021/3</v>
      </c>
      <c r="K103" s="2" t="str">
        <f>INDEX(Froto!$B$1:$Q$1,COLUMNS(Froto!K$1:$Q97))</f>
        <v>2021/6</v>
      </c>
      <c r="L103" s="2" t="str">
        <f>INDEX(Froto!$B$1:$Q$1,COLUMNS(Froto!L$1:$Q97))</f>
        <v>2021/9</v>
      </c>
      <c r="M103" s="2" t="str">
        <f>INDEX(Froto!$B$1:$Q$1,COLUMNS(Froto!M$1:$Q97))</f>
        <v>2021/12</v>
      </c>
      <c r="N103" s="2" t="str">
        <f>INDEX(Froto!$B$1:$Q$1,COLUMNS(Froto!N$1:$Q97))</f>
        <v>2022/3</v>
      </c>
      <c r="O103" s="2" t="str">
        <f>INDEX(Froto!$B$1:$Q$1,COLUMNS(Froto!O$1:$Q97))</f>
        <v>2022/6</v>
      </c>
      <c r="P103" s="2" t="str">
        <f>INDEX(Froto!$B$1:$Q$1,COLUMNS(Froto!P$1:$Q97))</f>
        <v>2022/9</v>
      </c>
      <c r="Q103" s="2" t="str">
        <f>INDEX(Froto!$B$1:$Q$1,COLUMNS(Froto!Q$1:$Q97))</f>
        <v>2022/12</v>
      </c>
    </row>
    <row r="104" spans="1:17" x14ac:dyDescent="0.25">
      <c r="A104" t="s">
        <v>230</v>
      </c>
      <c r="B104" s="6">
        <f>HLOOKUP(B103,'Yıllıklandırılmış Veriler'!$B$1:$R$108,108,0)</f>
        <v>1728891000</v>
      </c>
      <c r="C104" s="6">
        <f>HLOOKUP(C103,'Yıllıklandırılmış Veriler'!$B$1:$R$108,108,0)</f>
        <v>1652965000</v>
      </c>
      <c r="D104" s="6">
        <f>HLOOKUP(D103,'Yıllıklandırılmış Veriler'!$B$1:$R$108,108,0)</f>
        <v>1753545000</v>
      </c>
      <c r="E104" s="6">
        <f>HLOOKUP(E103,'Yıllıklandırılmış Veriler'!$B$1:$R$108,108,0)</f>
        <v>1959484000</v>
      </c>
      <c r="F104" s="6">
        <f>HLOOKUP(F103,'Yıllıklandırılmış Veriler'!$B$1:$R$108,108,0)</f>
        <v>2110953000</v>
      </c>
      <c r="G104" s="6">
        <f>HLOOKUP(G103,'Yıllıklandırılmış Veriler'!$B$1:$R$108,108,0)</f>
        <v>1980633000</v>
      </c>
      <c r="H104" s="6">
        <f>HLOOKUP(H103,'Yıllıklandırılmış Veriler'!$B$1:$R$108,108,0)</f>
        <v>2884483000</v>
      </c>
      <c r="I104" s="6">
        <f>HLOOKUP(I103,'Yıllıklandırılmış Veriler'!$B$1:$R$108,108,0)</f>
        <v>4194913000</v>
      </c>
      <c r="J104" s="6">
        <f>HLOOKUP(J103,'Yıllıklandırılmış Veriler'!$B$1:$R$108,108,0)</f>
        <v>5384858000</v>
      </c>
      <c r="K104" s="6">
        <f>HLOOKUP(K103,'Yıllıklandırılmış Veriler'!$B$1:$R$108,108,0)</f>
        <v>6104053000</v>
      </c>
      <c r="L104" s="6">
        <f>HLOOKUP(L103,'Yıllıklandırılmış Veriler'!$B$1:$R$108,108,0)</f>
        <v>6637968000</v>
      </c>
      <c r="M104" s="6">
        <f>HLOOKUP(M103,'Yıllıklandırılmış Veriler'!$B$1:$R$108,108,0)</f>
        <v>8801005000</v>
      </c>
      <c r="N104" s="6">
        <f>HLOOKUP(N103,'Yıllıklandırılmış Veriler'!$B$1:$R$108,108,0)</f>
        <v>9783410000</v>
      </c>
      <c r="O104" s="6">
        <f>HLOOKUP(O103,'Yıllıklandırılmış Veriler'!$B$1:$R$108,108,0)</f>
        <v>12488409000</v>
      </c>
      <c r="P104" s="6">
        <f>HLOOKUP(P103,'Yıllıklandırılmış Veriler'!$B$1:$R$108,108,0)</f>
        <v>14412415000</v>
      </c>
      <c r="Q104" s="6">
        <f>HLOOKUP(Q103,'Yıllıklandırılmış Veriler'!$B$1:$R$108,108,0)</f>
        <v>18613943000</v>
      </c>
    </row>
    <row r="105" spans="1:17" x14ac:dyDescent="0.25">
      <c r="A105" t="s">
        <v>246</v>
      </c>
      <c r="B105" s="6">
        <f>HLOOKUP(B103,'Yıllıklandırılmış Veriler'!$B$1:$R$61,61,0)</f>
        <v>350910000</v>
      </c>
      <c r="C105" s="6">
        <f>HLOOKUP(C103,'Yıllıklandırılmış Veriler'!$B$1:$R$61,61,0)</f>
        <v>350910000</v>
      </c>
      <c r="D105" s="6">
        <f>HLOOKUP(D103,'Yıllıklandırılmış Veriler'!$B$1:$R$61,61,0)</f>
        <v>350910000</v>
      </c>
      <c r="E105" s="6">
        <f>HLOOKUP(E103,'Yıllıklandırılmış Veriler'!$B$1:$R$61,61,0)</f>
        <v>350910000</v>
      </c>
      <c r="F105" s="6">
        <f>HLOOKUP(F103,'Yıllıklandırılmış Veriler'!$B$1:$R$61,61,0)</f>
        <v>350910000</v>
      </c>
      <c r="G105" s="6">
        <f>HLOOKUP(G103,'Yıllıklandırılmış Veriler'!$B$1:$R$61,61,0)</f>
        <v>350910000</v>
      </c>
      <c r="H105" s="6">
        <f>HLOOKUP(H103,'Yıllıklandırılmış Veriler'!$B$1:$R$61,61,0)</f>
        <v>350910000</v>
      </c>
      <c r="I105" s="6">
        <f>HLOOKUP(I103,'Yıllıklandırılmış Veriler'!$B$1:$R$61,61,0)</f>
        <v>350910000</v>
      </c>
      <c r="J105" s="6">
        <f>HLOOKUP(J103,'Yıllıklandırılmış Veriler'!$B$1:$R$61,61,0)</f>
        <v>350910000</v>
      </c>
      <c r="K105" s="6">
        <f>HLOOKUP(K103,'Yıllıklandırılmış Veriler'!$B$1:$R$61,61,0)</f>
        <v>350910000</v>
      </c>
      <c r="L105" s="6">
        <f>HLOOKUP(L103,'Yıllıklandırılmış Veriler'!$B$1:$R$61,61,0)</f>
        <v>350910000</v>
      </c>
      <c r="M105" s="6">
        <f>HLOOKUP(M103,'Yıllıklandırılmış Veriler'!$B$1:$R$61,61,0)</f>
        <v>350910000</v>
      </c>
      <c r="N105" s="6">
        <f>HLOOKUP(N103,'Yıllıklandırılmış Veriler'!$B$1:$R$61,61,0)</f>
        <v>350910000</v>
      </c>
      <c r="O105" s="6">
        <f>HLOOKUP(O103,'Yıllıklandırılmış Veriler'!$B$1:$R$61,61,0)</f>
        <v>350910000</v>
      </c>
      <c r="P105" s="6">
        <f>HLOOKUP(P103,'Yıllıklandırılmış Veriler'!$B$1:$R$61,61,0)</f>
        <v>350910000</v>
      </c>
      <c r="Q105" s="6">
        <f>HLOOKUP(Q103,'Yıllıklandırılmış Veriler'!$B$1:$R$61,61,0)</f>
        <v>350910000</v>
      </c>
    </row>
    <row r="106" spans="1:17" x14ac:dyDescent="0.25">
      <c r="A106" t="s">
        <v>247</v>
      </c>
      <c r="B106" s="29">
        <f>B104/B105</f>
        <v>4.9268786868427803</v>
      </c>
      <c r="C106" s="29">
        <f t="shared" ref="C106:Q106" si="8">C104/C105</f>
        <v>4.7105098173320794</v>
      </c>
      <c r="D106" s="29">
        <f t="shared" si="8"/>
        <v>4.9971360177823376</v>
      </c>
      <c r="E106" s="29">
        <f t="shared" si="8"/>
        <v>5.5840072953178881</v>
      </c>
      <c r="F106" s="29">
        <f t="shared" si="8"/>
        <v>6.0156535863896723</v>
      </c>
      <c r="G106" s="29">
        <f t="shared" si="8"/>
        <v>5.644276310165</v>
      </c>
      <c r="H106" s="29">
        <f t="shared" si="8"/>
        <v>8.2200079792539391</v>
      </c>
      <c r="I106" s="29">
        <f t="shared" si="8"/>
        <v>11.954384315066541</v>
      </c>
      <c r="J106" s="29">
        <f t="shared" si="8"/>
        <v>15.345410504117865</v>
      </c>
      <c r="K106" s="29">
        <f t="shared" si="8"/>
        <v>17.394924624547606</v>
      </c>
      <c r="L106" s="29">
        <f t="shared" si="8"/>
        <v>18.916440112849447</v>
      </c>
      <c r="M106" s="29">
        <f t="shared" si="8"/>
        <v>25.080519221452793</v>
      </c>
      <c r="N106" s="29">
        <f t="shared" si="8"/>
        <v>27.880111709555155</v>
      </c>
      <c r="O106" s="29">
        <f t="shared" si="8"/>
        <v>35.588638112336497</v>
      </c>
      <c r="P106" s="29">
        <f t="shared" si="8"/>
        <v>41.071542560770567</v>
      </c>
      <c r="Q106" s="29">
        <f t="shared" si="8"/>
        <v>53.044777863269786</v>
      </c>
    </row>
  </sheetData>
  <mergeCells count="5">
    <mergeCell ref="B6:Q6"/>
    <mergeCell ref="B37:Q37"/>
    <mergeCell ref="B59:Q59"/>
    <mergeCell ref="B80:Q80"/>
    <mergeCell ref="B102:Q10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AE15F-F718-4C9B-B396-F4E2E8A324A1}">
  <dimension ref="A3:Q32"/>
  <sheetViews>
    <sheetView zoomScale="70" zoomScaleNormal="70" workbookViewId="0">
      <selection activeCell="M29" sqref="M29"/>
    </sheetView>
  </sheetViews>
  <sheetFormatPr defaultRowHeight="15" x14ac:dyDescent="0.25"/>
  <cols>
    <col min="1" max="1" width="30.140625" bestFit="1" customWidth="1"/>
    <col min="2" max="14" width="14.5703125" bestFit="1" customWidth="1"/>
    <col min="15" max="17" width="15.7109375" bestFit="1" customWidth="1"/>
  </cols>
  <sheetData>
    <row r="3" spans="1:17" x14ac:dyDescent="0.25">
      <c r="B3" s="48" t="s">
        <v>252</v>
      </c>
      <c r="C3" s="48"/>
      <c r="D3" s="48"/>
      <c r="E3" s="48"/>
      <c r="F3" s="48"/>
      <c r="G3" s="48"/>
      <c r="H3" s="48"/>
      <c r="I3" s="48"/>
      <c r="J3" s="48"/>
      <c r="K3" s="48"/>
      <c r="L3" s="48"/>
      <c r="M3" s="48"/>
      <c r="N3" s="48"/>
      <c r="O3" s="48"/>
      <c r="P3" s="48"/>
      <c r="Q3" s="48"/>
    </row>
    <row r="4" spans="1:17" x14ac:dyDescent="0.25">
      <c r="B4" s="2" t="str">
        <f>INDEX(Froto!$B$1:$Q$1,COLUMNS(Froto!B$1:$Q1))</f>
        <v>2019/3</v>
      </c>
      <c r="C4" s="2" t="str">
        <f>INDEX(Froto!$B$1:$Q$1,COLUMNS(Froto!C$1:$Q1))</f>
        <v>2019/6</v>
      </c>
      <c r="D4" s="2" t="str">
        <f>INDEX(Froto!$B$1:$Q$1,COLUMNS(Froto!D$1:$Q1))</f>
        <v>2019/9</v>
      </c>
      <c r="E4" s="2" t="str">
        <f>INDEX(Froto!$B$1:$Q$1,COLUMNS(Froto!E$1:$Q1))</f>
        <v>2019/12</v>
      </c>
      <c r="F4" s="2" t="str">
        <f>INDEX(Froto!$B$1:$Q$1,COLUMNS(Froto!F$1:$Q1))</f>
        <v>2020/3</v>
      </c>
      <c r="G4" s="2" t="str">
        <f>INDEX(Froto!$B$1:$Q$1,COLUMNS(Froto!G$1:$Q1))</f>
        <v>2020/6</v>
      </c>
      <c r="H4" s="2" t="str">
        <f>INDEX(Froto!$B$1:$Q$1,COLUMNS(Froto!H$1:$Q1))</f>
        <v>2020/9</v>
      </c>
      <c r="I4" s="2" t="str">
        <f>INDEX(Froto!$B$1:$Q$1,COLUMNS(Froto!I$1:$Q1))</f>
        <v>2020/12</v>
      </c>
      <c r="J4" s="2" t="str">
        <f>INDEX(Froto!$B$1:$Q$1,COLUMNS(Froto!J$1:$Q1))</f>
        <v>2021/3</v>
      </c>
      <c r="K4" s="2" t="str">
        <f>INDEX(Froto!$B$1:$Q$1,COLUMNS(Froto!K$1:$Q1))</f>
        <v>2021/6</v>
      </c>
      <c r="L4" s="2" t="str">
        <f>INDEX(Froto!$B$1:$Q$1,COLUMNS(Froto!L$1:$Q1))</f>
        <v>2021/9</v>
      </c>
      <c r="M4" s="2" t="str">
        <f>INDEX(Froto!$B$1:$Q$1,COLUMNS(Froto!M$1:$Q1))</f>
        <v>2021/12</v>
      </c>
      <c r="N4" s="2" t="str">
        <f>INDEX(Froto!$B$1:$Q$1,COLUMNS(Froto!N$1:$Q1))</f>
        <v>2022/3</v>
      </c>
      <c r="O4" s="2" t="str">
        <f>INDEX(Froto!$B$1:$Q$1,COLUMNS(Froto!O$1:$Q1))</f>
        <v>2022/6</v>
      </c>
      <c r="P4" s="2" t="str">
        <f>INDEX(Froto!$B$1:$Q$1,COLUMNS(Froto!P$1:$Q1))</f>
        <v>2022/9</v>
      </c>
      <c r="Q4" s="2" t="str">
        <f>INDEX(Froto!$B$1:$Q$1,COLUMNS(Froto!Q$1:$Q1))</f>
        <v>2022/12</v>
      </c>
    </row>
    <row r="5" spans="1:17" x14ac:dyDescent="0.25">
      <c r="A5" t="s">
        <v>78</v>
      </c>
      <c r="B5" s="6">
        <f>HLOOKUP(B4,'Yıllıklandırılmış Veriler'!$B$1:$R$74,74,0)</f>
        <v>35294072000</v>
      </c>
      <c r="C5" s="6">
        <f>HLOOKUP(C4,'Yıllıklandırılmış Veriler'!$B$1:$R$74,74,0)</f>
        <v>36228894000</v>
      </c>
      <c r="D5" s="6">
        <f>HLOOKUP(D4,'Yıllıklandırılmış Veriler'!$B$1:$R$74,74,0)</f>
        <v>37754372000</v>
      </c>
      <c r="E5" s="6">
        <f>HLOOKUP(E4,'Yıllıklandırılmış Veriler'!$B$1:$R$74,74,0)</f>
        <v>39209019000</v>
      </c>
      <c r="F5" s="6">
        <f>HLOOKUP(F4,'Yıllıklandırılmış Veriler'!$B$1:$R$74,74,0)</f>
        <v>39291576000</v>
      </c>
      <c r="G5" s="6">
        <f>HLOOKUP(G4,'Yıllıklandırılmış Veriler'!$B$1:$R$74,74,0)</f>
        <v>35893712000</v>
      </c>
      <c r="H5" s="6">
        <f>HLOOKUP(H4,'Yıllıklandırılmış Veriler'!$B$1:$R$74,74,0)</f>
        <v>39992483000</v>
      </c>
      <c r="I5" s="6">
        <f>HLOOKUP(I4,'Yıllıklandırılmış Veriler'!$B$1:$R$74,74,0)</f>
        <v>49451407000</v>
      </c>
      <c r="J5" s="6">
        <f>HLOOKUP(J4,'Yıllıklandırılmış Veriler'!$B$1:$R$74,74,0)</f>
        <v>56338940000</v>
      </c>
      <c r="K5" s="6">
        <f>HLOOKUP(K4,'Yıllıklandırılmış Veriler'!$B$1:$R$74,74,0)</f>
        <v>61144236000</v>
      </c>
      <c r="L5" s="6">
        <f>HLOOKUP(L4,'Yıllıklandırılmış Veriler'!$B$1:$R$74,74,0)</f>
        <v>66618707000</v>
      </c>
      <c r="M5" s="6">
        <f>HLOOKUP(M4,'Yıllıklandırılmış Veriler'!$B$1:$R$74,74,0)</f>
        <v>71101258000</v>
      </c>
      <c r="N5" s="6">
        <f>HLOOKUP(N4,'Yıllıklandırılmış Veriler'!$B$1:$R$74,74,0)</f>
        <v>82723541000</v>
      </c>
      <c r="O5" s="6">
        <f>HLOOKUP(O4,'Yıllıklandırılmış Veriler'!$B$1:$R$74,74,0)</f>
        <v>105044600000</v>
      </c>
      <c r="P5" s="6">
        <f>HLOOKUP(P4,'Yıllıklandırılmış Veriler'!$B$1:$R$74,74,0)</f>
        <v>136301246000</v>
      </c>
      <c r="Q5" s="6">
        <f>HLOOKUP(Q4,'Yıllıklandırılmış Veriler'!$B$1:$R$74,74,0)</f>
        <v>171796902000</v>
      </c>
    </row>
    <row r="6" spans="1:17" x14ac:dyDescent="0.25">
      <c r="A6" t="s">
        <v>230</v>
      </c>
      <c r="B6" s="6">
        <f>HLOOKUP(B4,'Yıllıklandırılmış Veriler'!$B$1:$R$108,108,0)</f>
        <v>1728891000</v>
      </c>
      <c r="C6" s="6">
        <f>HLOOKUP(C4,'Yıllıklandırılmış Veriler'!$B$1:$R$108,108,0)</f>
        <v>1652965000</v>
      </c>
      <c r="D6" s="6">
        <f>HLOOKUP(D4,'Yıllıklandırılmış Veriler'!$B$1:$R$108,108,0)</f>
        <v>1753545000</v>
      </c>
      <c r="E6" s="6">
        <f>HLOOKUP(E4,'Yıllıklandırılmış Veriler'!$B$1:$R$108,108,0)</f>
        <v>1959484000</v>
      </c>
      <c r="F6" s="6">
        <f>HLOOKUP(F4,'Yıllıklandırılmış Veriler'!$B$1:$R$108,108,0)</f>
        <v>2110953000</v>
      </c>
      <c r="G6" s="6">
        <f>HLOOKUP(G4,'Yıllıklandırılmış Veriler'!$B$1:$R$108,108,0)</f>
        <v>1980633000</v>
      </c>
      <c r="H6" s="6">
        <f>HLOOKUP(H4,'Yıllıklandırılmış Veriler'!$B$1:$R$108,108,0)</f>
        <v>2884483000</v>
      </c>
      <c r="I6" s="6">
        <f>HLOOKUP(I4,'Yıllıklandırılmış Veriler'!$B$1:$R$108,108,0)</f>
        <v>4194913000</v>
      </c>
      <c r="J6" s="6">
        <f>HLOOKUP(J4,'Yıllıklandırılmış Veriler'!$B$1:$R$108,108,0)</f>
        <v>5384858000</v>
      </c>
      <c r="K6" s="6">
        <f>HLOOKUP(K4,'Yıllıklandırılmış Veriler'!$B$1:$R$108,108,0)</f>
        <v>6104053000</v>
      </c>
      <c r="L6" s="6">
        <f>HLOOKUP(L4,'Yıllıklandırılmış Veriler'!$B$1:$R$108,108,0)</f>
        <v>6637968000</v>
      </c>
      <c r="M6" s="6">
        <f>HLOOKUP(M4,'Yıllıklandırılmış Veriler'!$B$1:$R$108,108,0)</f>
        <v>8801005000</v>
      </c>
      <c r="N6" s="6">
        <f>HLOOKUP(N4,'Yıllıklandırılmış Veriler'!$B$1:$R$108,108,0)</f>
        <v>9783410000</v>
      </c>
      <c r="O6" s="6">
        <f>HLOOKUP(O4,'Yıllıklandırılmış Veriler'!$B$1:$R$108,108,0)</f>
        <v>12488409000</v>
      </c>
      <c r="P6" s="6">
        <f>HLOOKUP(P4,'Yıllıklandırılmış Veriler'!$B$1:$R$108,108,0)</f>
        <v>14412415000</v>
      </c>
      <c r="Q6" s="6">
        <f>HLOOKUP(Q4,'Yıllıklandırılmış Veriler'!$B$1:$R$108,108,0)</f>
        <v>18613943000</v>
      </c>
    </row>
    <row r="7" spans="1:17" x14ac:dyDescent="0.25">
      <c r="A7" t="s">
        <v>222</v>
      </c>
      <c r="B7" s="6">
        <f>HLOOKUP(B4,'Yıllıklandırılmış Veriler'!$B$1:$R$30,30,0)</f>
        <v>15228810000</v>
      </c>
      <c r="C7" s="6">
        <f>HLOOKUP(C4,'Yıllıklandırılmış Veriler'!$B$1:$R$30,30,0)</f>
        <v>15885025000</v>
      </c>
      <c r="D7" s="6">
        <f>HLOOKUP(D4,'Yıllıklandırılmış Veriler'!$B$1:$R$30,30,0)</f>
        <v>14551847000</v>
      </c>
      <c r="E7" s="6">
        <f>HLOOKUP(E4,'Yıllıklandırılmış Veriler'!$B$1:$R$30,30,0)</f>
        <v>16406372000</v>
      </c>
      <c r="F7" s="6">
        <f>HLOOKUP(F4,'Yıllıklandırılmış Veriler'!$B$1:$R$30,30,0)</f>
        <v>18051098000</v>
      </c>
      <c r="G7" s="6">
        <f>HLOOKUP(G4,'Yıllıklandırılmış Veriler'!$B$1:$R$30,30,0)</f>
        <v>19191612000</v>
      </c>
      <c r="H7" s="6">
        <f>HLOOKUP(H4,'Yıllıklandırılmış Veriler'!$B$1:$R$30,30,0)</f>
        <v>24071270000</v>
      </c>
      <c r="I7" s="6">
        <f>HLOOKUP(I4,'Yıllıklandırılmış Veriler'!$B$1:$R$30,30,0)</f>
        <v>24349179000</v>
      </c>
      <c r="J7" s="6">
        <f>HLOOKUP(J4,'Yıllıklandırılmış Veriler'!$B$1:$R$30,30,0)</f>
        <v>34195857000</v>
      </c>
      <c r="K7" s="6">
        <f>HLOOKUP(K4,'Yıllıklandırılmış Veriler'!$B$1:$R$30,30,0)</f>
        <v>29980116000</v>
      </c>
      <c r="L7" s="6">
        <f>HLOOKUP(L4,'Yıllıklandırılmış Veriler'!$B$1:$R$30,30,0)</f>
        <v>35629538000</v>
      </c>
      <c r="M7" s="6">
        <f>HLOOKUP(M4,'Yıllıklandırılmış Veriler'!$B$1:$R$30,30,0)</f>
        <v>42792853000</v>
      </c>
      <c r="N7" s="6">
        <f>HLOOKUP(N4,'Yıllıklandırılmış Veriler'!$B$1:$R$30,30,0)</f>
        <v>66380613000</v>
      </c>
      <c r="O7" s="6">
        <f>HLOOKUP(O4,'Yıllıklandırılmış Veriler'!$B$1:$R$30,30,0)</f>
        <v>82164417000</v>
      </c>
      <c r="P7" s="6">
        <f>HLOOKUP(P4,'Yıllıklandırılmış Veriler'!$B$1:$R$30,30,0)</f>
        <v>88504179000</v>
      </c>
      <c r="Q7" s="6">
        <f>HLOOKUP(Q4,'Yıllıklandırılmış Veriler'!$B$1:$R$30,30,0)</f>
        <v>96052247000</v>
      </c>
    </row>
    <row r="8" spans="1:17" x14ac:dyDescent="0.25">
      <c r="A8" t="s">
        <v>197</v>
      </c>
      <c r="B8" s="6">
        <f>HLOOKUP(B4,'Yıllıklandırılmış Veriler'!$B$1:$R$59,59,0)</f>
        <v>4157089000</v>
      </c>
      <c r="C8" s="6">
        <f>HLOOKUP(C4,'Yıllıklandırılmış Veriler'!$B$1:$R$59,59,0)</f>
        <v>4245015000</v>
      </c>
      <c r="D8" s="6">
        <f>HLOOKUP(D4,'Yıllıklandırılmış Veriler'!$B$1:$R$59,59,0)</f>
        <v>5090567000</v>
      </c>
      <c r="E8" s="6">
        <f>HLOOKUP(E4,'Yıllıklandırılmış Veriler'!$B$1:$R$59,59,0)</f>
        <v>4664921000</v>
      </c>
      <c r="F8" s="6">
        <f>HLOOKUP(F4,'Yıllıklandırılmış Veriler'!$B$1:$R$59,59,0)</f>
        <v>5190941000</v>
      </c>
      <c r="G8" s="6">
        <f>HLOOKUP(G4,'Yıllıklandırılmış Veriler'!$B$1:$R$59,59,0)</f>
        <v>4861828000</v>
      </c>
      <c r="H8" s="6">
        <f>HLOOKUP(H4,'Yıllıklandırılmış Veriler'!$B$1:$R$59,59,0)</f>
        <v>4820299000</v>
      </c>
      <c r="I8" s="6">
        <f>HLOOKUP(I4,'Yıllıklandırılmış Veriler'!$B$1:$R$59,59,0)</f>
        <v>7043902000</v>
      </c>
      <c r="J8" s="6">
        <f>HLOOKUP(J4,'Yıllıklandırılmış Veriler'!$B$1:$R$59,59,0)</f>
        <v>9074969000</v>
      </c>
      <c r="K8" s="6">
        <f>HLOOKUP(K4,'Yıllıklandırılmış Veriler'!$B$1:$R$59,59,0)</f>
        <v>9869822000</v>
      </c>
      <c r="L8" s="6">
        <f>HLOOKUP(L4,'Yıllıklandırılmış Veriler'!$B$1:$R$59,59,0)</f>
        <v>11274937000</v>
      </c>
      <c r="M8" s="6">
        <f>HLOOKUP(M4,'Yıllıklandırılmış Veriler'!$B$1:$R$59,59,0)</f>
        <v>10148538000</v>
      </c>
      <c r="N8" s="6">
        <f>HLOOKUP(N4,'Yıllıklandırılmış Veriler'!$B$1:$R$59,59,0)</f>
        <v>12395269000</v>
      </c>
      <c r="O8" s="6">
        <f>HLOOKUP(O4,'Yıllıklandırılmış Veriler'!$B$1:$R$59,59,0)</f>
        <v>14841384000</v>
      </c>
      <c r="P8" s="6">
        <f>HLOOKUP(P4,'Yıllıklandırılmış Veriler'!$B$1:$R$59,59,0)</f>
        <v>16783433000</v>
      </c>
      <c r="Q8" s="6">
        <f>HLOOKUP(Q4,'Yıllıklandırılmış Veriler'!$B$1:$R$59,59,0)</f>
        <v>21402174000</v>
      </c>
    </row>
    <row r="9" spans="1:17" x14ac:dyDescent="0.25">
      <c r="A9" s="2" t="s">
        <v>248</v>
      </c>
      <c r="C9" s="29">
        <f>((C5-B5)/B5)</f>
        <v>2.6486657589410482E-2</v>
      </c>
      <c r="D9" s="29">
        <f t="shared" ref="D9:Q9" si="0">((D5-C5)/C5)</f>
        <v>4.2106667678014131E-2</v>
      </c>
      <c r="E9" s="29">
        <f t="shared" si="0"/>
        <v>3.8529233117690319E-2</v>
      </c>
      <c r="F9" s="29">
        <f t="shared" si="0"/>
        <v>2.1055614780874777E-3</v>
      </c>
      <c r="G9" s="29">
        <f t="shared" si="0"/>
        <v>-8.6478180462906354E-2</v>
      </c>
      <c r="H9" s="29">
        <f t="shared" si="0"/>
        <v>0.11419189522666254</v>
      </c>
      <c r="I9" s="29">
        <f t="shared" si="0"/>
        <v>0.23651754756012525</v>
      </c>
      <c r="J9" s="29">
        <f t="shared" si="0"/>
        <v>0.13927880757770958</v>
      </c>
      <c r="K9" s="29">
        <f t="shared" si="0"/>
        <v>8.5292623538888029E-2</v>
      </c>
      <c r="L9" s="29">
        <f t="shared" si="0"/>
        <v>8.9533721543270245E-2</v>
      </c>
      <c r="M9" s="29">
        <f t="shared" si="0"/>
        <v>6.7286670694464243E-2</v>
      </c>
      <c r="N9" s="29">
        <f t="shared" si="0"/>
        <v>0.16346100374201536</v>
      </c>
      <c r="O9" s="29">
        <f t="shared" si="0"/>
        <v>0.2698271704785945</v>
      </c>
      <c r="P9" s="29">
        <f t="shared" si="0"/>
        <v>0.297555952424018</v>
      </c>
      <c r="Q9" s="29">
        <f t="shared" si="0"/>
        <v>0.26042062740937821</v>
      </c>
    </row>
    <row r="10" spans="1:17" x14ac:dyDescent="0.25">
      <c r="A10" s="2" t="s">
        <v>249</v>
      </c>
      <c r="C10" s="29">
        <f>((C6-B6)/B6)</f>
        <v>-4.3916013213094407E-2</v>
      </c>
      <c r="D10" s="29">
        <f t="shared" ref="D10:Q10" si="1">((D6-C6)/C6)</f>
        <v>6.0848233326174478E-2</v>
      </c>
      <c r="E10" s="29">
        <f t="shared" si="1"/>
        <v>0.11744152559529411</v>
      </c>
      <c r="F10" s="29">
        <f t="shared" si="1"/>
        <v>7.730045256812508E-2</v>
      </c>
      <c r="G10" s="29">
        <f t="shared" si="1"/>
        <v>-6.1735149953599154E-2</v>
      </c>
      <c r="H10" s="29">
        <f t="shared" si="1"/>
        <v>0.45634400719365981</v>
      </c>
      <c r="I10" s="29">
        <f t="shared" si="1"/>
        <v>0.4543032494904633</v>
      </c>
      <c r="J10" s="29">
        <f t="shared" si="1"/>
        <v>0.28366380899913779</v>
      </c>
      <c r="K10" s="29">
        <f t="shared" si="1"/>
        <v>0.13355876793779892</v>
      </c>
      <c r="L10" s="29">
        <f t="shared" si="1"/>
        <v>8.7468932527289656E-2</v>
      </c>
      <c r="M10" s="29">
        <f t="shared" si="1"/>
        <v>0.32585830483063494</v>
      </c>
      <c r="N10" s="29">
        <f t="shared" si="1"/>
        <v>0.11162418382900589</v>
      </c>
      <c r="O10" s="29">
        <f t="shared" si="1"/>
        <v>0.27648836141999567</v>
      </c>
      <c r="P10" s="29">
        <f t="shared" si="1"/>
        <v>0.15406333985377962</v>
      </c>
      <c r="Q10" s="29">
        <f t="shared" si="1"/>
        <v>0.29152144175698519</v>
      </c>
    </row>
    <row r="11" spans="1:17" x14ac:dyDescent="0.25">
      <c r="A11" s="2" t="s">
        <v>250</v>
      </c>
      <c r="C11" s="29">
        <f t="shared" ref="C11:Q12" si="2">((C7-B7)/B7)</f>
        <v>4.3090366220341576E-2</v>
      </c>
      <c r="D11" s="29">
        <f t="shared" si="2"/>
        <v>-8.3926717143976801E-2</v>
      </c>
      <c r="E11" s="29">
        <f t="shared" si="2"/>
        <v>0.12744258512338674</v>
      </c>
      <c r="F11" s="29">
        <f t="shared" si="2"/>
        <v>0.1002492202419889</v>
      </c>
      <c r="G11" s="29">
        <f t="shared" si="2"/>
        <v>6.3182527733216004E-2</v>
      </c>
      <c r="H11" s="29">
        <f t="shared" si="2"/>
        <v>0.25425993397532215</v>
      </c>
      <c r="I11" s="29">
        <f t="shared" si="2"/>
        <v>1.154525706371122E-2</v>
      </c>
      <c r="J11" s="29">
        <f t="shared" si="2"/>
        <v>0.40439466152020975</v>
      </c>
      <c r="K11" s="29">
        <f t="shared" si="2"/>
        <v>-0.12328221515255489</v>
      </c>
      <c r="L11" s="29">
        <f t="shared" si="2"/>
        <v>0.18843896401201382</v>
      </c>
      <c r="M11" s="29">
        <f t="shared" si="2"/>
        <v>0.20104989854204677</v>
      </c>
      <c r="N11" s="29">
        <f t="shared" si="2"/>
        <v>0.55120793184787187</v>
      </c>
      <c r="O11" s="29">
        <f t="shared" si="2"/>
        <v>0.2377773160967947</v>
      </c>
      <c r="P11" s="29">
        <f t="shared" si="2"/>
        <v>7.7159459428769506E-2</v>
      </c>
      <c r="Q11" s="29">
        <f t="shared" si="2"/>
        <v>8.5284876774010865E-2</v>
      </c>
    </row>
    <row r="12" spans="1:17" x14ac:dyDescent="0.25">
      <c r="A12" s="2" t="s">
        <v>251</v>
      </c>
      <c r="C12" s="29">
        <f t="shared" si="2"/>
        <v>2.1150858208712875E-2</v>
      </c>
      <c r="D12" s="29">
        <f t="shared" si="2"/>
        <v>0.19918704645331053</v>
      </c>
      <c r="E12" s="29">
        <f t="shared" si="2"/>
        <v>-8.3614654320432288E-2</v>
      </c>
      <c r="F12" s="29">
        <f t="shared" si="2"/>
        <v>0.11276075200416041</v>
      </c>
      <c r="G12" s="29">
        <f t="shared" si="2"/>
        <v>-6.3401414117401841E-2</v>
      </c>
      <c r="H12" s="29">
        <f t="shared" si="2"/>
        <v>-8.5418488683680297E-3</v>
      </c>
      <c r="I12" s="29">
        <f t="shared" si="2"/>
        <v>0.46129980733560305</v>
      </c>
      <c r="J12" s="29">
        <f t="shared" si="2"/>
        <v>0.28834401727905923</v>
      </c>
      <c r="K12" s="29">
        <f t="shared" si="2"/>
        <v>8.7587406634667297E-2</v>
      </c>
      <c r="L12" s="29">
        <f t="shared" si="2"/>
        <v>0.14236477618340027</v>
      </c>
      <c r="M12" s="29">
        <f t="shared" si="2"/>
        <v>-9.990290854840253E-2</v>
      </c>
      <c r="N12" s="29">
        <f t="shared" si="2"/>
        <v>0.22138469600251781</v>
      </c>
      <c r="O12" s="29">
        <f t="shared" si="2"/>
        <v>0.19734263128940566</v>
      </c>
      <c r="P12" s="29">
        <f t="shared" si="2"/>
        <v>0.13085363197933561</v>
      </c>
      <c r="Q12" s="29">
        <f t="shared" si="2"/>
        <v>0.27519643925053949</v>
      </c>
    </row>
    <row r="32" ht="33.75" customHeight="1" x14ac:dyDescent="0.25"/>
  </sheetData>
  <mergeCells count="1">
    <mergeCell ref="B3:Q3"/>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56837-5C65-410A-A9FE-99EAC6E7DD37}">
  <dimension ref="A3:Q9"/>
  <sheetViews>
    <sheetView workbookViewId="0">
      <selection activeCell="I20" sqref="I20"/>
    </sheetView>
  </sheetViews>
  <sheetFormatPr defaultRowHeight="15" x14ac:dyDescent="0.25"/>
  <cols>
    <col min="1" max="1" width="21.140625" bestFit="1" customWidth="1"/>
    <col min="2" max="17" width="13.85546875" bestFit="1" customWidth="1"/>
  </cols>
  <sheetData>
    <row r="3" spans="1:17" x14ac:dyDescent="0.25">
      <c r="B3" s="48" t="s">
        <v>257</v>
      </c>
      <c r="C3" s="48"/>
      <c r="D3" s="48"/>
      <c r="E3" s="48"/>
      <c r="F3" s="48"/>
      <c r="G3" s="48"/>
      <c r="H3" s="48"/>
      <c r="I3" s="48"/>
      <c r="J3" s="48"/>
      <c r="K3" s="48"/>
      <c r="L3" s="48"/>
      <c r="M3" s="48"/>
      <c r="N3" s="48"/>
      <c r="O3" s="48"/>
      <c r="P3" s="48"/>
      <c r="Q3" s="48"/>
    </row>
    <row r="4" spans="1:17" x14ac:dyDescent="0.25">
      <c r="B4" s="2" t="str">
        <f>INDEX(Froto!$B$1:$Q$1,COLUMNS(Froto!B$1:$Q1))</f>
        <v>2019/3</v>
      </c>
      <c r="C4" s="2" t="str">
        <f>INDEX(Froto!$B$1:$Q$1,COLUMNS(Froto!C$1:$Q1))</f>
        <v>2019/6</v>
      </c>
      <c r="D4" s="2" t="str">
        <f>INDEX(Froto!$B$1:$Q$1,COLUMNS(Froto!D$1:$Q1))</f>
        <v>2019/9</v>
      </c>
      <c r="E4" s="2" t="str">
        <f>INDEX(Froto!$B$1:$Q$1,COLUMNS(Froto!E$1:$Q1))</f>
        <v>2019/12</v>
      </c>
      <c r="F4" s="2" t="str">
        <f>INDEX(Froto!$B$1:$Q$1,COLUMNS(Froto!F$1:$Q1))</f>
        <v>2020/3</v>
      </c>
      <c r="G4" s="2" t="str">
        <f>INDEX(Froto!$B$1:$Q$1,COLUMNS(Froto!G$1:$Q1))</f>
        <v>2020/6</v>
      </c>
      <c r="H4" s="2" t="str">
        <f>INDEX(Froto!$B$1:$Q$1,COLUMNS(Froto!H$1:$Q1))</f>
        <v>2020/9</v>
      </c>
      <c r="I4" s="2" t="str">
        <f>INDEX(Froto!$B$1:$Q$1,COLUMNS(Froto!I$1:$Q1))</f>
        <v>2020/12</v>
      </c>
      <c r="J4" s="2" t="str">
        <f>INDEX(Froto!$B$1:$Q$1,COLUMNS(Froto!J$1:$Q1))</f>
        <v>2021/3</v>
      </c>
      <c r="K4" s="2" t="str">
        <f>INDEX(Froto!$B$1:$Q$1,COLUMNS(Froto!K$1:$Q1))</f>
        <v>2021/6</v>
      </c>
      <c r="L4" s="2" t="str">
        <f>INDEX(Froto!$B$1:$Q$1,COLUMNS(Froto!L$1:$Q1))</f>
        <v>2021/9</v>
      </c>
      <c r="M4" s="2" t="str">
        <f>INDEX(Froto!$B$1:$Q$1,COLUMNS(Froto!M$1:$Q1))</f>
        <v>2021/12</v>
      </c>
      <c r="N4" s="2" t="str">
        <f>INDEX(Froto!$B$1:$Q$1,COLUMNS(Froto!N$1:$Q1))</f>
        <v>2022/3</v>
      </c>
      <c r="O4" s="2" t="str">
        <f>INDEX(Froto!$B$1:$Q$1,COLUMNS(Froto!O$1:$Q1))</f>
        <v>2022/6</v>
      </c>
      <c r="P4" s="2" t="str">
        <f>INDEX(Froto!$B$1:$Q$1,COLUMNS(Froto!P$1:$Q1))</f>
        <v>2022/9</v>
      </c>
      <c r="Q4" s="2" t="str">
        <f>INDEX(Froto!$B$1:$Q$1,COLUMNS(Froto!Q$1:$Q1))</f>
        <v>2022/12</v>
      </c>
    </row>
    <row r="5" spans="1:17" x14ac:dyDescent="0.25">
      <c r="A5" s="2" t="s">
        <v>256</v>
      </c>
      <c r="B5" s="29">
        <f>HLOOKUP(B4,'Karlılık Oranları'!$B$81:$Q$85,5,0)</f>
        <v>0</v>
      </c>
      <c r="C5" s="29">
        <f>HLOOKUP(C4,'Karlılık Oranları'!$B$81:$Q$85,5,0)</f>
        <v>0</v>
      </c>
      <c r="D5" s="29">
        <f>HLOOKUP(D4,'Karlılık Oranları'!$B$81:$Q$85,5,0)</f>
        <v>0</v>
      </c>
      <c r="E5" s="29">
        <f>HLOOKUP(E4,'Karlılık Oranları'!$B$81:$Q$85,5,0)</f>
        <v>0</v>
      </c>
      <c r="F5" s="29">
        <f>HLOOKUP(F4,'Karlılık Oranları'!$B$81:$Q$85,5,0)</f>
        <v>0.45163590617488392</v>
      </c>
      <c r="G5" s="29">
        <f>HLOOKUP(G4,'Karlılık Oranları'!$B$81:$Q$85,5,0)</f>
        <v>0.43497686300290889</v>
      </c>
      <c r="H5" s="29">
        <f>HLOOKUP(H4,'Karlılık Oranları'!$B$81:$Q$85,5,0)</f>
        <v>0.58208495604723143</v>
      </c>
      <c r="I5" s="29">
        <f>HLOOKUP(I4,'Karlılık Oranları'!$B$81:$Q$85,5,0)</f>
        <v>0.7165388015516162</v>
      </c>
      <c r="J5" s="29">
        <f>HLOOKUP(J4,'Karlılık Oranları'!$B$81:$Q$85,5,0)</f>
        <v>0.75492667484934362</v>
      </c>
      <c r="K5" s="29">
        <f>HLOOKUP(K4,'Karlılık Oranları'!$B$81:$Q$85,5,0)</f>
        <v>0.82869916132951837</v>
      </c>
      <c r="L5" s="29">
        <f>HLOOKUP(L4,'Karlılık Oranları'!$B$81:$Q$85,5,0)</f>
        <v>0.8248363677301781</v>
      </c>
      <c r="M5" s="29">
        <f>HLOOKUP(M4,'Karlılık Oranları'!$B$81:$Q$85,5,0)</f>
        <v>1.0238226802012977</v>
      </c>
      <c r="N5" s="29">
        <f>HLOOKUP(N4,'Karlılık Oranları'!$B$81:$Q$85,5,0)</f>
        <v>0.91134620864472948</v>
      </c>
      <c r="O5" s="29">
        <f>HLOOKUP(O4,'Karlılık Oranları'!$B$81:$Q$85,5,0)</f>
        <v>1.0107486457763333</v>
      </c>
      <c r="P5" s="29">
        <f>HLOOKUP(P4,'Karlılık Oranları'!$B$81:$Q$85,5,0)</f>
        <v>1.0273166260192592</v>
      </c>
      <c r="Q5" s="29">
        <f>HLOOKUP(Q4,'Karlılık Oranları'!$B$81:$Q$85,5,0)</f>
        <v>1.1799380628874556</v>
      </c>
    </row>
    <row r="6" spans="1:17" x14ac:dyDescent="0.25">
      <c r="A6" t="s">
        <v>259</v>
      </c>
      <c r="B6" s="6">
        <f>HLOOKUP(B4,'Yıllıklandırılmış Veriler'!$B$1:$R$32,32,0)</f>
        <v>9145671000</v>
      </c>
      <c r="C6" s="6">
        <f>HLOOKUP(C4,'Yıllıklandırılmış Veriler'!$B$1:$R$32,32,0)</f>
        <v>9368303000</v>
      </c>
      <c r="D6" s="6">
        <f>HLOOKUP(D4,'Yıllıklandırılmış Veriler'!$B$1:$R$32,32,0)</f>
        <v>7661212000</v>
      </c>
      <c r="E6" s="6">
        <f>HLOOKUP(E4,'Yıllıklandırılmış Veriler'!$B$1:$R$32,32,0)</f>
        <v>8645371000</v>
      </c>
      <c r="F6" s="6">
        <f>HLOOKUP(F4,'Yıllıklandırılmış Veriler'!$B$1:$R$32,32,0)</f>
        <v>8528605000</v>
      </c>
      <c r="G6" s="6">
        <f>HLOOKUP(G4,'Yıllıklandırılmış Veriler'!$B$1:$R$32,32,0)</f>
        <v>9805916000</v>
      </c>
      <c r="H6" s="6">
        <f>HLOOKUP(H4,'Yıllıklandırılmış Veriler'!$B$1:$R$32,32,0)</f>
        <v>13146188000</v>
      </c>
      <c r="I6" s="6">
        <f>HLOOKUP(I4,'Yıllıklandırılmış Veriler'!$B$1:$R$32,32,0)</f>
        <v>12480781000</v>
      </c>
      <c r="J6" s="6">
        <f>HLOOKUP(J4,'Yıllıklandırılmış Veriler'!$B$1:$R$32,32,0)</f>
        <v>18378724000</v>
      </c>
      <c r="K6" s="6">
        <f>HLOOKUP(K4,'Yıllıklandırılmış Veriler'!$B$1:$R$32,32,0)</f>
        <v>14510383000</v>
      </c>
      <c r="L6" s="6">
        <f>HLOOKUP(L4,'Yıllıklandırılmış Veriler'!$B$1:$R$32,32,0)</f>
        <v>18187563000</v>
      </c>
      <c r="M6" s="6">
        <f>HLOOKUP(M4,'Yıllıklandırılmış Veriler'!$B$1:$R$32,32,0)</f>
        <v>20782144000</v>
      </c>
      <c r="N6" s="6">
        <f>HLOOKUP(N4,'Yıllıklandırılmış Veriler'!$B$1:$R$32,32,0)</f>
        <v>31960696000</v>
      </c>
      <c r="O6" s="6">
        <f>HLOOKUP(O4,'Yıllıklandırılmış Veriler'!$B$1:$R$32,32,0)</f>
        <v>43838299000</v>
      </c>
      <c r="P6" s="6">
        <f>HLOOKUP(P4,'Yıllıklandırılmış Veriler'!$B$1:$R$32,32,0)</f>
        <v>44036123000</v>
      </c>
      <c r="Q6" s="6">
        <f>HLOOKUP(Q4,'Yıllıklandırılmış Veriler'!$B$1:$R$32,32,0)</f>
        <v>46205980000</v>
      </c>
    </row>
    <row r="7" spans="1:17" x14ac:dyDescent="0.25">
      <c r="A7" t="s">
        <v>260</v>
      </c>
      <c r="B7" s="6">
        <f>HLOOKUP(B4,'Yıllıklandırılmış Veriler'!$B$1:$R$46,46,0)</f>
        <v>1926050000</v>
      </c>
      <c r="C7" s="6">
        <f>HLOOKUP(C4,'Yıllıklandırılmış Veriler'!$B$1:$R$46,46,0)</f>
        <v>2271707000</v>
      </c>
      <c r="D7" s="6">
        <f>HLOOKUP(D4,'Yıllıklandırılmış Veriler'!$B$1:$R$46,46,0)</f>
        <v>1800068000</v>
      </c>
      <c r="E7" s="6">
        <f>HLOOKUP(E4,'Yıllıklandırılmış Veriler'!$B$1:$R$46,46,0)</f>
        <v>3096080000</v>
      </c>
      <c r="F7" s="6">
        <f>HLOOKUP(F4,'Yıllıklandırılmış Veriler'!$B$1:$R$46,46,0)</f>
        <v>4331552000</v>
      </c>
      <c r="G7" s="6">
        <f>HLOOKUP(G4,'Yıllıklandırılmış Veriler'!$B$1:$R$46,46,0)</f>
        <v>4523868000</v>
      </c>
      <c r="H7" s="6">
        <f>HLOOKUP(H4,'Yıllıklandırılmış Veriler'!$B$1:$R$46,46,0)</f>
        <v>6104783000</v>
      </c>
      <c r="I7" s="6">
        <f>HLOOKUP(I4,'Yıllıklandırılmış Veriler'!$B$1:$R$46,46,0)</f>
        <v>4824496000</v>
      </c>
      <c r="J7" s="6">
        <f>HLOOKUP(J4,'Yıllıklandırılmış Veriler'!$B$1:$R$46,46,0)</f>
        <v>6742164000</v>
      </c>
      <c r="K7" s="6">
        <f>HLOOKUP(K4,'Yıllıklandırılmış Veriler'!$B$1:$R$46,46,0)</f>
        <v>5599911000</v>
      </c>
      <c r="L7" s="6">
        <f>HLOOKUP(L4,'Yıllıklandırılmış Veriler'!$B$1:$R$46,46,0)</f>
        <v>6167038000</v>
      </c>
      <c r="M7" s="6">
        <f>HLOOKUP(M4,'Yıllıklandırılmış Veriler'!$B$1:$R$46,46,0)</f>
        <v>11862171000</v>
      </c>
      <c r="N7" s="6">
        <f>HLOOKUP(N4,'Yıllıklandırılmış Veriler'!$B$1:$R$46,46,0)</f>
        <v>22024648000</v>
      </c>
      <c r="O7" s="6">
        <f>HLOOKUP(O4,'Yıllıklandırılmış Veriler'!$B$1:$R$46,46,0)</f>
        <v>23484734000</v>
      </c>
      <c r="P7" s="6">
        <f>HLOOKUP(P4,'Yıllıklandırılmış Veriler'!$B$1:$R$46,46,0)</f>
        <v>27684623000</v>
      </c>
      <c r="Q7" s="6">
        <f>HLOOKUP(Q4,'Yıllıklandırılmış Veriler'!$B$1:$R$46,46,0)</f>
        <v>28444093000</v>
      </c>
    </row>
    <row r="8" spans="1:17" x14ac:dyDescent="0.25">
      <c r="A8" t="s">
        <v>194</v>
      </c>
      <c r="B8" s="6">
        <f>HLOOKUP(B4,'Yıllıklandırılmış Veriler'!$B$1:$R$30,30,0)</f>
        <v>15228810000</v>
      </c>
      <c r="C8" s="6">
        <f>HLOOKUP(C4,'Yıllıklandırılmış Veriler'!$B$1:$R$30,30,0)</f>
        <v>15885025000</v>
      </c>
      <c r="D8" s="6">
        <f>HLOOKUP(D4,'Yıllıklandırılmış Veriler'!$B$1:$R$30,30,0)</f>
        <v>14551847000</v>
      </c>
      <c r="E8" s="6">
        <f>HLOOKUP(E4,'Yıllıklandırılmış Veriler'!$B$1:$R$30,30,0)</f>
        <v>16406372000</v>
      </c>
      <c r="F8" s="6">
        <f>HLOOKUP(F4,'Yıllıklandırılmış Veriler'!$B$1:$R$30,30,0)</f>
        <v>18051098000</v>
      </c>
      <c r="G8" s="6">
        <f>HLOOKUP(G4,'Yıllıklandırılmış Veriler'!$B$1:$R$30,30,0)</f>
        <v>19191612000</v>
      </c>
      <c r="H8" s="6">
        <f>HLOOKUP(H4,'Yıllıklandırılmış Veriler'!$B$1:$R$30,30,0)</f>
        <v>24071270000</v>
      </c>
      <c r="I8" s="6">
        <f>HLOOKUP(I4,'Yıllıklandırılmış Veriler'!$B$1:$R$30,30,0)</f>
        <v>24349179000</v>
      </c>
      <c r="J8" s="6">
        <f>HLOOKUP(J4,'Yıllıklandırılmış Veriler'!$B$1:$R$30,30,0)</f>
        <v>34195857000</v>
      </c>
      <c r="K8" s="6">
        <f>HLOOKUP(K4,'Yıllıklandırılmış Veriler'!$B$1:$R$30,30,0)</f>
        <v>29980116000</v>
      </c>
      <c r="L8" s="6">
        <f>HLOOKUP(L4,'Yıllıklandırılmış Veriler'!$B$1:$R$30,30,0)</f>
        <v>35629538000</v>
      </c>
      <c r="M8" s="6">
        <f>HLOOKUP(M4,'Yıllıklandırılmış Veriler'!$B$1:$R$30,30,0)</f>
        <v>42792853000</v>
      </c>
      <c r="N8" s="6">
        <f>HLOOKUP(N4,'Yıllıklandırılmış Veriler'!$B$1:$R$30,30,0)</f>
        <v>66380613000</v>
      </c>
      <c r="O8" s="6">
        <f>HLOOKUP(O4,'Yıllıklandırılmış Veriler'!$B$1:$R$30,30,0)</f>
        <v>82164417000</v>
      </c>
      <c r="P8" s="6">
        <f>HLOOKUP(P4,'Yıllıklandırılmış Veriler'!$B$1:$R$30,30,0)</f>
        <v>88504179000</v>
      </c>
      <c r="Q8" s="6">
        <f>HLOOKUP(Q4,'Yıllıklandırılmış Veriler'!$B$1:$R$30,30,0)</f>
        <v>96052247000</v>
      </c>
    </row>
    <row r="9" spans="1:17" x14ac:dyDescent="0.25">
      <c r="A9" s="2" t="s">
        <v>258</v>
      </c>
      <c r="B9" s="29">
        <f>(B6+B7)/B8</f>
        <v>0.72702469858117602</v>
      </c>
      <c r="C9" s="29">
        <f t="shared" ref="C9:Q9" si="0">(C6+C7)/C8</f>
        <v>0.73276623738395119</v>
      </c>
      <c r="D9" s="29">
        <f t="shared" si="0"/>
        <v>0.65017725928536774</v>
      </c>
      <c r="E9" s="29">
        <f t="shared" si="0"/>
        <v>0.71566407247135444</v>
      </c>
      <c r="F9" s="29">
        <f t="shared" si="0"/>
        <v>0.71243073413041136</v>
      </c>
      <c r="G9" s="29">
        <f t="shared" si="0"/>
        <v>0.74666911773747824</v>
      </c>
      <c r="H9" s="29">
        <f t="shared" si="0"/>
        <v>0.79974887074923762</v>
      </c>
      <c r="I9" s="29">
        <f t="shared" si="0"/>
        <v>0.71071295668736922</v>
      </c>
      <c r="J9" s="29">
        <f t="shared" si="0"/>
        <v>0.73461788075672441</v>
      </c>
      <c r="K9" s="29">
        <f t="shared" si="0"/>
        <v>0.67078773144173287</v>
      </c>
      <c r="L9" s="29">
        <f t="shared" si="0"/>
        <v>0.68355085042079411</v>
      </c>
      <c r="M9" s="29">
        <f t="shared" si="0"/>
        <v>0.76284502461193693</v>
      </c>
      <c r="N9" s="29">
        <f t="shared" si="0"/>
        <v>0.81326974187478507</v>
      </c>
      <c r="O9" s="29">
        <f t="shared" si="0"/>
        <v>0.81936969138355842</v>
      </c>
      <c r="P9" s="29">
        <f t="shared" si="0"/>
        <v>0.81036564386411625</v>
      </c>
      <c r="Q9" s="29">
        <f t="shared" si="0"/>
        <v>0.77718195390056832</v>
      </c>
    </row>
  </sheetData>
  <mergeCells count="1">
    <mergeCell ref="B3:Q3"/>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F7BB7-F40C-4707-AC2A-42C3D79539D2}">
  <dimension ref="A3:Q20"/>
  <sheetViews>
    <sheetView topLeftCell="A10" zoomScale="70" zoomScaleNormal="70" workbookViewId="0">
      <selection activeCell="O39" sqref="O39"/>
    </sheetView>
  </sheetViews>
  <sheetFormatPr defaultRowHeight="15" x14ac:dyDescent="0.25"/>
  <cols>
    <col min="1" max="1" width="36.28515625" bestFit="1" customWidth="1"/>
    <col min="2" max="14" width="14.5703125" bestFit="1" customWidth="1"/>
    <col min="15" max="17" width="15.7109375" bestFit="1" customWidth="1"/>
  </cols>
  <sheetData>
    <row r="3" spans="1:17" x14ac:dyDescent="0.25">
      <c r="B3" s="48" t="s">
        <v>374</v>
      </c>
      <c r="C3" s="48"/>
      <c r="D3" s="48"/>
      <c r="E3" s="48"/>
      <c r="F3" s="48"/>
      <c r="G3" s="48"/>
      <c r="H3" s="48"/>
      <c r="I3" s="48"/>
      <c r="J3" s="48"/>
      <c r="K3" s="48"/>
      <c r="L3" s="48"/>
      <c r="M3" s="48"/>
      <c r="N3" s="48"/>
      <c r="O3" s="48"/>
      <c r="P3" s="48"/>
      <c r="Q3" s="48"/>
    </row>
    <row r="4" spans="1:17" x14ac:dyDescent="0.25">
      <c r="B4" s="2" t="str">
        <f>INDEX(Froto!$B$1:$Q$1,COLUMNS(Froto!B$1:$Q1))</f>
        <v>2019/3</v>
      </c>
      <c r="C4" s="2" t="str">
        <f>INDEX(Froto!$B$1:$Q$1,COLUMNS(Froto!C$1:$Q1))</f>
        <v>2019/6</v>
      </c>
      <c r="D4" s="2" t="str">
        <f>INDEX(Froto!$B$1:$Q$1,COLUMNS(Froto!D$1:$Q1))</f>
        <v>2019/9</v>
      </c>
      <c r="E4" s="2" t="str">
        <f>INDEX(Froto!$B$1:$Q$1,COLUMNS(Froto!E$1:$Q1))</f>
        <v>2019/12</v>
      </c>
      <c r="F4" s="2" t="str">
        <f>INDEX(Froto!$B$1:$Q$1,COLUMNS(Froto!F$1:$Q1))</f>
        <v>2020/3</v>
      </c>
      <c r="G4" s="2" t="str">
        <f>INDEX(Froto!$B$1:$Q$1,COLUMNS(Froto!G$1:$Q1))</f>
        <v>2020/6</v>
      </c>
      <c r="H4" s="2" t="str">
        <f>INDEX(Froto!$B$1:$Q$1,COLUMNS(Froto!H$1:$Q1))</f>
        <v>2020/9</v>
      </c>
      <c r="I4" s="2" t="str">
        <f>INDEX(Froto!$B$1:$Q$1,COLUMNS(Froto!I$1:$Q1))</f>
        <v>2020/12</v>
      </c>
      <c r="J4" s="2" t="str">
        <f>INDEX(Froto!$B$1:$Q$1,COLUMNS(Froto!J$1:$Q1))</f>
        <v>2021/3</v>
      </c>
      <c r="K4" s="2" t="str">
        <f>INDEX(Froto!$B$1:$Q$1,COLUMNS(Froto!K$1:$Q1))</f>
        <v>2021/6</v>
      </c>
      <c r="L4" s="2" t="str">
        <f>INDEX(Froto!$B$1:$Q$1,COLUMNS(Froto!L$1:$Q1))</f>
        <v>2021/9</v>
      </c>
      <c r="M4" s="2" t="str">
        <f>INDEX(Froto!$B$1:$Q$1,COLUMNS(Froto!M$1:$Q1))</f>
        <v>2021/12</v>
      </c>
      <c r="N4" s="2" t="str">
        <f>INDEX(Froto!$B$1:$Q$1,COLUMNS(Froto!N$1:$Q1))</f>
        <v>2022/3</v>
      </c>
      <c r="O4" s="2" t="str">
        <f>INDEX(Froto!$B$1:$Q$1,COLUMNS(Froto!O$1:$Q1))</f>
        <v>2022/6</v>
      </c>
      <c r="P4" s="2" t="str">
        <f>INDEX(Froto!$B$1:$Q$1,COLUMNS(Froto!P$1:$Q1))</f>
        <v>2022/9</v>
      </c>
      <c r="Q4" s="2" t="str">
        <f>INDEX(Froto!$B$1:$Q$1,COLUMNS(Froto!Q$1:$Q1))</f>
        <v>2022/12</v>
      </c>
    </row>
    <row r="5" spans="1:17" x14ac:dyDescent="0.25">
      <c r="A5" t="s">
        <v>375</v>
      </c>
      <c r="B5" s="6">
        <f>HLOOKUP(B4,Froto!$B$1:$U$74,74,0)</f>
        <v>9284052000</v>
      </c>
      <c r="C5" s="6">
        <f>HLOOKUP(C4,Froto!$B$1:$U$74,74,0)</f>
        <v>18409222000</v>
      </c>
      <c r="D5" s="6">
        <f>HLOOKUP(D4,Froto!$B$1:$U$74,74,0)</f>
        <v>27706725000</v>
      </c>
      <c r="E5" s="6">
        <f>HLOOKUP(E4,Froto!$B$1:$U$74,74,0)</f>
        <v>39209019000</v>
      </c>
      <c r="F5" s="6">
        <f>HLOOKUP(F4,Froto!$B$1:$U$74,74,0)</f>
        <v>9366609000</v>
      </c>
      <c r="G5" s="6">
        <f>HLOOKUP(G4,Froto!$B$1:$U$74,74,0)</f>
        <v>15093915000</v>
      </c>
      <c r="H5" s="6">
        <f>HLOOKUP(H4,Froto!$B$1:$U$74,74,0)</f>
        <v>28490189000</v>
      </c>
      <c r="I5" s="6">
        <f>HLOOKUP(I4,Froto!$B$1:$U$74,74,0)</f>
        <v>49451407000</v>
      </c>
      <c r="J5" s="6">
        <f>HLOOKUP(J4,Froto!$B$1:$U$74,74,0)</f>
        <v>16254142000</v>
      </c>
      <c r="K5" s="6">
        <f>HLOOKUP(K4,Froto!$B$1:$U$74,74,0)</f>
        <v>26786744000</v>
      </c>
      <c r="L5" s="6">
        <f>HLOOKUP(L4,Froto!$B$1:$U$74,74,0)</f>
        <v>45657489000</v>
      </c>
      <c r="M5" s="6">
        <f>HLOOKUP(M4,Froto!$B$1:$U$74,74,0)</f>
        <v>71101258000</v>
      </c>
      <c r="N5" s="6">
        <f>HLOOKUP(N4,Froto!$B$1:$U$74,74,0)</f>
        <v>27876425000</v>
      </c>
      <c r="O5" s="6">
        <f>HLOOKUP(O4,Froto!$B$1:$U$74,74,0)</f>
        <v>60730086000</v>
      </c>
      <c r="P5" s="6">
        <f>HLOOKUP(P4,Froto!$B$1:$U$74,74,0)</f>
        <v>110857477000</v>
      </c>
      <c r="Q5" s="6">
        <f>HLOOKUP(Q4,Froto!$B$1:$U$74,74,0)</f>
        <v>171796902000</v>
      </c>
    </row>
    <row r="6" spans="1:17" x14ac:dyDescent="0.25">
      <c r="A6" t="s">
        <v>376</v>
      </c>
      <c r="B6" s="6">
        <f>HLOOKUP(B4,'Yıllıklandırılmış Veriler'!$B$1:$R$74,74,0)</f>
        <v>35294072000</v>
      </c>
      <c r="C6" s="6">
        <f>HLOOKUP(C4,'Yıllıklandırılmış Veriler'!$B$1:$R$74,74,0)</f>
        <v>36228894000</v>
      </c>
      <c r="D6" s="6">
        <f>HLOOKUP(D4,'Yıllıklandırılmış Veriler'!$B$1:$R$74,74,0)</f>
        <v>37754372000</v>
      </c>
      <c r="E6" s="6">
        <f>HLOOKUP(E4,'Yıllıklandırılmış Veriler'!$B$1:$R$74,74,0)</f>
        <v>39209019000</v>
      </c>
      <c r="F6" s="6">
        <f>HLOOKUP(F4,'Yıllıklandırılmış Veriler'!$B$1:$R$74,74,0)</f>
        <v>39291576000</v>
      </c>
      <c r="G6" s="6">
        <f>HLOOKUP(G4,'Yıllıklandırılmış Veriler'!$B$1:$R$74,74,0)</f>
        <v>35893712000</v>
      </c>
      <c r="H6" s="6">
        <f>HLOOKUP(H4,'Yıllıklandırılmış Veriler'!$B$1:$R$74,74,0)</f>
        <v>39992483000</v>
      </c>
      <c r="I6" s="6">
        <f>HLOOKUP(I4,'Yıllıklandırılmış Veriler'!$B$1:$R$74,74,0)</f>
        <v>49451407000</v>
      </c>
      <c r="J6" s="6">
        <f>HLOOKUP(J4,'Yıllıklandırılmış Veriler'!$B$1:$R$74,74,0)</f>
        <v>56338940000</v>
      </c>
      <c r="K6" s="6">
        <f>HLOOKUP(K4,'Yıllıklandırılmış Veriler'!$B$1:$R$74,74,0)</f>
        <v>61144236000</v>
      </c>
      <c r="L6" s="6">
        <f>HLOOKUP(L4,'Yıllıklandırılmış Veriler'!$B$1:$R$74,74,0)</f>
        <v>66618707000</v>
      </c>
      <c r="M6" s="6">
        <f>HLOOKUP(M4,'Yıllıklandırılmış Veriler'!$B$1:$R$74,74,0)</f>
        <v>71101258000</v>
      </c>
      <c r="N6" s="6">
        <f>HLOOKUP(N4,'Yıllıklandırılmış Veriler'!$B$1:$R$74,74,0)</f>
        <v>82723541000</v>
      </c>
      <c r="O6" s="6">
        <f>HLOOKUP(O4,'Yıllıklandırılmış Veriler'!$B$1:$R$74,74,0)</f>
        <v>105044600000</v>
      </c>
      <c r="P6" s="6">
        <f>HLOOKUP(P4,'Yıllıklandırılmış Veriler'!$B$1:$R$74,74,0)</f>
        <v>136301246000</v>
      </c>
      <c r="Q6" s="6">
        <f>HLOOKUP(Q4,'Yıllıklandırılmış Veriler'!$B$1:$R$74,74,0)</f>
        <v>171796902000</v>
      </c>
    </row>
    <row r="7" spans="1:17" x14ac:dyDescent="0.25">
      <c r="A7" t="s">
        <v>88</v>
      </c>
      <c r="B7" s="6">
        <f>-HLOOKUP(B$4,'Yıllıklandırılmış Veriler'!$B$1:$R$88,84,0)</f>
        <v>540119000</v>
      </c>
      <c r="C7" s="6">
        <f>-HLOOKUP(C$4,'Yıllıklandırılmış Veriler'!$B$1:$R$88,84,0)</f>
        <v>557835000</v>
      </c>
      <c r="D7" s="6">
        <f>-HLOOKUP(D$4,'Yıllıklandırılmış Veriler'!$B$1:$R$88,84,0)</f>
        <v>583137000</v>
      </c>
      <c r="E7" s="6">
        <f>-HLOOKUP(E$4,'Yıllıklandırılmış Veriler'!$B$1:$R$88,84,0)</f>
        <v>649102000</v>
      </c>
      <c r="F7" s="6">
        <f>-HLOOKUP(F$4,'Yıllıklandırılmış Veriler'!$B$1:$R$88,84,0)</f>
        <v>657470000</v>
      </c>
      <c r="G7" s="6">
        <f>-HLOOKUP(G$4,'Yıllıklandırılmış Veriler'!$B$1:$R$88,84,0)</f>
        <v>621219000</v>
      </c>
      <c r="H7" s="6">
        <f>-HLOOKUP(H$4,'Yıllıklandırılmış Veriler'!$B$1:$R$88,84,0)</f>
        <v>709615000</v>
      </c>
      <c r="I7" s="6">
        <f>-HLOOKUP(I$4,'Yıllıklandırılmış Veriler'!$B$1:$R$88,84,0)</f>
        <v>843565000</v>
      </c>
      <c r="J7" s="6">
        <f>-HLOOKUP(J$4,'Yıllıklandırılmış Veriler'!$B$1:$R$88,84,0)</f>
        <v>893407000</v>
      </c>
      <c r="K7" s="6">
        <f>-HLOOKUP(K$4,'Yıllıklandırılmış Veriler'!$B$1:$R$88,84,0)</f>
        <v>1009999000</v>
      </c>
      <c r="L7" s="6">
        <f>-HLOOKUP(L$4,'Yıllıklandırılmış Veriler'!$B$1:$R$88,84,0)</f>
        <v>1013617000</v>
      </c>
      <c r="M7" s="6">
        <f>-HLOOKUP(M$4,'Yıllıklandırılmış Veriler'!$B$1:$R$88,84,0)</f>
        <v>1323600000</v>
      </c>
      <c r="N7" s="6">
        <f>-HLOOKUP(N$4,'Yıllıklandırılmış Veriler'!$B$1:$R$88,84,0)</f>
        <v>1594475000</v>
      </c>
      <c r="O7" s="6">
        <f>-HLOOKUP(O$4,'Yıllıklandırılmış Veriler'!$B$1:$R$88,84,0)</f>
        <v>1967566000</v>
      </c>
      <c r="P7" s="6">
        <f>-HLOOKUP(P$4,'Yıllıklandırılmış Veriler'!$B$1:$R$88,84,0)</f>
        <v>2334866000</v>
      </c>
      <c r="Q7" s="6">
        <f>-HLOOKUP(Q$4,'Yıllıklandırılmış Veriler'!$B$1:$R$88,84,0)</f>
        <v>2756024000</v>
      </c>
    </row>
    <row r="8" spans="1:17" x14ac:dyDescent="0.25">
      <c r="A8" t="s">
        <v>89</v>
      </c>
      <c r="B8" s="6">
        <f>-HLOOKUP(B$4,'Yıllıklandırılmış Veriler'!$B$1:$R$88,85,0)</f>
        <v>323378000</v>
      </c>
      <c r="C8" s="6">
        <f>-HLOOKUP(C$4,'Yıllıklandırılmış Veriler'!$B$1:$R$88,85,0)</f>
        <v>341025000</v>
      </c>
      <c r="D8" s="6">
        <f>-HLOOKUP(D$4,'Yıllıklandırılmış Veriler'!$B$1:$R$88,85,0)</f>
        <v>367562000</v>
      </c>
      <c r="E8" s="6">
        <f>-HLOOKUP(E$4,'Yıllıklandırılmış Veriler'!$B$1:$R$88,85,0)</f>
        <v>372893000</v>
      </c>
      <c r="F8" s="6">
        <f>-HLOOKUP(F$4,'Yıllıklandırılmış Veriler'!$B$1:$R$88,85,0)</f>
        <v>400437000</v>
      </c>
      <c r="G8" s="6">
        <f>-HLOOKUP(G$4,'Yıllıklandırılmış Veriler'!$B$1:$R$88,85,0)</f>
        <v>374401000</v>
      </c>
      <c r="H8" s="6">
        <f>-HLOOKUP(H$4,'Yıllıklandırılmış Veriler'!$B$1:$R$88,85,0)</f>
        <v>381793000</v>
      </c>
      <c r="I8" s="6">
        <f>-HLOOKUP(I$4,'Yıllıklandırılmış Veriler'!$B$1:$R$88,85,0)</f>
        <v>516688000</v>
      </c>
      <c r="J8" s="6">
        <f>-HLOOKUP(J$4,'Yıllıklandırılmış Veriler'!$B$1:$R$88,85,0)</f>
        <v>573003000</v>
      </c>
      <c r="K8" s="6">
        <f>-HLOOKUP(K$4,'Yıllıklandırılmış Veriler'!$B$1:$R$88,85,0)</f>
        <v>637841000</v>
      </c>
      <c r="L8" s="6">
        <f>-HLOOKUP(L$4,'Yıllıklandırılmış Veriler'!$B$1:$R$88,85,0)</f>
        <v>684629000</v>
      </c>
      <c r="M8" s="6">
        <f>-HLOOKUP(M$4,'Yıllıklandırılmış Veriler'!$B$1:$R$88,85,0)</f>
        <v>740429000</v>
      </c>
      <c r="N8" s="6">
        <f>-HLOOKUP(N$4,'Yıllıklandırılmış Veriler'!$B$1:$R$88,85,0)</f>
        <v>856009000</v>
      </c>
      <c r="O8" s="6">
        <f>-HLOOKUP(O$4,'Yıllıklandırılmış Veriler'!$B$1:$R$88,85,0)</f>
        <v>1100556000</v>
      </c>
      <c r="P8" s="6">
        <f>-HLOOKUP(P$4,'Yıllıklandırılmış Veriler'!$B$1:$R$88,85,0)</f>
        <v>1473467000</v>
      </c>
      <c r="Q8" s="6">
        <f>-HLOOKUP(Q$4,'Yıllıklandırılmış Veriler'!$B$1:$R$88,85,0)</f>
        <v>1903866000</v>
      </c>
    </row>
    <row r="9" spans="1:17" x14ac:dyDescent="0.25">
      <c r="A9" t="s">
        <v>90</v>
      </c>
      <c r="B9" s="6">
        <f>-HLOOKUP(B$4,'Yıllıklandırılmış Veriler'!$B$1:$R$88,86,0)</f>
        <v>373931000</v>
      </c>
      <c r="C9" s="6">
        <f>-HLOOKUP(C$4,'Yıllıklandırılmış Veriler'!$B$1:$R$88,86,0)</f>
        <v>403225000</v>
      </c>
      <c r="D9" s="6">
        <f>-HLOOKUP(D$4,'Yıllıklandırılmış Veriler'!$B$1:$R$88,86,0)</f>
        <v>392598000</v>
      </c>
      <c r="E9" s="6">
        <f>-HLOOKUP(E$4,'Yıllıklandırılmış Veriler'!$B$1:$R$88,86,0)</f>
        <v>419583000</v>
      </c>
      <c r="F9" s="6">
        <f>-HLOOKUP(F$4,'Yıllıklandırılmış Veriler'!$B$1:$R$88,86,0)</f>
        <v>436769000</v>
      </c>
      <c r="G9" s="6">
        <f>-HLOOKUP(G$4,'Yıllıklandırılmış Veriler'!$B$1:$R$88,86,0)</f>
        <v>405529000</v>
      </c>
      <c r="H9" s="6">
        <f>-HLOOKUP(H$4,'Yıllıklandırılmış Veriler'!$B$1:$R$88,86,0)</f>
        <v>409988000</v>
      </c>
      <c r="I9" s="6">
        <f>-HLOOKUP(I$4,'Yıllıklandırılmış Veriler'!$B$1:$R$88,86,0)</f>
        <v>459451000</v>
      </c>
      <c r="J9" s="6">
        <f>-HLOOKUP(J$4,'Yıllıklandırılmış Veriler'!$B$1:$R$88,86,0)</f>
        <v>467841000</v>
      </c>
      <c r="K9" s="6">
        <f>-HLOOKUP(K$4,'Yıllıklandırılmış Veriler'!$B$1:$R$88,86,0)</f>
        <v>529582000</v>
      </c>
      <c r="L9" s="6">
        <f>-HLOOKUP(L$4,'Yıllıklandırılmış Veriler'!$B$1:$R$88,86,0)</f>
        <v>580022000</v>
      </c>
      <c r="M9" s="6">
        <f>-HLOOKUP(M$4,'Yıllıklandırılmış Veriler'!$B$1:$R$88,86,0)</f>
        <v>680519000</v>
      </c>
      <c r="N9" s="6">
        <f>-HLOOKUP(N$4,'Yıllıklandırılmış Veriler'!$B$1:$R$88,86,0)</f>
        <v>827715000</v>
      </c>
      <c r="O9" s="6">
        <f>-HLOOKUP(O$4,'Yıllıklandırılmış Veriler'!$B$1:$R$88,86,0)</f>
        <v>987889000</v>
      </c>
      <c r="P9" s="6">
        <f>-HLOOKUP(P$4,'Yıllıklandırılmış Veriler'!$B$1:$R$88,86,0)</f>
        <v>1203296000</v>
      </c>
      <c r="Q9" s="6">
        <f>-HLOOKUP(Q$4,'Yıllıklandırılmış Veriler'!$B$1:$R$88,86,0)</f>
        <v>1449033000</v>
      </c>
    </row>
    <row r="10" spans="1:17" x14ac:dyDescent="0.25">
      <c r="A10" t="s">
        <v>91</v>
      </c>
      <c r="B10" s="6">
        <f>HLOOKUP(B$4,'Yıllıklandırılmış Veriler'!$B$1:$R$88,87,0)</f>
        <v>594772000</v>
      </c>
      <c r="C10" s="6">
        <f>HLOOKUP(C$4,'Yıllıklandırılmış Veriler'!$B$1:$R$88,87,0)</f>
        <v>597556000</v>
      </c>
      <c r="D10" s="6">
        <f>HLOOKUP(D$4,'Yıllıklandırılmış Veriler'!$B$1:$R$88,87,0)</f>
        <v>305632000</v>
      </c>
      <c r="E10" s="6">
        <f>HLOOKUP(E$4,'Yıllıklandırılmış Veriler'!$B$1:$R$88,87,0)</f>
        <v>633778000</v>
      </c>
      <c r="F10" s="6">
        <f>HLOOKUP(F$4,'Yıllıklandırılmış Veriler'!$B$1:$R$88,87,0)</f>
        <v>688620000</v>
      </c>
      <c r="G10" s="6">
        <f>HLOOKUP(G$4,'Yıllıklandırılmış Veriler'!$B$1:$R$88,87,0)</f>
        <v>627607000</v>
      </c>
      <c r="H10" s="6">
        <f>HLOOKUP(H$4,'Yıllıklandırılmış Veriler'!$B$1:$R$88,87,0)</f>
        <v>941206000</v>
      </c>
      <c r="I10" s="6">
        <f>HLOOKUP(I$4,'Yıllıklandırılmış Veriler'!$B$1:$R$88,87,0)</f>
        <v>854776000</v>
      </c>
      <c r="J10" s="6">
        <f>HLOOKUP(J$4,'Yıllıklandırılmış Veriler'!$B$1:$R$88,87,0)</f>
        <v>1018978000</v>
      </c>
      <c r="K10" s="6">
        <f>HLOOKUP(K$4,'Yıllıklandırılmış Veriler'!$B$1:$R$88,87,0)</f>
        <v>1123498000</v>
      </c>
      <c r="L10" s="6">
        <f>HLOOKUP(L$4,'Yıllıklandırılmış Veriler'!$B$1:$R$88,87,0)</f>
        <v>965899000</v>
      </c>
      <c r="M10" s="6">
        <f>HLOOKUP(M$4,'Yıllıklandırılmış Veriler'!$B$1:$R$88,87,0)</f>
        <v>2111012000</v>
      </c>
      <c r="N10" s="6">
        <f>HLOOKUP(N$4,'Yıllıklandırılmış Veriler'!$B$1:$R$88,87,0)</f>
        <v>2538022000</v>
      </c>
      <c r="O10" s="6">
        <f>HLOOKUP(O$4,'Yıllıklandırılmış Veriler'!$B$1:$R$88,87,0)</f>
        <v>2913888000</v>
      </c>
      <c r="P10" s="6">
        <f>HLOOKUP(P$4,'Yıllıklandırılmış Veriler'!$B$1:$R$88,87,0)</f>
        <v>3182230000</v>
      </c>
      <c r="Q10" s="6">
        <f>HLOOKUP(Q$4,'Yıllıklandırılmış Veriler'!$B$1:$R$88,87,0)</f>
        <v>3412894000</v>
      </c>
    </row>
    <row r="11" spans="1:17" x14ac:dyDescent="0.25">
      <c r="A11" t="s">
        <v>92</v>
      </c>
      <c r="B11" s="6">
        <f>-HLOOKUP(B$4,'Yıllıklandırılmış Veriler'!$B$1:$R$88,88,0)</f>
        <v>627598000</v>
      </c>
      <c r="C11" s="6">
        <f>-HLOOKUP(C$4,'Yıllıklandırılmış Veriler'!$B$1:$R$88,88,0)</f>
        <v>629259000</v>
      </c>
      <c r="D11" s="6">
        <f>-HLOOKUP(D$4,'Yıllıklandırılmış Veriler'!$B$1:$R$88,88,0)</f>
        <v>792930000</v>
      </c>
      <c r="E11" s="6">
        <f>-HLOOKUP(E$4,'Yıllıklandırılmış Veriler'!$B$1:$R$88,88,0)</f>
        <v>785389000</v>
      </c>
      <c r="F11" s="6">
        <f>-HLOOKUP(F$4,'Yıllıklandırılmış Veriler'!$B$1:$R$88,88,0)</f>
        <v>724479000</v>
      </c>
      <c r="G11" s="6">
        <f>-HLOOKUP(G$4,'Yıllıklandırılmış Veriler'!$B$1:$R$88,88,0)</f>
        <v>605360000</v>
      </c>
      <c r="H11" s="6">
        <f>-HLOOKUP(H$4,'Yıllıklandırılmış Veriler'!$B$1:$R$88,88,0)</f>
        <v>381171000</v>
      </c>
      <c r="I11" s="6">
        <f>-HLOOKUP(I$4,'Yıllıklandırılmış Veriler'!$B$1:$R$88,88,0)</f>
        <v>415940000</v>
      </c>
      <c r="J11" s="6">
        <f>-HLOOKUP(J$4,'Yıllıklandırılmış Veriler'!$B$1:$R$88,88,0)</f>
        <v>535151000</v>
      </c>
      <c r="K11" s="6">
        <f>-HLOOKUP(K$4,'Yıllıklandırılmış Veriler'!$B$1:$R$88,88,0)</f>
        <v>624134000</v>
      </c>
      <c r="L11" s="6">
        <f>-HLOOKUP(L$4,'Yıllıklandırılmış Veriler'!$B$1:$R$88,88,0)</f>
        <v>745550000</v>
      </c>
      <c r="M11" s="6">
        <f>-HLOOKUP(M$4,'Yıllıklandırılmış Veriler'!$B$1:$R$88,88,0)</f>
        <v>1082881000</v>
      </c>
      <c r="N11" s="6">
        <f>-HLOOKUP(N$4,'Yıllıklandırılmış Veriler'!$B$1:$R$88,88,0)</f>
        <v>1225155000</v>
      </c>
      <c r="O11" s="6">
        <f>-HLOOKUP(O$4,'Yıllıklandırılmış Veriler'!$B$1:$R$88,88,0)</f>
        <v>1494449000</v>
      </c>
      <c r="P11" s="6">
        <f>-HLOOKUP(P$4,'Yıllıklandırılmış Veriler'!$B$1:$R$88,88,0)</f>
        <v>1715854000</v>
      </c>
      <c r="Q11" s="6">
        <f>-HLOOKUP(Q$4,'Yıllıklandırılmış Veriler'!$B$1:$R$88,88,0)</f>
        <v>2104872000</v>
      </c>
    </row>
    <row r="12" spans="1:17" x14ac:dyDescent="0.25">
      <c r="A12" t="s">
        <v>377</v>
      </c>
      <c r="B12" s="6">
        <f>B7+B8+B9</f>
        <v>1237428000</v>
      </c>
      <c r="C12" s="6">
        <f t="shared" ref="C12:Q12" si="0">C7+C8+C9</f>
        <v>1302085000</v>
      </c>
      <c r="D12" s="6">
        <f t="shared" si="0"/>
        <v>1343297000</v>
      </c>
      <c r="E12" s="6">
        <f t="shared" si="0"/>
        <v>1441578000</v>
      </c>
      <c r="F12" s="6">
        <f t="shared" si="0"/>
        <v>1494676000</v>
      </c>
      <c r="G12" s="6">
        <f t="shared" si="0"/>
        <v>1401149000</v>
      </c>
      <c r="H12" s="6">
        <f t="shared" si="0"/>
        <v>1501396000</v>
      </c>
      <c r="I12" s="6">
        <f t="shared" si="0"/>
        <v>1819704000</v>
      </c>
      <c r="J12" s="6">
        <f t="shared" si="0"/>
        <v>1934251000</v>
      </c>
      <c r="K12" s="6">
        <f t="shared" si="0"/>
        <v>2177422000</v>
      </c>
      <c r="L12" s="6">
        <f t="shared" si="0"/>
        <v>2278268000</v>
      </c>
      <c r="M12" s="6">
        <f t="shared" si="0"/>
        <v>2744548000</v>
      </c>
      <c r="N12" s="6">
        <f t="shared" si="0"/>
        <v>3278199000</v>
      </c>
      <c r="O12" s="6">
        <f t="shared" si="0"/>
        <v>4056011000</v>
      </c>
      <c r="P12" s="6">
        <f t="shared" si="0"/>
        <v>5011629000</v>
      </c>
      <c r="Q12" s="6">
        <f t="shared" si="0"/>
        <v>6108923000</v>
      </c>
    </row>
    <row r="13" spans="1:17" x14ac:dyDescent="0.25">
      <c r="A13" t="s">
        <v>206</v>
      </c>
      <c r="B13" s="6">
        <f>-HLOOKUP(B4,'Yıllıklandırılmış Veriler'!$B$1:$R$75,75,0)</f>
        <v>31649050000</v>
      </c>
      <c r="C13" s="6">
        <f>-HLOOKUP(C4,'Yıllıklandırılmış Veriler'!$B$1:$R$75,75,0)</f>
        <v>32534057000</v>
      </c>
      <c r="D13" s="6">
        <f>-HLOOKUP(D4,'Yıllıklandırılmış Veriler'!$B$1:$R$75,75,0)</f>
        <v>33931858000</v>
      </c>
      <c r="E13" s="6">
        <f>-HLOOKUP(E4,'Yıllıklandırılmış Veriler'!$B$1:$R$75,75,0)</f>
        <v>35193802000</v>
      </c>
      <c r="F13" s="6">
        <f>-HLOOKUP(F4,'Yıllıklandırılmış Veriler'!$B$1:$R$75,75,0)</f>
        <v>35148614000</v>
      </c>
      <c r="G13" s="6">
        <f>-HLOOKUP(G4,'Yıllıklandırılmış Veriler'!$B$1:$R$75,75,0)</f>
        <v>32042987000</v>
      </c>
      <c r="H13" s="6">
        <f>-HLOOKUP(H4,'Yıllıklandırılmış Veriler'!$B$1:$R$75,75,0)</f>
        <v>35442777000</v>
      </c>
      <c r="I13" s="6">
        <f>-HLOOKUP(I4,'Yıllıklandırılmış Veriler'!$B$1:$R$75,75,0)</f>
        <v>43264878000</v>
      </c>
      <c r="J13" s="6">
        <f>-HLOOKUP(J4,'Yıllıklandırılmış Veriler'!$B$1:$R$75,75,0)</f>
        <v>49155855000</v>
      </c>
      <c r="K13" s="6">
        <f>-HLOOKUP(K4,'Yıllıklandırılmış Veriler'!$B$1:$R$75,75,0)</f>
        <v>53122795000</v>
      </c>
      <c r="L13" s="6">
        <f>-HLOOKUP(L4,'Yıllıklandırılmış Veriler'!$B$1:$R$75,75,0)</f>
        <v>57926994000</v>
      </c>
      <c r="M13" s="6">
        <f>-HLOOKUP(M4,'Yıllıklandırılmış Veriler'!$B$1:$R$75,75,0)</f>
        <v>59947098000</v>
      </c>
      <c r="N13" s="6">
        <f>-HLOOKUP(N4,'Yıllıklandırılmış Veriler'!$B$1:$R$75,75,0)</f>
        <v>69918340000</v>
      </c>
      <c r="O13" s="6">
        <f>-HLOOKUP(O4,'Yıllıklandırılmış Veriler'!$B$1:$R$75,75,0)</f>
        <v>88603315000</v>
      </c>
      <c r="P13" s="6">
        <f>-HLOOKUP(P4,'Yıllıklandırılmış Veriler'!$B$1:$R$75,75,0)</f>
        <v>116491878000</v>
      </c>
      <c r="Q13" s="6">
        <f>-HLOOKUP(Q4,'Yıllıklandırılmış Veriler'!$B$1:$R$75,75,0)</f>
        <v>147855658000</v>
      </c>
    </row>
    <row r="14" spans="1:17" x14ac:dyDescent="0.25">
      <c r="A14" s="2" t="s">
        <v>206</v>
      </c>
      <c r="B14" s="29">
        <f>B13/B6*100</f>
        <v>89.67242430966877</v>
      </c>
      <c r="C14" s="29">
        <f t="shared" ref="C14:Q14" si="1">C13/C6*100</f>
        <v>89.801408235095451</v>
      </c>
      <c r="D14" s="29">
        <f t="shared" si="1"/>
        <v>89.87530768621977</v>
      </c>
      <c r="E14" s="29">
        <f t="shared" si="1"/>
        <v>89.759455598723349</v>
      </c>
      <c r="F14" s="29">
        <f t="shared" si="1"/>
        <v>89.455851809049349</v>
      </c>
      <c r="G14" s="29">
        <f t="shared" si="1"/>
        <v>89.271867451324056</v>
      </c>
      <c r="H14" s="29">
        <f t="shared" si="1"/>
        <v>88.623597089483042</v>
      </c>
      <c r="I14" s="29">
        <f t="shared" si="1"/>
        <v>87.489680526177949</v>
      </c>
      <c r="J14" s="29">
        <f t="shared" si="1"/>
        <v>87.250230480019681</v>
      </c>
      <c r="K14" s="29">
        <f t="shared" si="1"/>
        <v>86.881116643603178</v>
      </c>
      <c r="L14" s="29">
        <f t="shared" si="1"/>
        <v>86.953044585509602</v>
      </c>
      <c r="M14" s="29">
        <f t="shared" si="1"/>
        <v>84.312288820543785</v>
      </c>
      <c r="N14" s="29">
        <f t="shared" si="1"/>
        <v>84.520487342291119</v>
      </c>
      <c r="O14" s="29">
        <f t="shared" si="1"/>
        <v>84.348281587059219</v>
      </c>
      <c r="P14" s="29">
        <f t="shared" si="1"/>
        <v>85.466480621901283</v>
      </c>
      <c r="Q14" s="29">
        <f t="shared" si="1"/>
        <v>86.064216687679277</v>
      </c>
    </row>
    <row r="15" spans="1:17" x14ac:dyDescent="0.25">
      <c r="A15" t="s">
        <v>378</v>
      </c>
      <c r="B15" s="6">
        <f>HLOOKUP(B$4,Froto!$B$1:$U$98,97,0)</f>
        <v>109550000</v>
      </c>
      <c r="C15" s="6">
        <f>HLOOKUP(C$4,Froto!$B$1:$U$98,97,0)</f>
        <v>281309000</v>
      </c>
      <c r="D15" s="6">
        <f>HLOOKUP(D$4,Froto!$B$1:$U$98,97,0)</f>
        <v>967701000</v>
      </c>
      <c r="E15" s="6">
        <f>HLOOKUP(E$4,Froto!$B$1:$U$98,97,0)</f>
        <v>1185601000</v>
      </c>
      <c r="F15" s="6">
        <f>HLOOKUP(F$4,Froto!$B$1:$U$98,97,0)</f>
        <v>201049000</v>
      </c>
      <c r="G15" s="6">
        <f>HLOOKUP(G$4,Froto!$B$1:$U$98,97,0)</f>
        <v>436259000</v>
      </c>
      <c r="H15" s="6">
        <f>HLOOKUP(H$4,Froto!$B$1:$U$98,97,0)</f>
        <v>957043000</v>
      </c>
      <c r="I15" s="6">
        <f>HLOOKUP(I$4,Froto!$B$1:$U$98,97,0)</f>
        <v>1855354000</v>
      </c>
      <c r="J15" s="6">
        <f>HLOOKUP(J$4,Froto!$B$1:$U$98,97,0)</f>
        <v>770574000</v>
      </c>
      <c r="K15" s="6">
        <f>HLOOKUP(K$4,Froto!$B$1:$U$98,97,0)</f>
        <v>1279414000</v>
      </c>
      <c r="L15" s="6">
        <f>HLOOKUP(L$4,Froto!$B$1:$U$98,97,0)</f>
        <v>2414607000</v>
      </c>
      <c r="M15" s="6">
        <f>HLOOKUP(M$4,Froto!$B$1:$U$98,97,0)</f>
        <v>5811748000</v>
      </c>
      <c r="N15" s="6">
        <f>HLOOKUP(N$4,Froto!$B$1:$U$98,97,0)</f>
        <v>1527538000</v>
      </c>
      <c r="O15" s="6">
        <f>HLOOKUP(O$4,Froto!$B$1:$U$98,97,0)</f>
        <v>4514302000</v>
      </c>
      <c r="P15" s="6">
        <f>HLOOKUP(P$4,Froto!$B$1:$U$98,97,0)</f>
        <v>5943385000</v>
      </c>
      <c r="Q15" s="6">
        <f>HLOOKUP(Q$4,Froto!$B$1:$U$98,97,0)</f>
        <v>6694430000</v>
      </c>
    </row>
    <row r="16" spans="1:17" x14ac:dyDescent="0.25">
      <c r="A16" t="s">
        <v>371</v>
      </c>
      <c r="B16" s="6">
        <f>HLOOKUP(B$4,Froto!$B$1:$U$98,98,0)</f>
        <v>-235662000</v>
      </c>
      <c r="C16" s="6">
        <f>HLOOKUP(C$4,Froto!$B$1:$U$98,98,0)</f>
        <v>-617058000</v>
      </c>
      <c r="D16" s="6">
        <f>HLOOKUP(D$4,Froto!$B$1:$U$98,98,0)</f>
        <v>-1249650000</v>
      </c>
      <c r="E16" s="6">
        <f>HLOOKUP(E$4,Froto!$B$1:$U$98,98,0)</f>
        <v>-1656231000</v>
      </c>
      <c r="F16" s="6">
        <f>HLOOKUP(F$4,Froto!$B$1:$U$98,98,0)</f>
        <v>-383742000</v>
      </c>
      <c r="G16" s="6">
        <f>HLOOKUP(G$4,Froto!$B$1:$U$98,98,0)</f>
        <v>-809429000</v>
      </c>
      <c r="H16" s="6">
        <f>HLOOKUP(H$4,Froto!$B$1:$U$98,98,0)</f>
        <v>-1412652000</v>
      </c>
      <c r="I16" s="6">
        <f>HLOOKUP(I$4,Froto!$B$1:$U$98,98,0)</f>
        <v>-2553875000</v>
      </c>
      <c r="J16" s="6">
        <f>HLOOKUP(J$4,Froto!$B$1:$U$98,98,0)</f>
        <v>-676515000</v>
      </c>
      <c r="K16" s="6">
        <f>HLOOKUP(K$4,Froto!$B$1:$U$98,98,0)</f>
        <v>-1290127000</v>
      </c>
      <c r="L16" s="6">
        <f>HLOOKUP(L$4,Froto!$B$1:$U$98,98,0)</f>
        <v>-2277231000</v>
      </c>
      <c r="M16" s="6">
        <f>HLOOKUP(M$4,Froto!$B$1:$U$98,98,0)</f>
        <v>-6527635000</v>
      </c>
      <c r="N16" s="6">
        <f>HLOOKUP(N$4,Froto!$B$1:$U$98,98,0)</f>
        <v>-2352474000</v>
      </c>
      <c r="O16" s="6">
        <f>HLOOKUP(O$4,Froto!$B$1:$U$98,98,0)</f>
        <v>-6015294000</v>
      </c>
      <c r="P16" s="6">
        <f>HLOOKUP(P$4,Froto!$B$1:$U$98,98,0)</f>
        <v>-8079360000</v>
      </c>
      <c r="Q16" s="6">
        <f>HLOOKUP(Q$4,Froto!$B$1:$U$98,98,0)</f>
        <v>-10197649000</v>
      </c>
    </row>
    <row r="17" spans="1:17" x14ac:dyDescent="0.25">
      <c r="A17" t="s">
        <v>379</v>
      </c>
      <c r="B17" s="6">
        <f>B15+B16</f>
        <v>-126112000</v>
      </c>
      <c r="C17" s="6">
        <f t="shared" ref="C17:Q17" si="2">C15+C16</f>
        <v>-335749000</v>
      </c>
      <c r="D17" s="6">
        <f t="shared" si="2"/>
        <v>-281949000</v>
      </c>
      <c r="E17" s="6">
        <f t="shared" si="2"/>
        <v>-470630000</v>
      </c>
      <c r="F17" s="6">
        <f t="shared" si="2"/>
        <v>-182693000</v>
      </c>
      <c r="G17" s="6">
        <f t="shared" si="2"/>
        <v>-373170000</v>
      </c>
      <c r="H17" s="6">
        <f t="shared" si="2"/>
        <v>-455609000</v>
      </c>
      <c r="I17" s="6">
        <f t="shared" si="2"/>
        <v>-698521000</v>
      </c>
      <c r="J17" s="6">
        <f t="shared" si="2"/>
        <v>94059000</v>
      </c>
      <c r="K17" s="6">
        <f t="shared" si="2"/>
        <v>-10713000</v>
      </c>
      <c r="L17" s="6">
        <f t="shared" si="2"/>
        <v>137376000</v>
      </c>
      <c r="M17" s="6">
        <f t="shared" si="2"/>
        <v>-715887000</v>
      </c>
      <c r="N17" s="6">
        <f t="shared" si="2"/>
        <v>-824936000</v>
      </c>
      <c r="O17" s="6">
        <f t="shared" si="2"/>
        <v>-1500992000</v>
      </c>
      <c r="P17" s="6">
        <f t="shared" si="2"/>
        <v>-2135975000</v>
      </c>
      <c r="Q17" s="6">
        <f t="shared" si="2"/>
        <v>-3503219000</v>
      </c>
    </row>
    <row r="18" spans="1:17" x14ac:dyDescent="0.25">
      <c r="A18" s="2" t="s">
        <v>380</v>
      </c>
      <c r="B18" s="29">
        <f>-B17/B5*100</f>
        <v>1.3583724003269262</v>
      </c>
      <c r="C18" s="29">
        <f t="shared" ref="C18:Q18" si="3">-C17/C5*100</f>
        <v>1.8238087410755326</v>
      </c>
      <c r="D18" s="29">
        <f t="shared" si="3"/>
        <v>1.0176193685828983</v>
      </c>
      <c r="E18" s="29">
        <f t="shared" si="3"/>
        <v>1.2003105714019522</v>
      </c>
      <c r="F18" s="29">
        <f t="shared" si="3"/>
        <v>1.9504710829714362</v>
      </c>
      <c r="G18" s="29">
        <f t="shared" si="3"/>
        <v>2.47232079947449</v>
      </c>
      <c r="H18" s="29">
        <f t="shared" si="3"/>
        <v>1.5991785803877958</v>
      </c>
      <c r="I18" s="29">
        <f t="shared" si="3"/>
        <v>1.4125401932446533</v>
      </c>
      <c r="J18" s="29">
        <f t="shared" si="3"/>
        <v>-0.57867711503935426</v>
      </c>
      <c r="K18" s="29">
        <f t="shared" si="3"/>
        <v>3.9993662536962307E-2</v>
      </c>
      <c r="L18" s="29">
        <f t="shared" si="3"/>
        <v>-0.30088382652843654</v>
      </c>
      <c r="M18" s="29">
        <f t="shared" si="3"/>
        <v>1.0068556030330715</v>
      </c>
      <c r="N18" s="29">
        <f t="shared" si="3"/>
        <v>2.9592603786174161</v>
      </c>
      <c r="O18" s="29">
        <f t="shared" si="3"/>
        <v>2.4715789139504922</v>
      </c>
      <c r="P18" s="29">
        <f t="shared" si="3"/>
        <v>1.926775764525112</v>
      </c>
      <c r="Q18" s="29">
        <f t="shared" si="3"/>
        <v>2.0391630810665027</v>
      </c>
    </row>
    <row r="19" spans="1:17" x14ac:dyDescent="0.25">
      <c r="A19" s="2" t="s">
        <v>381</v>
      </c>
      <c r="B19" s="29">
        <f>B12/B6*100</f>
        <v>3.5060505344920245</v>
      </c>
      <c r="C19" s="29">
        <f t="shared" ref="C19:Q19" si="4">C12/C6*100</f>
        <v>3.5940512012318129</v>
      </c>
      <c r="D19" s="29">
        <f t="shared" si="4"/>
        <v>3.5579905818589697</v>
      </c>
      <c r="E19" s="29">
        <f t="shared" si="4"/>
        <v>3.676648987315903</v>
      </c>
      <c r="F19" s="29">
        <f t="shared" si="4"/>
        <v>3.8040622244320264</v>
      </c>
      <c r="G19" s="29">
        <f t="shared" si="4"/>
        <v>3.9036057346200357</v>
      </c>
      <c r="H19" s="29">
        <f t="shared" si="4"/>
        <v>3.7541955071906887</v>
      </c>
      <c r="I19" s="29">
        <f t="shared" si="4"/>
        <v>3.6797820535217531</v>
      </c>
      <c r="J19" s="29">
        <f t="shared" si="4"/>
        <v>3.4332399580112796</v>
      </c>
      <c r="K19" s="29">
        <f t="shared" si="4"/>
        <v>3.5611238972713637</v>
      </c>
      <c r="L19" s="29">
        <f t="shared" si="4"/>
        <v>3.4198622317902392</v>
      </c>
      <c r="M19" s="29">
        <f t="shared" si="4"/>
        <v>3.8600554718736482</v>
      </c>
      <c r="N19" s="29">
        <f t="shared" si="4"/>
        <v>3.9628368906500269</v>
      </c>
      <c r="O19" s="29">
        <f t="shared" si="4"/>
        <v>3.8612275166929098</v>
      </c>
      <c r="P19" s="29">
        <f t="shared" si="4"/>
        <v>3.6768768790272097</v>
      </c>
      <c r="Q19" s="29">
        <f t="shared" si="4"/>
        <v>3.5558982315059442</v>
      </c>
    </row>
    <row r="20" spans="1:17" x14ac:dyDescent="0.25">
      <c r="A20" s="2" t="s">
        <v>382</v>
      </c>
      <c r="B20" s="29">
        <f>100-(B14+B18+B19)</f>
        <v>5.463152755512283</v>
      </c>
      <c r="C20" s="29">
        <f t="shared" ref="C20:Q20" si="5">100-(C14+C18+C19)</f>
        <v>4.780731822597204</v>
      </c>
      <c r="D20" s="29">
        <f t="shared" si="5"/>
        <v>5.549082363338357</v>
      </c>
      <c r="E20" s="29">
        <f t="shared" si="5"/>
        <v>5.3635848425587938</v>
      </c>
      <c r="F20" s="29">
        <f t="shared" si="5"/>
        <v>4.7896148835471877</v>
      </c>
      <c r="G20" s="29">
        <f t="shared" si="5"/>
        <v>4.3522060145814265</v>
      </c>
      <c r="H20" s="29">
        <f t="shared" si="5"/>
        <v>6.0230288229384712</v>
      </c>
      <c r="I20" s="29">
        <f t="shared" si="5"/>
        <v>7.4179972270556505</v>
      </c>
      <c r="J20" s="29">
        <f t="shared" si="5"/>
        <v>9.8952066770083889</v>
      </c>
      <c r="K20" s="29">
        <f t="shared" si="5"/>
        <v>9.5177657965885061</v>
      </c>
      <c r="L20" s="29">
        <f t="shared" si="5"/>
        <v>9.9279770092285986</v>
      </c>
      <c r="M20" s="29">
        <f t="shared" si="5"/>
        <v>10.820800104549491</v>
      </c>
      <c r="N20" s="29">
        <f t="shared" si="5"/>
        <v>8.5574153884414415</v>
      </c>
      <c r="O20" s="29">
        <f t="shared" si="5"/>
        <v>9.3189119822973794</v>
      </c>
      <c r="P20" s="29">
        <f t="shared" si="5"/>
        <v>8.929866734546394</v>
      </c>
      <c r="Q20" s="29">
        <f t="shared" si="5"/>
        <v>8.3407219997482684</v>
      </c>
    </row>
  </sheetData>
  <mergeCells count="1">
    <mergeCell ref="B3:Q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0EE2D-211A-410C-8A02-7FB5F91925F5}">
  <dimension ref="A3:Q18"/>
  <sheetViews>
    <sheetView zoomScale="70" zoomScaleNormal="70" workbookViewId="0">
      <selection activeCell="O27" sqref="O27"/>
    </sheetView>
  </sheetViews>
  <sheetFormatPr defaultRowHeight="15" x14ac:dyDescent="0.25"/>
  <cols>
    <col min="1" max="1" width="32.28515625" bestFit="1" customWidth="1"/>
    <col min="2" max="14" width="14.5703125" bestFit="1" customWidth="1"/>
    <col min="15" max="17" width="15.7109375" bestFit="1" customWidth="1"/>
  </cols>
  <sheetData>
    <row r="3" spans="1:17" x14ac:dyDescent="0.25">
      <c r="B3" s="48" t="s">
        <v>261</v>
      </c>
      <c r="C3" s="48"/>
      <c r="D3" s="48"/>
      <c r="E3" s="48"/>
      <c r="F3" s="48"/>
      <c r="G3" s="48"/>
      <c r="H3" s="48"/>
      <c r="I3" s="48"/>
      <c r="J3" s="48"/>
      <c r="K3" s="48"/>
      <c r="L3" s="48"/>
      <c r="M3" s="48"/>
      <c r="N3" s="48"/>
      <c r="O3" s="48"/>
      <c r="P3" s="48"/>
      <c r="Q3" s="48"/>
    </row>
    <row r="4" spans="1:17" x14ac:dyDescent="0.25">
      <c r="B4" s="2" t="str">
        <f>INDEX(Froto!$B$1:$Q$1,COLUMNS(Froto!B$1:$Q1))</f>
        <v>2019/3</v>
      </c>
      <c r="C4" s="2" t="str">
        <f>INDEX(Froto!$B$1:$Q$1,COLUMNS(Froto!C$1:$Q1))</f>
        <v>2019/6</v>
      </c>
      <c r="D4" s="2" t="str">
        <f>INDEX(Froto!$B$1:$Q$1,COLUMNS(Froto!D$1:$Q1))</f>
        <v>2019/9</v>
      </c>
      <c r="E4" s="2" t="str">
        <f>INDEX(Froto!$B$1:$Q$1,COLUMNS(Froto!E$1:$Q1))</f>
        <v>2019/12</v>
      </c>
      <c r="F4" s="2" t="str">
        <f>INDEX(Froto!$B$1:$Q$1,COLUMNS(Froto!F$1:$Q1))</f>
        <v>2020/3</v>
      </c>
      <c r="G4" s="2" t="str">
        <f>INDEX(Froto!$B$1:$Q$1,COLUMNS(Froto!G$1:$Q1))</f>
        <v>2020/6</v>
      </c>
      <c r="H4" s="2" t="str">
        <f>INDEX(Froto!$B$1:$Q$1,COLUMNS(Froto!H$1:$Q1))</f>
        <v>2020/9</v>
      </c>
      <c r="I4" s="2" t="str">
        <f>INDEX(Froto!$B$1:$Q$1,COLUMNS(Froto!I$1:$Q1))</f>
        <v>2020/12</v>
      </c>
      <c r="J4" s="2" t="str">
        <f>INDEX(Froto!$B$1:$Q$1,COLUMNS(Froto!J$1:$Q1))</f>
        <v>2021/3</v>
      </c>
      <c r="K4" s="2" t="str">
        <f>INDEX(Froto!$B$1:$Q$1,COLUMNS(Froto!K$1:$Q1))</f>
        <v>2021/6</v>
      </c>
      <c r="L4" s="2" t="str">
        <f>INDEX(Froto!$B$1:$Q$1,COLUMNS(Froto!L$1:$Q1))</f>
        <v>2021/9</v>
      </c>
      <c r="M4" s="2" t="str">
        <f>INDEX(Froto!$B$1:$Q$1,COLUMNS(Froto!M$1:$Q1))</f>
        <v>2021/12</v>
      </c>
      <c r="N4" s="2" t="str">
        <f>INDEX(Froto!$B$1:$Q$1,COLUMNS(Froto!N$1:$Q1))</f>
        <v>2022/3</v>
      </c>
      <c r="O4" s="2" t="str">
        <f>INDEX(Froto!$B$1:$Q$1,COLUMNS(Froto!O$1:$Q1))</f>
        <v>2022/6</v>
      </c>
      <c r="P4" s="2" t="str">
        <f>INDEX(Froto!$B$1:$Q$1,COLUMNS(Froto!P$1:$Q1))</f>
        <v>2022/9</v>
      </c>
      <c r="Q4" s="2" t="str">
        <f>INDEX(Froto!$B$1:$Q$1,COLUMNS(Froto!Q$1:$Q1))</f>
        <v>2022/12</v>
      </c>
    </row>
    <row r="5" spans="1:17" x14ac:dyDescent="0.25">
      <c r="A5" t="s">
        <v>78</v>
      </c>
      <c r="B5" s="6">
        <f>HLOOKUP(B4,'Yıllıklandırılmış Veriler'!$B$1:$R$74,74,0)</f>
        <v>35294072000</v>
      </c>
      <c r="C5" s="6">
        <f>HLOOKUP(C4,'Yıllıklandırılmış Veriler'!$B$1:$R$74,74,0)</f>
        <v>36228894000</v>
      </c>
      <c r="D5" s="6">
        <f>HLOOKUP(D4,'Yıllıklandırılmış Veriler'!$B$1:$R$74,74,0)</f>
        <v>37754372000</v>
      </c>
      <c r="E5" s="6">
        <f>HLOOKUP(E4,'Yıllıklandırılmış Veriler'!$B$1:$R$74,74,0)</f>
        <v>39209019000</v>
      </c>
      <c r="F5" s="6">
        <f>HLOOKUP(F4,'Yıllıklandırılmış Veriler'!$B$1:$R$74,74,0)</f>
        <v>39291576000</v>
      </c>
      <c r="G5" s="6">
        <f>HLOOKUP(G4,'Yıllıklandırılmış Veriler'!$B$1:$R$74,74,0)</f>
        <v>35893712000</v>
      </c>
      <c r="H5" s="6">
        <f>HLOOKUP(H4,'Yıllıklandırılmış Veriler'!$B$1:$R$74,74,0)</f>
        <v>39992483000</v>
      </c>
      <c r="I5" s="6">
        <f>HLOOKUP(I4,'Yıllıklandırılmış Veriler'!$B$1:$R$74,74,0)</f>
        <v>49451407000</v>
      </c>
      <c r="J5" s="6">
        <f>HLOOKUP(J4,'Yıllıklandırılmış Veriler'!$B$1:$R$74,74,0)</f>
        <v>56338940000</v>
      </c>
      <c r="K5" s="6">
        <f>HLOOKUP(K4,'Yıllıklandırılmış Veriler'!$B$1:$R$74,74,0)</f>
        <v>61144236000</v>
      </c>
      <c r="L5" s="6">
        <f>HLOOKUP(L4,'Yıllıklandırılmış Veriler'!$B$1:$R$74,74,0)</f>
        <v>66618707000</v>
      </c>
      <c r="M5" s="6">
        <f>HLOOKUP(M4,'Yıllıklandırılmış Veriler'!$B$1:$R$74,74,0)</f>
        <v>71101258000</v>
      </c>
      <c r="N5" s="6">
        <f>HLOOKUP(N4,'Yıllıklandırılmış Veriler'!$B$1:$R$74,74,0)</f>
        <v>82723541000</v>
      </c>
      <c r="O5" s="6">
        <f>HLOOKUP(O4,'Yıllıklandırılmış Veriler'!$B$1:$R$74,74,0)</f>
        <v>105044600000</v>
      </c>
      <c r="P5" s="6">
        <f>HLOOKUP(P4,'Yıllıklandırılmış Veriler'!$B$1:$R$74,74,0)</f>
        <v>136301246000</v>
      </c>
      <c r="Q5" s="6">
        <f>HLOOKUP(Q4,'Yıllıklandırılmış Veriler'!$B$1:$R$74,74,0)</f>
        <v>171796902000</v>
      </c>
    </row>
    <row r="6" spans="1:17" x14ac:dyDescent="0.25">
      <c r="A6" t="s">
        <v>230</v>
      </c>
      <c r="B6" s="6">
        <f>HLOOKUP(B4,'Yıllıklandırılmış Veriler'!$B$1:$R$108,108,0)</f>
        <v>1728891000</v>
      </c>
      <c r="C6" s="6">
        <f>HLOOKUP(C4,'Yıllıklandırılmış Veriler'!$B$1:$R$108,108,0)</f>
        <v>1652965000</v>
      </c>
      <c r="D6" s="6">
        <f>HLOOKUP(D4,'Yıllıklandırılmış Veriler'!$B$1:$R$108,108,0)</f>
        <v>1753545000</v>
      </c>
      <c r="E6" s="6">
        <f>HLOOKUP(E4,'Yıllıklandırılmış Veriler'!$B$1:$R$108,108,0)</f>
        <v>1959484000</v>
      </c>
      <c r="F6" s="6">
        <f>HLOOKUP(F4,'Yıllıklandırılmış Veriler'!$B$1:$R$108,108,0)</f>
        <v>2110953000</v>
      </c>
      <c r="G6" s="6">
        <f>HLOOKUP(G4,'Yıllıklandırılmış Veriler'!$B$1:$R$108,108,0)</f>
        <v>1980633000</v>
      </c>
      <c r="H6" s="6">
        <f>HLOOKUP(H4,'Yıllıklandırılmış Veriler'!$B$1:$R$108,108,0)</f>
        <v>2884483000</v>
      </c>
      <c r="I6" s="6">
        <f>HLOOKUP(I4,'Yıllıklandırılmış Veriler'!$B$1:$R$108,108,0)</f>
        <v>4194913000</v>
      </c>
      <c r="J6" s="6">
        <f>HLOOKUP(J4,'Yıllıklandırılmış Veriler'!$B$1:$R$108,108,0)</f>
        <v>5384858000</v>
      </c>
      <c r="K6" s="6">
        <f>HLOOKUP(K4,'Yıllıklandırılmış Veriler'!$B$1:$R$108,108,0)</f>
        <v>6104053000</v>
      </c>
      <c r="L6" s="6">
        <f>HLOOKUP(L4,'Yıllıklandırılmış Veriler'!$B$1:$R$108,108,0)</f>
        <v>6637968000</v>
      </c>
      <c r="M6" s="6">
        <f>HLOOKUP(M4,'Yıllıklandırılmış Veriler'!$B$1:$R$108,108,0)</f>
        <v>8801005000</v>
      </c>
      <c r="N6" s="6">
        <f>HLOOKUP(N4,'Yıllıklandırılmış Veriler'!$B$1:$R$108,108,0)</f>
        <v>9783410000</v>
      </c>
      <c r="O6" s="6">
        <f>HLOOKUP(O4,'Yıllıklandırılmış Veriler'!$B$1:$R$108,108,0)</f>
        <v>12488409000</v>
      </c>
      <c r="P6" s="6">
        <f>HLOOKUP(P4,'Yıllıklandırılmış Veriler'!$B$1:$R$108,108,0)</f>
        <v>14412415000</v>
      </c>
      <c r="Q6" s="6">
        <f>HLOOKUP(Q4,'Yıllıklandırılmış Veriler'!$B$1:$R$108,108,0)</f>
        <v>18613943000</v>
      </c>
    </row>
    <row r="7" spans="1:17" x14ac:dyDescent="0.25">
      <c r="A7" t="s">
        <v>222</v>
      </c>
      <c r="B7" s="6">
        <f>HLOOKUP(B4,'Yıllıklandırılmış Veriler'!$B$1:$R$30,30,0)</f>
        <v>15228810000</v>
      </c>
      <c r="C7" s="6">
        <f>HLOOKUP(C4,'Yıllıklandırılmış Veriler'!$B$1:$R$30,30,0)</f>
        <v>15885025000</v>
      </c>
      <c r="D7" s="6">
        <f>HLOOKUP(D4,'Yıllıklandırılmış Veriler'!$B$1:$R$30,30,0)</f>
        <v>14551847000</v>
      </c>
      <c r="E7" s="6">
        <f>HLOOKUP(E4,'Yıllıklandırılmış Veriler'!$B$1:$R$30,30,0)</f>
        <v>16406372000</v>
      </c>
      <c r="F7" s="6">
        <f>HLOOKUP(F4,'Yıllıklandırılmış Veriler'!$B$1:$R$30,30,0)</f>
        <v>18051098000</v>
      </c>
      <c r="G7" s="6">
        <f>HLOOKUP(G4,'Yıllıklandırılmış Veriler'!$B$1:$R$30,30,0)</f>
        <v>19191612000</v>
      </c>
      <c r="H7" s="6">
        <f>HLOOKUP(H4,'Yıllıklandırılmış Veriler'!$B$1:$R$30,30,0)</f>
        <v>24071270000</v>
      </c>
      <c r="I7" s="6">
        <f>HLOOKUP(I4,'Yıllıklandırılmış Veriler'!$B$1:$R$30,30,0)</f>
        <v>24349179000</v>
      </c>
      <c r="J7" s="6">
        <f>HLOOKUP(J4,'Yıllıklandırılmış Veriler'!$B$1:$R$30,30,0)</f>
        <v>34195857000</v>
      </c>
      <c r="K7" s="6">
        <f>HLOOKUP(K4,'Yıllıklandırılmış Veriler'!$B$1:$R$30,30,0)</f>
        <v>29980116000</v>
      </c>
      <c r="L7" s="6">
        <f>HLOOKUP(L4,'Yıllıklandırılmış Veriler'!$B$1:$R$30,30,0)</f>
        <v>35629538000</v>
      </c>
      <c r="M7" s="6">
        <f>HLOOKUP(M4,'Yıllıklandırılmış Veriler'!$B$1:$R$30,30,0)</f>
        <v>42792853000</v>
      </c>
      <c r="N7" s="6">
        <f>HLOOKUP(N4,'Yıllıklandırılmış Veriler'!$B$1:$R$30,30,0)</f>
        <v>66380613000</v>
      </c>
      <c r="O7" s="6">
        <f>HLOOKUP(O4,'Yıllıklandırılmış Veriler'!$B$1:$R$30,30,0)</f>
        <v>82164417000</v>
      </c>
      <c r="P7" s="6">
        <f>HLOOKUP(P4,'Yıllıklandırılmış Veriler'!$B$1:$R$30,30,0)</f>
        <v>88504179000</v>
      </c>
      <c r="Q7" s="6">
        <f>HLOOKUP(Q4,'Yıllıklandırılmış Veriler'!$B$1:$R$30,30,0)</f>
        <v>96052247000</v>
      </c>
    </row>
    <row r="8" spans="1:17" x14ac:dyDescent="0.25">
      <c r="A8" t="s">
        <v>197</v>
      </c>
      <c r="B8" s="6">
        <f>HLOOKUP(B4,'Yıllıklandırılmış Veriler'!$B$1:$R$59,59,0)</f>
        <v>4157089000</v>
      </c>
      <c r="C8" s="6">
        <f>HLOOKUP(C4,'Yıllıklandırılmış Veriler'!$B$1:$R$59,59,0)</f>
        <v>4245015000</v>
      </c>
      <c r="D8" s="6">
        <f>HLOOKUP(D4,'Yıllıklandırılmış Veriler'!$B$1:$R$59,59,0)</f>
        <v>5090567000</v>
      </c>
      <c r="E8" s="6">
        <f>HLOOKUP(E4,'Yıllıklandırılmış Veriler'!$B$1:$R$59,59,0)</f>
        <v>4664921000</v>
      </c>
      <c r="F8" s="6">
        <f>HLOOKUP(F4,'Yıllıklandırılmış Veriler'!$B$1:$R$59,59,0)</f>
        <v>5190941000</v>
      </c>
      <c r="G8" s="6">
        <f>HLOOKUP(G4,'Yıllıklandırılmış Veriler'!$B$1:$R$59,59,0)</f>
        <v>4861828000</v>
      </c>
      <c r="H8" s="6">
        <f>HLOOKUP(H4,'Yıllıklandırılmış Veriler'!$B$1:$R$59,59,0)</f>
        <v>4820299000</v>
      </c>
      <c r="I8" s="6">
        <f>HLOOKUP(I4,'Yıllıklandırılmış Veriler'!$B$1:$R$59,59,0)</f>
        <v>7043902000</v>
      </c>
      <c r="J8" s="6">
        <f>HLOOKUP(J4,'Yıllıklandırılmış Veriler'!$B$1:$R$59,59,0)</f>
        <v>9074969000</v>
      </c>
      <c r="K8" s="6">
        <f>HLOOKUP(K4,'Yıllıklandırılmış Veriler'!$B$1:$R$59,59,0)</f>
        <v>9869822000</v>
      </c>
      <c r="L8" s="6">
        <f>HLOOKUP(L4,'Yıllıklandırılmış Veriler'!$B$1:$R$59,59,0)</f>
        <v>11274937000</v>
      </c>
      <c r="M8" s="6">
        <f>HLOOKUP(M4,'Yıllıklandırılmış Veriler'!$B$1:$R$59,59,0)</f>
        <v>10148538000</v>
      </c>
      <c r="N8" s="6">
        <f>HLOOKUP(N4,'Yıllıklandırılmış Veriler'!$B$1:$R$59,59,0)</f>
        <v>12395269000</v>
      </c>
      <c r="O8" s="6">
        <f>HLOOKUP(O4,'Yıllıklandırılmış Veriler'!$B$1:$R$59,59,0)</f>
        <v>14841384000</v>
      </c>
      <c r="P8" s="6">
        <f>HLOOKUP(P4,'Yıllıklandırılmış Veriler'!$B$1:$R$59,59,0)</f>
        <v>16783433000</v>
      </c>
      <c r="Q8" s="6">
        <f>HLOOKUP(Q4,'Yıllıklandırılmış Veriler'!$B$1:$R$59,59,0)</f>
        <v>21402174000</v>
      </c>
    </row>
    <row r="9" spans="1:17" x14ac:dyDescent="0.25">
      <c r="A9" s="2" t="s">
        <v>262</v>
      </c>
      <c r="B9" s="29">
        <f>B6/B5</f>
        <v>4.8985308354332138E-2</v>
      </c>
      <c r="C9" s="29">
        <f t="shared" ref="C9:Q9" si="0">C6/C5</f>
        <v>4.5625599279955936E-2</v>
      </c>
      <c r="D9" s="29">
        <f t="shared" si="0"/>
        <v>4.6446144038629483E-2</v>
      </c>
      <c r="E9" s="29">
        <f t="shared" si="0"/>
        <v>4.9975338582176718E-2</v>
      </c>
      <c r="F9" s="29">
        <f t="shared" si="0"/>
        <v>5.3725332880513628E-2</v>
      </c>
      <c r="G9" s="29">
        <f t="shared" si="0"/>
        <v>5.5180500696055061E-2</v>
      </c>
      <c r="H9" s="29">
        <f t="shared" si="0"/>
        <v>7.2125629208869071E-2</v>
      </c>
      <c r="I9" s="29">
        <f t="shared" si="0"/>
        <v>8.4828991822214483E-2</v>
      </c>
      <c r="J9" s="29">
        <f t="shared" si="0"/>
        <v>9.5579682542838038E-2</v>
      </c>
      <c r="K9" s="29">
        <f t="shared" si="0"/>
        <v>9.9830391208093602E-2</v>
      </c>
      <c r="L9" s="29">
        <f t="shared" si="0"/>
        <v>9.9641201382068251E-2</v>
      </c>
      <c r="M9" s="29">
        <f t="shared" si="0"/>
        <v>0.1237812838698297</v>
      </c>
      <c r="N9" s="29">
        <f t="shared" si="0"/>
        <v>0.11826633485140584</v>
      </c>
      <c r="O9" s="29">
        <f t="shared" si="0"/>
        <v>0.11888673001753541</v>
      </c>
      <c r="P9" s="29">
        <f t="shared" si="0"/>
        <v>0.10573942222068902</v>
      </c>
      <c r="Q9" s="29">
        <f t="shared" si="0"/>
        <v>0.10834853704172151</v>
      </c>
    </row>
    <row r="10" spans="1:17" x14ac:dyDescent="0.25">
      <c r="A10" s="2" t="s">
        <v>263</v>
      </c>
      <c r="B10" s="29">
        <f>B5/B7</f>
        <v>2.3175856813500202</v>
      </c>
      <c r="C10" s="29">
        <f t="shared" ref="C10:Q10" si="1">C5/C7</f>
        <v>2.2806948053276592</v>
      </c>
      <c r="D10" s="29">
        <f t="shared" si="1"/>
        <v>2.5944728528275482</v>
      </c>
      <c r="E10" s="29">
        <f t="shared" si="1"/>
        <v>2.3898652913636238</v>
      </c>
      <c r="F10" s="29">
        <f t="shared" si="1"/>
        <v>2.1766862049056517</v>
      </c>
      <c r="G10" s="29">
        <f t="shared" si="1"/>
        <v>1.8702812457859195</v>
      </c>
      <c r="H10" s="29">
        <f t="shared" si="1"/>
        <v>1.6614197339816303</v>
      </c>
      <c r="I10" s="29">
        <f t="shared" si="1"/>
        <v>2.0309270797179648</v>
      </c>
      <c r="J10" s="29">
        <f t="shared" si="1"/>
        <v>1.647537010112073</v>
      </c>
      <c r="K10" s="29">
        <f t="shared" si="1"/>
        <v>2.039492975944456</v>
      </c>
      <c r="L10" s="29">
        <f t="shared" si="1"/>
        <v>1.8697606182825048</v>
      </c>
      <c r="M10" s="29">
        <f t="shared" si="1"/>
        <v>1.6615217966420701</v>
      </c>
      <c r="N10" s="29">
        <f t="shared" si="1"/>
        <v>1.2462003175535603</v>
      </c>
      <c r="O10" s="29">
        <f t="shared" si="1"/>
        <v>1.2784682692995923</v>
      </c>
      <c r="P10" s="29">
        <f t="shared" si="1"/>
        <v>1.5400543515577949</v>
      </c>
      <c r="Q10" s="29">
        <f t="shared" si="1"/>
        <v>1.7885776477462312</v>
      </c>
    </row>
    <row r="11" spans="1:17" x14ac:dyDescent="0.25">
      <c r="A11" s="2" t="s">
        <v>264</v>
      </c>
      <c r="B11" s="29">
        <f>B7/B8</f>
        <v>3.6633350885679858</v>
      </c>
      <c r="C11" s="29">
        <f t="shared" ref="C11:Q11" si="2">C7/C8</f>
        <v>3.7420421364824388</v>
      </c>
      <c r="D11" s="29">
        <f t="shared" si="2"/>
        <v>2.8585906049365426</v>
      </c>
      <c r="E11" s="29">
        <f t="shared" si="2"/>
        <v>3.5169667396296744</v>
      </c>
      <c r="F11" s="29">
        <f t="shared" si="2"/>
        <v>3.4774230722329533</v>
      </c>
      <c r="G11" s="29">
        <f t="shared" si="2"/>
        <v>3.9474066133149917</v>
      </c>
      <c r="H11" s="29">
        <f t="shared" si="2"/>
        <v>4.9937296420823687</v>
      </c>
      <c r="I11" s="29">
        <f t="shared" si="2"/>
        <v>3.4567742424582284</v>
      </c>
      <c r="J11" s="29">
        <f t="shared" si="2"/>
        <v>3.7681513843187786</v>
      </c>
      <c r="K11" s="29">
        <f t="shared" si="2"/>
        <v>3.0375538687526484</v>
      </c>
      <c r="L11" s="29">
        <f t="shared" si="2"/>
        <v>3.1600653733142812</v>
      </c>
      <c r="M11" s="29">
        <f t="shared" si="2"/>
        <v>4.2166519946025725</v>
      </c>
      <c r="N11" s="29">
        <f t="shared" si="2"/>
        <v>5.3553184686834951</v>
      </c>
      <c r="O11" s="29">
        <f t="shared" si="2"/>
        <v>5.5361694704483089</v>
      </c>
      <c r="P11" s="29">
        <f t="shared" si="2"/>
        <v>5.2733060631874302</v>
      </c>
      <c r="Q11" s="29">
        <f t="shared" si="2"/>
        <v>4.4879668299117652</v>
      </c>
    </row>
    <row r="12" spans="1:17" x14ac:dyDescent="0.25">
      <c r="A12" s="2" t="s">
        <v>236</v>
      </c>
      <c r="B12" s="29">
        <f>B9*B10</f>
        <v>0.11352764923851569</v>
      </c>
      <c r="C12" s="29">
        <f t="shared" ref="C12:Q12" si="3">C9*C10</f>
        <v>0.10405806726775689</v>
      </c>
      <c r="D12" s="29">
        <f t="shared" si="3"/>
        <v>0.12050325982674226</v>
      </c>
      <c r="E12" s="29">
        <f t="shared" si="3"/>
        <v>0.11943432710168951</v>
      </c>
      <c r="F12" s="29">
        <f t="shared" si="3"/>
        <v>0.11694319093497803</v>
      </c>
      <c r="G12" s="29">
        <f t="shared" si="3"/>
        <v>0.10320305558490865</v>
      </c>
      <c r="H12" s="29">
        <f t="shared" si="3"/>
        <v>0.11983094369345695</v>
      </c>
      <c r="I12" s="29">
        <f t="shared" si="3"/>
        <v>0.17228149663690917</v>
      </c>
      <c r="J12" s="29">
        <f t="shared" si="3"/>
        <v>0.15747106440408848</v>
      </c>
      <c r="K12" s="29">
        <f t="shared" si="3"/>
        <v>0.20360338165469408</v>
      </c>
      <c r="L12" s="29">
        <f t="shared" si="3"/>
        <v>0.18630519430254749</v>
      </c>
      <c r="M12" s="29">
        <f t="shared" si="3"/>
        <v>0.20566530116606155</v>
      </c>
      <c r="N12" s="29">
        <f t="shared" si="3"/>
        <v>0.14738354404771764</v>
      </c>
      <c r="O12" s="29">
        <f t="shared" si="3"/>
        <v>0.15199291196820638</v>
      </c>
      <c r="P12" s="29">
        <f t="shared" si="3"/>
        <v>0.16284445732217911</v>
      </c>
      <c r="Q12" s="29">
        <f t="shared" si="3"/>
        <v>0.19378977151882765</v>
      </c>
    </row>
    <row r="13" spans="1:17" x14ac:dyDescent="0.25">
      <c r="A13" s="2" t="s">
        <v>244</v>
      </c>
      <c r="B13" s="29">
        <f>B9*B10*B11</f>
        <v>0.41588982097809307</v>
      </c>
      <c r="C13" s="29">
        <f t="shared" ref="C13:Q13" si="4">C9*C10*C11</f>
        <v>0.38938967235687033</v>
      </c>
      <c r="D13" s="29">
        <f t="shared" si="4"/>
        <v>0.34446948640495251</v>
      </c>
      <c r="E13" s="29">
        <f t="shared" si="4"/>
        <v>0.42004655598669305</v>
      </c>
      <c r="F13" s="29">
        <f t="shared" si="4"/>
        <v>0.40666095029783617</v>
      </c>
      <c r="G13" s="29">
        <f t="shared" si="4"/>
        <v>0.40738442413018311</v>
      </c>
      <c r="H13" s="29">
        <f t="shared" si="4"/>
        <v>0.59840333556071923</v>
      </c>
      <c r="I13" s="29">
        <f t="shared" si="4"/>
        <v>0.59553824002662148</v>
      </c>
      <c r="J13" s="29">
        <f t="shared" si="4"/>
        <v>0.59337480932441755</v>
      </c>
      <c r="K13" s="29">
        <f t="shared" si="4"/>
        <v>0.618456239636338</v>
      </c>
      <c r="L13" s="29">
        <f t="shared" si="4"/>
        <v>0.58873659338406947</v>
      </c>
      <c r="M13" s="29">
        <f t="shared" si="4"/>
        <v>0.86721900238241223</v>
      </c>
      <c r="N13" s="29">
        <f t="shared" si="4"/>
        <v>0.78928581541876974</v>
      </c>
      <c r="O13" s="29">
        <f t="shared" si="4"/>
        <v>0.84145851896292156</v>
      </c>
      <c r="P13" s="29">
        <f t="shared" si="4"/>
        <v>0.8587286641535139</v>
      </c>
      <c r="Q13" s="29">
        <f t="shared" si="4"/>
        <v>0.86972206655267825</v>
      </c>
    </row>
    <row r="14" spans="1:17" x14ac:dyDescent="0.25">
      <c r="A14" s="3" t="s">
        <v>265</v>
      </c>
      <c r="B14" s="4"/>
      <c r="C14" s="4"/>
      <c r="D14" s="4"/>
      <c r="E14" s="4"/>
      <c r="F14" s="15">
        <f>F9/B9-1</f>
        <v>9.6764207176054162E-2</v>
      </c>
      <c r="G14" s="15">
        <f t="shared" ref="G14:Q18" si="5">G9/C9-1</f>
        <v>0.20941974608313241</v>
      </c>
      <c r="H14" s="15">
        <f t="shared" si="5"/>
        <v>0.55288734300272235</v>
      </c>
      <c r="I14" s="15">
        <f t="shared" si="5"/>
        <v>0.69741705066642656</v>
      </c>
      <c r="J14" s="15">
        <f t="shared" si="5"/>
        <v>0.77904309602714683</v>
      </c>
      <c r="K14" s="15">
        <f t="shared" si="5"/>
        <v>0.80916066271270037</v>
      </c>
      <c r="L14" s="15">
        <f t="shared" si="5"/>
        <v>0.38149507290281881</v>
      </c>
      <c r="M14" s="15">
        <f t="shared" si="5"/>
        <v>0.4591860779066177</v>
      </c>
      <c r="N14" s="15">
        <f t="shared" si="5"/>
        <v>0.23735852332842633</v>
      </c>
      <c r="O14" s="15">
        <f t="shared" si="5"/>
        <v>0.19088714948256014</v>
      </c>
      <c r="P14" s="15">
        <f t="shared" si="5"/>
        <v>6.1201799597312201E-2</v>
      </c>
      <c r="Q14" s="15">
        <f t="shared" si="5"/>
        <v>-0.12467754692492528</v>
      </c>
    </row>
    <row r="15" spans="1:17" x14ac:dyDescent="0.25">
      <c r="A15" s="3" t="s">
        <v>266</v>
      </c>
      <c r="B15" s="4"/>
      <c r="C15" s="4"/>
      <c r="D15" s="4"/>
      <c r="E15" s="4"/>
      <c r="F15" s="15">
        <f t="shared" ref="F15:F18" si="6">F10/B10-1</f>
        <v>-6.079580037890675E-2</v>
      </c>
      <c r="G15" s="15">
        <f t="shared" si="5"/>
        <v>-0.17995110901424494</v>
      </c>
      <c r="H15" s="15">
        <f t="shared" si="5"/>
        <v>-0.35963109724930964</v>
      </c>
      <c r="I15" s="15">
        <f t="shared" si="5"/>
        <v>-0.15019181748141708</v>
      </c>
      <c r="J15" s="15">
        <f t="shared" si="5"/>
        <v>-0.24309851994330745</v>
      </c>
      <c r="K15" s="15">
        <f t="shared" si="5"/>
        <v>9.0473949059694192E-2</v>
      </c>
      <c r="L15" s="15">
        <f t="shared" si="5"/>
        <v>0.12539930761601159</v>
      </c>
      <c r="M15" s="15">
        <f t="shared" si="5"/>
        <v>-0.18188997860385714</v>
      </c>
      <c r="N15" s="15">
        <f t="shared" si="5"/>
        <v>-0.2435979829862589</v>
      </c>
      <c r="O15" s="15">
        <f t="shared" si="5"/>
        <v>-0.37314406846262638</v>
      </c>
      <c r="P15" s="15">
        <f t="shared" si="5"/>
        <v>-0.17633608468423423</v>
      </c>
      <c r="Q15" s="15">
        <f t="shared" si="5"/>
        <v>7.6469566250012777E-2</v>
      </c>
    </row>
    <row r="16" spans="1:17" x14ac:dyDescent="0.25">
      <c r="A16" s="3" t="s">
        <v>267</v>
      </c>
      <c r="B16" s="4"/>
      <c r="C16" s="4"/>
      <c r="D16" s="4"/>
      <c r="E16" s="4"/>
      <c r="F16" s="15">
        <f t="shared" si="6"/>
        <v>-5.0749388696436859E-2</v>
      </c>
      <c r="G16" s="15">
        <f t="shared" si="5"/>
        <v>5.488032185163938E-2</v>
      </c>
      <c r="H16" s="15">
        <f t="shared" si="5"/>
        <v>0.74692018978115393</v>
      </c>
      <c r="I16" s="15">
        <f t="shared" si="5"/>
        <v>-1.711488951350848E-2</v>
      </c>
      <c r="J16" s="15">
        <f t="shared" si="5"/>
        <v>8.3604527274025342E-2</v>
      </c>
      <c r="K16" s="15">
        <f t="shared" si="5"/>
        <v>-0.23049379850895524</v>
      </c>
      <c r="L16" s="15">
        <f t="shared" si="5"/>
        <v>-0.36719334048758312</v>
      </c>
      <c r="M16" s="15">
        <f t="shared" si="5"/>
        <v>0.21982278819688528</v>
      </c>
      <c r="N16" s="15">
        <f t="shared" si="5"/>
        <v>0.42120576444187918</v>
      </c>
      <c r="O16" s="15">
        <f t="shared" si="5"/>
        <v>0.82257491048930786</v>
      </c>
      <c r="P16" s="15">
        <f t="shared" si="5"/>
        <v>0.66873321916653228</v>
      </c>
      <c r="Q16" s="15">
        <f t="shared" si="5"/>
        <v>6.4343663090167924E-2</v>
      </c>
    </row>
    <row r="17" spans="1:17" x14ac:dyDescent="0.25">
      <c r="A17" s="3" t="s">
        <v>268</v>
      </c>
      <c r="B17" s="4"/>
      <c r="C17" s="4"/>
      <c r="D17" s="4"/>
      <c r="E17" s="4"/>
      <c r="F17" s="15">
        <f t="shared" si="6"/>
        <v>3.0085549373848774E-2</v>
      </c>
      <c r="G17" s="15">
        <f t="shared" si="5"/>
        <v>-8.2166784882536925E-3</v>
      </c>
      <c r="H17" s="15">
        <f t="shared" si="5"/>
        <v>-5.579236065911819E-3</v>
      </c>
      <c r="I17" s="15">
        <f t="shared" si="5"/>
        <v>0.44247889880288938</v>
      </c>
      <c r="J17" s="15">
        <f t="shared" si="5"/>
        <v>0.34656035246758821</v>
      </c>
      <c r="K17" s="15">
        <f t="shared" si="5"/>
        <v>0.97284257235177174</v>
      </c>
      <c r="L17" s="15">
        <f t="shared" si="5"/>
        <v>0.55473359851976345</v>
      </c>
      <c r="M17" s="15">
        <f t="shared" si="5"/>
        <v>0.19377475341713701</v>
      </c>
      <c r="N17" s="15">
        <f t="shared" si="5"/>
        <v>-6.4059517185234283E-2</v>
      </c>
      <c r="O17" s="15">
        <f t="shared" si="5"/>
        <v>-0.25348532655522238</v>
      </c>
      <c r="P17" s="15">
        <f t="shared" si="5"/>
        <v>-0.12592637080354119</v>
      </c>
      <c r="Q17" s="15">
        <f t="shared" si="5"/>
        <v>-5.7742018609377221E-2</v>
      </c>
    </row>
    <row r="18" spans="1:17" x14ac:dyDescent="0.25">
      <c r="A18" s="3" t="s">
        <v>269</v>
      </c>
      <c r="B18" s="4"/>
      <c r="C18" s="4"/>
      <c r="D18" s="4"/>
      <c r="E18" s="4"/>
      <c r="F18" s="15">
        <f t="shared" si="6"/>
        <v>-2.2190662561907271E-2</v>
      </c>
      <c r="G18" s="15">
        <f t="shared" si="5"/>
        <v>4.6212709403399055E-2</v>
      </c>
      <c r="H18" s="15">
        <f t="shared" si="5"/>
        <v>0.73717370965405737</v>
      </c>
      <c r="I18" s="15">
        <f t="shared" si="5"/>
        <v>0.41779103182431032</v>
      </c>
      <c r="J18" s="15">
        <f t="shared" si="5"/>
        <v>0.45913889418158593</v>
      </c>
      <c r="K18" s="15">
        <f t="shared" si="5"/>
        <v>0.51811459399023341</v>
      </c>
      <c r="L18" s="15">
        <f t="shared" si="5"/>
        <v>-1.6154225088989116E-2</v>
      </c>
      <c r="M18" s="15">
        <f t="shared" si="5"/>
        <v>0.45619364819234143</v>
      </c>
      <c r="N18" s="15">
        <f t="shared" si="5"/>
        <v>0.33016400935086065</v>
      </c>
      <c r="O18" s="15">
        <f t="shared" si="5"/>
        <v>0.36057891413257059</v>
      </c>
      <c r="P18" s="15">
        <f t="shared" si="5"/>
        <v>0.45859570103758074</v>
      </c>
      <c r="Q18" s="15">
        <f t="shared" si="5"/>
        <v>2.8863114892427877E-3</v>
      </c>
    </row>
  </sheetData>
  <mergeCells count="1">
    <mergeCell ref="B3:Q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23ED-B79E-49E5-A392-277ECE19686F}">
  <dimension ref="A1:E36"/>
  <sheetViews>
    <sheetView zoomScale="70" zoomScaleNormal="70" workbookViewId="0">
      <selection activeCell="P30" sqref="P30"/>
    </sheetView>
  </sheetViews>
  <sheetFormatPr defaultRowHeight="15" x14ac:dyDescent="0.25"/>
  <cols>
    <col min="1" max="1" width="60.42578125" bestFit="1" customWidth="1"/>
    <col min="2" max="2" width="16" customWidth="1"/>
    <col min="3" max="3" width="15.42578125" customWidth="1"/>
    <col min="4" max="4" width="15.28515625" bestFit="1" customWidth="1"/>
    <col min="5" max="5" width="15.140625" customWidth="1"/>
  </cols>
  <sheetData>
    <row r="1" spans="1:5" x14ac:dyDescent="0.25">
      <c r="B1" s="48" t="s">
        <v>270</v>
      </c>
      <c r="C1" s="48"/>
      <c r="D1" s="48"/>
    </row>
    <row r="2" spans="1:5" x14ac:dyDescent="0.25">
      <c r="B2" s="2" t="s">
        <v>9</v>
      </c>
      <c r="C2" s="2" t="s">
        <v>5</v>
      </c>
      <c r="D2" s="2" t="s">
        <v>1</v>
      </c>
    </row>
    <row r="3" spans="1:5" x14ac:dyDescent="0.25">
      <c r="A3" t="s">
        <v>136</v>
      </c>
      <c r="B3" s="6">
        <f>VLOOKUP($A3,Froto!$A$1:$U$149,MATCH('Nakit Akış Analizi'!B$2,Froto!$A$1:$U$1,0),0)</f>
        <v>7730219000</v>
      </c>
      <c r="C3" s="6">
        <f>VLOOKUP($A3,Froto!$A$1:$U$149,MATCH('Nakit Akış Analizi'!C$2,Froto!$A$1:$U$1,0),0)</f>
        <v>9448151000</v>
      </c>
      <c r="D3" s="6">
        <f>VLOOKUP($A3,Froto!$A$1:$U$149,MATCH('Nakit Akış Analizi'!D$2,Froto!$A$1:$U$1,0),0)</f>
        <v>20756099000</v>
      </c>
    </row>
    <row r="4" spans="1:5" x14ac:dyDescent="0.25">
      <c r="A4" t="s">
        <v>140</v>
      </c>
      <c r="B4" s="6">
        <f>VLOOKUP($A4,Froto!$A$1:$U$149,MATCH('Nakit Akış Analizi'!B$2,Froto!$A$1:$U$1,0),0)</f>
        <v>-1066005000</v>
      </c>
      <c r="C4" s="6">
        <f>VLOOKUP($A4,Froto!$A$1:$U$149,MATCH('Nakit Akış Analizi'!C$2,Froto!$A$1:$U$1,0),0)</f>
        <v>-3441485000</v>
      </c>
      <c r="D4" s="6">
        <f>VLOOKUP($A4,Froto!$A$1:$U$149,MATCH('Nakit Akış Analizi'!D$2,Froto!$A$1:$U$1,0),0)</f>
        <v>-21295857000</v>
      </c>
    </row>
    <row r="5" spans="1:5" x14ac:dyDescent="0.25">
      <c r="A5" t="s">
        <v>146</v>
      </c>
      <c r="B5" s="6">
        <f>VLOOKUP($A5,Froto!$A$1:$U$149,MATCH('Nakit Akış Analizi'!B$2,Froto!$A$1:$U$1,0),0)</f>
        <v>-1451256000</v>
      </c>
      <c r="C5" s="6">
        <f>VLOOKUP($A5,Froto!$A$1:$U$149,MATCH('Nakit Akış Analizi'!C$2,Froto!$A$1:$U$1,0),0)</f>
        <v>771645000</v>
      </c>
      <c r="D5" s="6">
        <f>VLOOKUP($A5,Froto!$A$1:$U$149,MATCH('Nakit Akış Analizi'!D$2,Froto!$A$1:$U$1,0),0)</f>
        <v>-1989479000</v>
      </c>
    </row>
    <row r="6" spans="1:5" x14ac:dyDescent="0.25">
      <c r="A6" t="s">
        <v>150</v>
      </c>
      <c r="B6" s="6">
        <f>VLOOKUP($A6,Froto!$A$1:$U$149,MATCH('Nakit Akış Analizi'!B$2,Froto!$A$1:$U$1,0),0)</f>
        <v>4873400000</v>
      </c>
      <c r="C6" s="6">
        <f>VLOOKUP($A6,Froto!$A$1:$U$149,MATCH('Nakit Akış Analizi'!C$2,Froto!$A$1:$U$1,0),0)</f>
        <v>6032611000</v>
      </c>
      <c r="D6" s="6">
        <f>VLOOKUP($A6,Froto!$A$1:$U$149,MATCH('Nakit Akış Analizi'!D$2,Froto!$A$1:$U$1,0),0)</f>
        <v>-3996618000</v>
      </c>
    </row>
    <row r="7" spans="1:5" x14ac:dyDescent="0.25">
      <c r="A7" t="s">
        <v>152</v>
      </c>
      <c r="B7" s="6">
        <f>VLOOKUP($A7,Froto!$A$1:$U$149,MATCH('Nakit Akış Analizi'!B$2,Froto!$A$1:$U$1,0),0)</f>
        <v>3200229000</v>
      </c>
      <c r="C7" s="6">
        <f>VLOOKUP($A7,Froto!$A$1:$U$149,MATCH('Nakit Akış Analizi'!C$2,Froto!$A$1:$U$1,0),0)</f>
        <v>8073629000</v>
      </c>
      <c r="D7" s="6">
        <f>VLOOKUP($A7,Froto!$A$1:$U$149,MATCH('Nakit Akış Analizi'!D$2,Froto!$A$1:$U$1,0),0)</f>
        <v>14106240000</v>
      </c>
    </row>
    <row r="8" spans="1:5" x14ac:dyDescent="0.25">
      <c r="A8" t="s">
        <v>153</v>
      </c>
      <c r="B8" s="6">
        <f>VLOOKUP($A8,Froto!$A$1:$U$149,MATCH('Nakit Akış Analizi'!B$2,Froto!$A$1:$U$1,0),0)</f>
        <v>8073629000</v>
      </c>
      <c r="C8" s="6">
        <f>VLOOKUP($A8,Froto!$A$1:$U$149,MATCH('Nakit Akış Analizi'!C$2,Froto!$A$1:$U$1,0),0)</f>
        <v>14106240000</v>
      </c>
      <c r="D8" s="6">
        <f>VLOOKUP($A8,Froto!$A$1:$U$149,MATCH('Nakit Akış Analizi'!D$2,Froto!$A$1:$U$1,0),0)</f>
        <v>10109622000</v>
      </c>
    </row>
    <row r="11" spans="1:5" x14ac:dyDescent="0.25">
      <c r="B11" s="48" t="s">
        <v>271</v>
      </c>
      <c r="C11" s="48"/>
      <c r="D11" s="48"/>
      <c r="E11" s="48"/>
    </row>
    <row r="12" spans="1:5" ht="60" x14ac:dyDescent="0.25">
      <c r="B12" s="33" t="s">
        <v>272</v>
      </c>
      <c r="C12" s="33" t="s">
        <v>136</v>
      </c>
      <c r="D12" s="33" t="s">
        <v>140</v>
      </c>
      <c r="E12" s="33" t="s">
        <v>146</v>
      </c>
    </row>
    <row r="13" spans="1:5" x14ac:dyDescent="0.25">
      <c r="A13">
        <v>2020</v>
      </c>
      <c r="B13" s="32" t="s">
        <v>273</v>
      </c>
      <c r="C13" s="34" t="str">
        <f>IF(B3&gt;0,"(+)","(-)")</f>
        <v>(+)</v>
      </c>
      <c r="D13" s="34" t="str">
        <f>IF(B4&gt;0,"(+)","(-)")</f>
        <v>(-)</v>
      </c>
      <c r="E13" s="34" t="str">
        <f>IF(B5&gt;0,"(+)","(-)")</f>
        <v>(-)</v>
      </c>
    </row>
    <row r="14" spans="1:5" x14ac:dyDescent="0.25">
      <c r="A14">
        <v>2021</v>
      </c>
      <c r="B14" t="s">
        <v>274</v>
      </c>
      <c r="C14" s="34" t="str">
        <f>IF(C3&gt;0,"(+)","(-)")</f>
        <v>(+)</v>
      </c>
      <c r="D14" s="34" t="str">
        <f>IF(C4&gt;0,"(+)","(-)")</f>
        <v>(-)</v>
      </c>
      <c r="E14" s="34" t="str">
        <f>IF(C5&gt;0,"(+)","(-)")</f>
        <v>(+)</v>
      </c>
    </row>
    <row r="15" spans="1:5" x14ac:dyDescent="0.25">
      <c r="A15">
        <v>2022</v>
      </c>
      <c r="B15" s="32" t="s">
        <v>273</v>
      </c>
      <c r="C15" s="34" t="str">
        <f>IF(D3&gt;0,"(+)","(-)")</f>
        <v>(+)</v>
      </c>
      <c r="D15" s="34" t="str">
        <f>IF(D4&gt;0,"(+)","(-)")</f>
        <v>(-)</v>
      </c>
      <c r="E15" s="34" t="str">
        <f>IF(D5&gt;0,"(+)","(-)")</f>
        <v>(-)</v>
      </c>
    </row>
    <row r="19" spans="1:4" x14ac:dyDescent="0.25">
      <c r="B19" s="48" t="s">
        <v>275</v>
      </c>
      <c r="C19" s="48"/>
      <c r="D19" s="48"/>
    </row>
    <row r="20" spans="1:4" x14ac:dyDescent="0.25">
      <c r="B20" s="2" t="s">
        <v>9</v>
      </c>
      <c r="C20" s="2" t="s">
        <v>5</v>
      </c>
      <c r="D20" s="2" t="s">
        <v>1</v>
      </c>
    </row>
    <row r="21" spans="1:4" x14ac:dyDescent="0.25">
      <c r="A21" t="s">
        <v>21</v>
      </c>
      <c r="B21" s="6">
        <f>VLOOKUP($A21,Froto!$A$1:$U$149,MATCH('Nakit Akış Analizi'!B$2,Froto!$A$1:$U$1,0),0)</f>
        <v>17604522000</v>
      </c>
      <c r="C21" s="6">
        <f>VLOOKUP($A21,Froto!$A$1:$U$149,MATCH('Nakit Akış Analizi'!C$2,Froto!$A$1:$U$1,0),0)</f>
        <v>32813852000</v>
      </c>
      <c r="D21" s="6">
        <f>VLOOKUP($A21,Froto!$A$1:$U$149,MATCH('Nakit Akış Analizi'!D$2,Froto!$A$1:$U$1,0),0)</f>
        <v>55124518000</v>
      </c>
    </row>
    <row r="22" spans="1:4" x14ac:dyDescent="0.25">
      <c r="A22" t="s">
        <v>33</v>
      </c>
      <c r="B22" s="6">
        <f>VLOOKUP($A22,Froto!$A$1:$U$149,MATCH('Nakit Akış Analizi'!B$2,Froto!$A$1:$U$1,0),0)</f>
        <v>6744657000</v>
      </c>
      <c r="C22" s="6">
        <f>VLOOKUP($A22,Froto!$A$1:$U$149,MATCH('Nakit Akış Analizi'!C$2,Froto!$A$1:$U$1,0),0)</f>
        <v>9979001000</v>
      </c>
      <c r="D22" s="6">
        <f>VLOOKUP($A22,Froto!$A$1:$U$149,MATCH('Nakit Akış Analizi'!D$2,Froto!$A$1:$U$1,0),0)</f>
        <v>40927729000</v>
      </c>
    </row>
    <row r="23" spans="1:4" x14ac:dyDescent="0.25">
      <c r="A23" t="s">
        <v>42</v>
      </c>
      <c r="B23" s="6">
        <f>VLOOKUP($A23,Froto!$A$1:$U$149,MATCH('Nakit Akış Analizi'!B$2,Froto!$A$1:$U$1,0),0)</f>
        <v>24349179000</v>
      </c>
      <c r="C23" s="6">
        <f>VLOOKUP($A23,Froto!$A$1:$U$149,MATCH('Nakit Akış Analizi'!C$2,Froto!$A$1:$U$1,0),0)</f>
        <v>42792853000</v>
      </c>
      <c r="D23" s="6">
        <f>VLOOKUP($A23,Froto!$A$1:$U$149,MATCH('Nakit Akış Analizi'!D$2,Froto!$A$1:$U$1,0),0)</f>
        <v>96052247000</v>
      </c>
    </row>
    <row r="24" spans="1:4" x14ac:dyDescent="0.25">
      <c r="A24" t="s">
        <v>44</v>
      </c>
      <c r="B24" s="6">
        <f>VLOOKUP($A24,Froto!$A$1:$U$149,MATCH('Nakit Akış Analizi'!B$2,Froto!$A$1:$U$1,0),0)</f>
        <v>12480781000</v>
      </c>
      <c r="C24" s="6">
        <f>VLOOKUP($A24,Froto!$A$1:$U$149,MATCH('Nakit Akış Analizi'!C$2,Froto!$A$1:$U$1,0),0)</f>
        <v>20782144000</v>
      </c>
      <c r="D24" s="6">
        <f>VLOOKUP($A24,Froto!$A$1:$U$149,MATCH('Nakit Akış Analizi'!D$2,Froto!$A$1:$U$1,0),0)</f>
        <v>46205980000</v>
      </c>
    </row>
    <row r="25" spans="1:4" x14ac:dyDescent="0.25">
      <c r="A25" t="s">
        <v>57</v>
      </c>
      <c r="B25" s="6">
        <f>VLOOKUP($A25,Froto!$A$1:$U$149,MATCH('Nakit Akış Analizi'!B$2,Froto!$A$1:$U$1,0),0)</f>
        <v>4824496000</v>
      </c>
      <c r="C25" s="6">
        <f>VLOOKUP($A25,Froto!$A$1:$U$149,MATCH('Nakit Akış Analizi'!C$2,Froto!$A$1:$U$1,0),0)</f>
        <v>11862171000</v>
      </c>
      <c r="D25" s="6">
        <f>VLOOKUP($A25,Froto!$A$1:$U$149,MATCH('Nakit Akış Analizi'!D$2,Froto!$A$1:$U$1,0),0)</f>
        <v>28444093000</v>
      </c>
    </row>
    <row r="26" spans="1:4" x14ac:dyDescent="0.25">
      <c r="A26" t="s">
        <v>64</v>
      </c>
      <c r="B26" s="6">
        <f>VLOOKUP($A26,Froto!$A$1:$U$149,MATCH('Nakit Akış Analizi'!B$2,Froto!$A$1:$U$1,0),0)</f>
        <v>7043902000</v>
      </c>
      <c r="C26" s="6">
        <f>VLOOKUP($A26,Froto!$A$1:$U$149,MATCH('Nakit Akış Analizi'!C$2,Froto!$A$1:$U$1,0),0)</f>
        <v>10148538000</v>
      </c>
      <c r="D26" s="6">
        <f>VLOOKUP($A26,Froto!$A$1:$U$149,MATCH('Nakit Akış Analizi'!D$2,Froto!$A$1:$U$1,0),0)</f>
        <v>21402174000</v>
      </c>
    </row>
    <row r="27" spans="1:4" x14ac:dyDescent="0.25">
      <c r="A27" t="s">
        <v>76</v>
      </c>
      <c r="B27" s="6">
        <f>VLOOKUP($A27,Froto!$A$1:$U$149,MATCH('Nakit Akış Analizi'!B$2,Froto!$A$1:$U$1,0),0)</f>
        <v>24349179000</v>
      </c>
      <c r="C27" s="6">
        <f>VLOOKUP($A27,Froto!$A$1:$U$149,MATCH('Nakit Akış Analizi'!C$2,Froto!$A$1:$U$1,0),0)</f>
        <v>42792853000</v>
      </c>
      <c r="D27" s="6">
        <f>VLOOKUP($A27,Froto!$A$1:$U$149,MATCH('Nakit Akış Analizi'!D$2,Froto!$A$1:$U$1,0),0)</f>
        <v>96052247000</v>
      </c>
    </row>
    <row r="28" spans="1:4" x14ac:dyDescent="0.25">
      <c r="A28" t="s">
        <v>66</v>
      </c>
      <c r="B28" s="6">
        <f>VLOOKUP($A28,Froto!$A$1:$U$149,MATCH('Nakit Akış Analizi'!B$2,Froto!$A$1:$U$1,0),0)</f>
        <v>350910000</v>
      </c>
      <c r="C28" s="6">
        <f>VLOOKUP($A28,Froto!$A$1:$U$149,MATCH('Nakit Akış Analizi'!C$2,Froto!$A$1:$U$1,0),0)</f>
        <v>350910000</v>
      </c>
      <c r="D28" s="6">
        <f>VLOOKUP($A28,Froto!$A$1:$U$149,MATCH('Nakit Akış Analizi'!D$2,Froto!$A$1:$U$1,0),0)</f>
        <v>350910000</v>
      </c>
    </row>
    <row r="29" spans="1:4" x14ac:dyDescent="0.25">
      <c r="A29" t="s">
        <v>143</v>
      </c>
      <c r="B29" s="6">
        <f>-VLOOKUP($A29,Froto!$A$1:$U$149,MATCH('Nakit Akış Analizi'!B$2,Froto!$A$1:$U$1,0),0)</f>
        <v>1094839000</v>
      </c>
      <c r="C29" s="6">
        <f>-VLOOKUP($A29,Froto!$A$1:$U$149,MATCH('Nakit Akış Analizi'!C$2,Froto!$A$1:$U$1,0),0)</f>
        <v>3575773000</v>
      </c>
      <c r="D29" s="6">
        <f>-VLOOKUP($A29,Froto!$A$1:$U$149,MATCH('Nakit Akış Analizi'!D$2,Froto!$A$1:$U$1,0),0)</f>
        <v>6562017000</v>
      </c>
    </row>
    <row r="30" spans="1:4" x14ac:dyDescent="0.25">
      <c r="B30" s="48" t="s">
        <v>277</v>
      </c>
      <c r="C30" s="48"/>
      <c r="D30" s="48"/>
    </row>
    <row r="31" spans="1:4" x14ac:dyDescent="0.25">
      <c r="B31" s="2" t="s">
        <v>9</v>
      </c>
      <c r="C31" s="2" t="s">
        <v>5</v>
      </c>
      <c r="D31" s="2" t="s">
        <v>1</v>
      </c>
    </row>
    <row r="32" spans="1:4" x14ac:dyDescent="0.25">
      <c r="A32" t="s">
        <v>276</v>
      </c>
      <c r="B32" s="29">
        <f>B3/B24</f>
        <v>0.61936981347561504</v>
      </c>
      <c r="C32" s="29">
        <f t="shared" ref="C32:D32" si="0">C3/C24</f>
        <v>0.45462830976438234</v>
      </c>
      <c r="D32" s="29">
        <f t="shared" si="0"/>
        <v>0.44920806787346573</v>
      </c>
    </row>
    <row r="33" spans="1:4" x14ac:dyDescent="0.25">
      <c r="A33" t="s">
        <v>278</v>
      </c>
      <c r="B33" s="29">
        <f>B3/(B24+B25)</f>
        <v>0.44669721264791079</v>
      </c>
      <c r="C33" s="29">
        <f t="shared" ref="C33:D33" si="1">C3/(C24+C25)</f>
        <v>0.28942714834114303</v>
      </c>
      <c r="D33" s="29">
        <f t="shared" si="1"/>
        <v>0.27804526058534462</v>
      </c>
    </row>
    <row r="34" spans="1:4" x14ac:dyDescent="0.25">
      <c r="A34" t="s">
        <v>279</v>
      </c>
      <c r="B34" s="29">
        <f>B3/B23</f>
        <v>0.31747349674500319</v>
      </c>
      <c r="C34" s="29">
        <f t="shared" ref="C34:D34" si="2">C3/C23</f>
        <v>0.22078806009966198</v>
      </c>
      <c r="D34" s="29">
        <f t="shared" si="2"/>
        <v>0.21609175889451082</v>
      </c>
    </row>
    <row r="35" spans="1:4" x14ac:dyDescent="0.25">
      <c r="A35" t="s">
        <v>280</v>
      </c>
      <c r="B35" s="29">
        <f>B3/B28</f>
        <v>22.029064432475565</v>
      </c>
      <c r="C35" s="29">
        <f t="shared" ref="C35:D35" si="3">C3/C28</f>
        <v>26.924712889344846</v>
      </c>
      <c r="D35" s="29">
        <f t="shared" si="3"/>
        <v>59.149351685617397</v>
      </c>
    </row>
    <row r="36" spans="1:4" x14ac:dyDescent="0.25">
      <c r="A36" t="s">
        <v>281</v>
      </c>
      <c r="B36" s="29">
        <f>B3/B29</f>
        <v>7.0605988643079032</v>
      </c>
      <c r="C36" s="29">
        <f t="shared" ref="C36:D36" si="4">C3/C29</f>
        <v>2.6422681193688748</v>
      </c>
      <c r="D36" s="29">
        <f t="shared" si="4"/>
        <v>3.1630669350597538</v>
      </c>
    </row>
  </sheetData>
  <mergeCells count="4">
    <mergeCell ref="B1:D1"/>
    <mergeCell ref="B11:E11"/>
    <mergeCell ref="B19:D19"/>
    <mergeCell ref="B30:D30"/>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CA321-3EDC-496A-A571-8E3B4FD7773E}">
  <dimension ref="A3:R105"/>
  <sheetViews>
    <sheetView tabSelected="1" topLeftCell="A58" zoomScale="70" zoomScaleNormal="70" workbookViewId="0">
      <selection activeCell="H75" sqref="H75"/>
    </sheetView>
  </sheetViews>
  <sheetFormatPr defaultRowHeight="15" x14ac:dyDescent="0.25"/>
  <cols>
    <col min="1" max="1" width="33.85546875" bestFit="1" customWidth="1"/>
    <col min="2" max="4" width="14.5703125" bestFit="1" customWidth="1"/>
    <col min="5" max="5" width="15.7109375" bestFit="1" customWidth="1"/>
    <col min="6" max="6" width="14.5703125" bestFit="1" customWidth="1"/>
    <col min="7" max="7" width="15.28515625" bestFit="1" customWidth="1"/>
    <col min="8" max="8" width="16.28515625" bestFit="1" customWidth="1"/>
    <col min="9" max="9" width="15.7109375" bestFit="1" customWidth="1"/>
    <col min="10" max="10" width="14.5703125" bestFit="1" customWidth="1"/>
    <col min="11" max="11" width="17.42578125" bestFit="1" customWidth="1"/>
    <col min="12" max="12" width="15.7109375" bestFit="1" customWidth="1"/>
    <col min="13" max="13" width="14.5703125" bestFit="1" customWidth="1"/>
    <col min="14" max="18" width="15.7109375" bestFit="1" customWidth="1"/>
  </cols>
  <sheetData>
    <row r="3" spans="1:18" x14ac:dyDescent="0.25">
      <c r="B3" s="48" t="s">
        <v>284</v>
      </c>
      <c r="C3" s="48"/>
      <c r="D3" s="48"/>
      <c r="E3" s="48"/>
      <c r="F3" s="48"/>
      <c r="G3" s="48"/>
      <c r="H3" s="48"/>
      <c r="I3" s="48"/>
      <c r="J3" s="48"/>
      <c r="K3" s="48"/>
      <c r="L3" s="48"/>
      <c r="M3" s="48"/>
      <c r="N3" s="48"/>
      <c r="O3" s="48"/>
      <c r="P3" s="48"/>
      <c r="Q3" s="48"/>
    </row>
    <row r="4" spans="1:18" x14ac:dyDescent="0.25">
      <c r="B4" s="2" t="str">
        <f>INDEX(Froto!$B$1:$Q$1,COLUMNS(Froto!B$1:$Q1))</f>
        <v>2019/3</v>
      </c>
      <c r="C4" s="2" t="str">
        <f>INDEX(Froto!$B$1:$Q$1,COLUMNS(Froto!C$1:$Q1))</f>
        <v>2019/6</v>
      </c>
      <c r="D4" s="2" t="str">
        <f>INDEX(Froto!$B$1:$Q$1,COLUMNS(Froto!D$1:$Q1))</f>
        <v>2019/9</v>
      </c>
      <c r="E4" s="2" t="str">
        <f>INDEX(Froto!$B$1:$Q$1,COLUMNS(Froto!E$1:$Q1))</f>
        <v>2019/12</v>
      </c>
      <c r="F4" s="2" t="str">
        <f>INDEX(Froto!$B$1:$Q$1,COLUMNS(Froto!F$1:$Q1))</f>
        <v>2020/3</v>
      </c>
      <c r="G4" s="2" t="str">
        <f>INDEX(Froto!$B$1:$Q$1,COLUMNS(Froto!G$1:$Q1))</f>
        <v>2020/6</v>
      </c>
      <c r="H4" s="2" t="str">
        <f>INDEX(Froto!$B$1:$Q$1,COLUMNS(Froto!H$1:$Q1))</f>
        <v>2020/9</v>
      </c>
      <c r="I4" s="2" t="str">
        <f>INDEX(Froto!$B$1:$Q$1,COLUMNS(Froto!I$1:$Q1))</f>
        <v>2020/12</v>
      </c>
      <c r="J4" s="2" t="str">
        <f>INDEX(Froto!$B$1:$Q$1,COLUMNS(Froto!J$1:$Q1))</f>
        <v>2021/3</v>
      </c>
      <c r="K4" s="2" t="str">
        <f>INDEX(Froto!$B$1:$Q$1,COLUMNS(Froto!K$1:$Q1))</f>
        <v>2021/6</v>
      </c>
      <c r="L4" s="2" t="str">
        <f>INDEX(Froto!$B$1:$Q$1,COLUMNS(Froto!L$1:$Q1))</f>
        <v>2021/9</v>
      </c>
      <c r="M4" s="2" t="str">
        <f>INDEX(Froto!$B$1:$Q$1,COLUMNS(Froto!M$1:$Q1))</f>
        <v>2021/12</v>
      </c>
      <c r="N4" s="2" t="str">
        <f>INDEX(Froto!$B$1:$Q$1,COLUMNS(Froto!N$1:$Q1))</f>
        <v>2022/3</v>
      </c>
      <c r="O4" s="2" t="str">
        <f>INDEX(Froto!$B$1:$Q$1,COLUMNS(Froto!O$1:$Q1))</f>
        <v>2022/6</v>
      </c>
      <c r="P4" s="2" t="str">
        <f>INDEX(Froto!$B$1:$Q$1,COLUMNS(Froto!P$1:$Q1))</f>
        <v>2022/9</v>
      </c>
      <c r="Q4" s="2" t="str">
        <f>INDEX(Froto!$B$1:$Q$1,COLUMNS(Froto!Q$1:$Q1))</f>
        <v>2022/12</v>
      </c>
      <c r="R4" s="35" t="str">
        <f>Fiyatlar!B65</f>
        <v>2023/4</v>
      </c>
    </row>
    <row r="5" spans="1:18" x14ac:dyDescent="0.25">
      <c r="A5" t="s">
        <v>283</v>
      </c>
      <c r="B5" s="36">
        <f>VLOOKUP(B$4,Fiyatlar!$B$2:$C$65,2,0)</f>
        <v>37.43</v>
      </c>
      <c r="C5" s="36">
        <f>VLOOKUP(C$4,Fiyatlar!$B$2:$C$65,2,0)</f>
        <v>50.47</v>
      </c>
      <c r="D5" s="36">
        <f>VLOOKUP(D$4,Fiyatlar!$B$2:$C$65,2,0)</f>
        <v>47.97</v>
      </c>
      <c r="E5" s="36">
        <f>VLOOKUP(E$4,Fiyatlar!$B$2:$C$65,2,0)</f>
        <v>58.26</v>
      </c>
      <c r="F5" s="36">
        <f>VLOOKUP(F$4,Fiyatlar!$B$2:$C$65,2,0)</f>
        <v>43.43</v>
      </c>
      <c r="G5" s="36">
        <f>VLOOKUP(G$4,Fiyatlar!$B$2:$C$65,2,0)</f>
        <v>62.48</v>
      </c>
      <c r="H5" s="36">
        <f>VLOOKUP(H$4,Fiyatlar!$B$2:$C$65,2,0)</f>
        <v>77.11</v>
      </c>
      <c r="I5" s="36">
        <f>VLOOKUP(I$4,Fiyatlar!$B$2:$C$65,2,0)</f>
        <v>111.04</v>
      </c>
      <c r="J5" s="36">
        <f>VLOOKUP(J$4,Fiyatlar!$B$2:$C$65,2,0)</f>
        <v>175.73</v>
      </c>
      <c r="K5" s="36">
        <f>VLOOKUP(K$4,Fiyatlar!$B$2:$C$65,2,0)</f>
        <v>154.72999999999999</v>
      </c>
      <c r="L5" s="36">
        <f>VLOOKUP(L$4,Fiyatlar!$B$2:$C$65,2,0)</f>
        <v>151.91999999999999</v>
      </c>
      <c r="M5" s="36">
        <f>VLOOKUP(M$4,Fiyatlar!$B$2:$C$65,2,0)</f>
        <v>220.14</v>
      </c>
      <c r="N5" s="36">
        <f>VLOOKUP(N$4,Fiyatlar!$B$2:$C$65,2,0)</f>
        <v>288.02</v>
      </c>
      <c r="O5" s="36">
        <f>VLOOKUP(O$4,Fiyatlar!$B$2:$C$65,2,0)</f>
        <v>257.45999999999998</v>
      </c>
      <c r="P5" s="36">
        <f>VLOOKUP(P$4,Fiyatlar!$B$2:$C$65,2,0)</f>
        <v>315.31</v>
      </c>
      <c r="Q5" s="36">
        <f>VLOOKUP(Q$4,Fiyatlar!$B$2:$C$65,2,0)</f>
        <v>512.35</v>
      </c>
      <c r="R5" s="36">
        <f>VLOOKUP(R$4,Fiyatlar!$B$2:$C$65,2,0)</f>
        <v>607.70000000000005</v>
      </c>
    </row>
    <row r="6" spans="1:18" x14ac:dyDescent="0.25">
      <c r="A6" t="s">
        <v>285</v>
      </c>
      <c r="B6" s="37">
        <f>HLOOKUP(B4,Froto!$B$1:$U$61,61,0)</f>
        <v>350910000</v>
      </c>
      <c r="C6" s="37">
        <f>HLOOKUP(C4,Froto!$B$1:$U$61,61,0)</f>
        <v>350910000</v>
      </c>
      <c r="D6" s="37">
        <f>HLOOKUP(D4,Froto!$B$1:$U$61,61,0)</f>
        <v>350910000</v>
      </c>
      <c r="E6" s="37">
        <f>HLOOKUP(E4,Froto!$B$1:$U$61,61,0)</f>
        <v>350910000</v>
      </c>
      <c r="F6" s="37">
        <f>HLOOKUP(F4,Froto!$B$1:$U$61,61,0)</f>
        <v>350910000</v>
      </c>
      <c r="G6" s="37">
        <f>HLOOKUP(G4,Froto!$B$1:$U$61,61,0)</f>
        <v>350910000</v>
      </c>
      <c r="H6" s="37">
        <f>HLOOKUP(H4,Froto!$B$1:$U$61,61,0)</f>
        <v>350910000</v>
      </c>
      <c r="I6" s="37">
        <f>HLOOKUP(I4,Froto!$B$1:$U$61,61,0)</f>
        <v>350910000</v>
      </c>
      <c r="J6" s="37">
        <f>HLOOKUP(J4,Froto!$B$1:$U$61,61,0)</f>
        <v>350910000</v>
      </c>
      <c r="K6" s="37">
        <f>HLOOKUP(K4,Froto!$B$1:$U$61,61,0)</f>
        <v>350910000</v>
      </c>
      <c r="L6" s="37">
        <f>HLOOKUP(L4,Froto!$B$1:$U$61,61,0)</f>
        <v>350910000</v>
      </c>
      <c r="M6" s="37">
        <f>HLOOKUP(M4,Froto!$B$1:$U$61,61,0)</f>
        <v>350910000</v>
      </c>
      <c r="N6" s="37">
        <f>HLOOKUP(N4,Froto!$B$1:$U$61,61,0)</f>
        <v>350910000</v>
      </c>
      <c r="O6" s="37">
        <f>HLOOKUP(O4,Froto!$B$1:$U$61,61,0)</f>
        <v>350910000</v>
      </c>
      <c r="P6" s="37">
        <f>HLOOKUP(P4,Froto!$B$1:$U$61,61,0)</f>
        <v>350910000</v>
      </c>
      <c r="Q6" s="37">
        <f>HLOOKUP(Q4,Froto!$B$1:$U$61,61,0)</f>
        <v>350910000</v>
      </c>
      <c r="R6" s="37">
        <f>Q6</f>
        <v>350910000</v>
      </c>
    </row>
    <row r="7" spans="1:18" x14ac:dyDescent="0.25">
      <c r="A7" t="s">
        <v>286</v>
      </c>
      <c r="B7" s="37">
        <f>B5*B6</f>
        <v>13134561300</v>
      </c>
      <c r="C7" s="37">
        <f t="shared" ref="C7:R7" si="0">C5*C6</f>
        <v>17710427700</v>
      </c>
      <c r="D7" s="37">
        <f t="shared" si="0"/>
        <v>16833152700</v>
      </c>
      <c r="E7" s="37">
        <f t="shared" si="0"/>
        <v>20444016600</v>
      </c>
      <c r="F7" s="37">
        <f t="shared" si="0"/>
        <v>15240021300</v>
      </c>
      <c r="G7" s="37">
        <f t="shared" si="0"/>
        <v>21924856800</v>
      </c>
      <c r="H7" s="37">
        <f t="shared" si="0"/>
        <v>27058670100</v>
      </c>
      <c r="I7" s="37">
        <f t="shared" si="0"/>
        <v>38965046400</v>
      </c>
      <c r="J7" s="37">
        <f t="shared" si="0"/>
        <v>61665414300</v>
      </c>
      <c r="K7" s="37">
        <f t="shared" si="0"/>
        <v>54296304300</v>
      </c>
      <c r="L7" s="37">
        <f t="shared" si="0"/>
        <v>53310247199.999992</v>
      </c>
      <c r="M7" s="37">
        <f t="shared" si="0"/>
        <v>77249327400</v>
      </c>
      <c r="N7" s="37">
        <f t="shared" si="0"/>
        <v>101069098200</v>
      </c>
      <c r="O7" s="37">
        <f t="shared" si="0"/>
        <v>90345288600</v>
      </c>
      <c r="P7" s="37">
        <f t="shared" si="0"/>
        <v>110645432100</v>
      </c>
      <c r="Q7" s="37">
        <f t="shared" si="0"/>
        <v>179788738500</v>
      </c>
      <c r="R7" s="37">
        <f t="shared" si="0"/>
        <v>213248007000.00003</v>
      </c>
    </row>
    <row r="8" spans="1:18" x14ac:dyDescent="0.25">
      <c r="A8" t="s">
        <v>78</v>
      </c>
      <c r="B8" s="6">
        <f>HLOOKUP(B4,'Yıllıklandırılmış Veriler'!$B$1:$R$74,74,0)</f>
        <v>35294072000</v>
      </c>
      <c r="C8" s="6">
        <f>HLOOKUP(C4,'Yıllıklandırılmış Veriler'!$B$1:$R$74,74,0)</f>
        <v>36228894000</v>
      </c>
      <c r="D8" s="6">
        <f>HLOOKUP(D4,'Yıllıklandırılmış Veriler'!$B$1:$R$74,74,0)</f>
        <v>37754372000</v>
      </c>
      <c r="E8" s="6">
        <f>HLOOKUP(E4,'Yıllıklandırılmış Veriler'!$B$1:$R$74,74,0)</f>
        <v>39209019000</v>
      </c>
      <c r="F8" s="6">
        <f>HLOOKUP(F4,'Yıllıklandırılmış Veriler'!$B$1:$R$74,74,0)</f>
        <v>39291576000</v>
      </c>
      <c r="G8" s="6">
        <f>HLOOKUP(G4,'Yıllıklandırılmış Veriler'!$B$1:$R$74,74,0)</f>
        <v>35893712000</v>
      </c>
      <c r="H8" s="6">
        <f>HLOOKUP(H4,'Yıllıklandırılmış Veriler'!$B$1:$R$74,74,0)</f>
        <v>39992483000</v>
      </c>
      <c r="I8" s="6">
        <f>HLOOKUP(I4,'Yıllıklandırılmış Veriler'!$B$1:$R$74,74,0)</f>
        <v>49451407000</v>
      </c>
      <c r="J8" s="6">
        <f>HLOOKUP(J4,'Yıllıklandırılmış Veriler'!$B$1:$R$74,74,0)</f>
        <v>56338940000</v>
      </c>
      <c r="K8" s="6">
        <f>HLOOKUP(K4,'Yıllıklandırılmış Veriler'!$B$1:$R$74,74,0)</f>
        <v>61144236000</v>
      </c>
      <c r="L8" s="6">
        <f>HLOOKUP(L4,'Yıllıklandırılmış Veriler'!$B$1:$R$74,74,0)</f>
        <v>66618707000</v>
      </c>
      <c r="M8" s="6">
        <f>HLOOKUP(M4,'Yıllıklandırılmış Veriler'!$B$1:$R$74,74,0)</f>
        <v>71101258000</v>
      </c>
      <c r="N8" s="6">
        <f>HLOOKUP(N4,'Yıllıklandırılmış Veriler'!$B$1:$R$74,74,0)</f>
        <v>82723541000</v>
      </c>
      <c r="O8" s="6">
        <f>HLOOKUP(O4,'Yıllıklandırılmış Veriler'!$B$1:$R$74,74,0)</f>
        <v>105044600000</v>
      </c>
      <c r="P8" s="6">
        <f>HLOOKUP(P4,'Yıllıklandırılmış Veriler'!$B$1:$R$74,74,0)</f>
        <v>136301246000</v>
      </c>
      <c r="Q8" s="6">
        <f>HLOOKUP(Q4,'Yıllıklandırılmış Veriler'!$B$1:$R$74,74,0)</f>
        <v>171796902000</v>
      </c>
      <c r="R8" s="6">
        <f>Q8</f>
        <v>171796902000</v>
      </c>
    </row>
    <row r="9" spans="1:18" x14ac:dyDescent="0.25">
      <c r="A9" t="s">
        <v>230</v>
      </c>
      <c r="B9" s="6">
        <f>HLOOKUP(B4,'Yıllıklandırılmış Veriler'!$B$1:$R$108,108,0)</f>
        <v>1728891000</v>
      </c>
      <c r="C9" s="6">
        <f>HLOOKUP(C4,'Yıllıklandırılmış Veriler'!$B$1:$R$108,108,0)</f>
        <v>1652965000</v>
      </c>
      <c r="D9" s="6">
        <f>HLOOKUP(D4,'Yıllıklandırılmış Veriler'!$B$1:$R$108,108,0)</f>
        <v>1753545000</v>
      </c>
      <c r="E9" s="6">
        <f>HLOOKUP(E4,'Yıllıklandırılmış Veriler'!$B$1:$R$108,108,0)</f>
        <v>1959484000</v>
      </c>
      <c r="F9" s="6">
        <f>HLOOKUP(F4,'Yıllıklandırılmış Veriler'!$B$1:$R$108,108,0)</f>
        <v>2110953000</v>
      </c>
      <c r="G9" s="6">
        <f>HLOOKUP(G4,'Yıllıklandırılmış Veriler'!$B$1:$R$108,108,0)</f>
        <v>1980633000</v>
      </c>
      <c r="H9" s="6">
        <f>HLOOKUP(H4,'Yıllıklandırılmış Veriler'!$B$1:$R$108,108,0)</f>
        <v>2884483000</v>
      </c>
      <c r="I9" s="6">
        <f>HLOOKUP(I4,'Yıllıklandırılmış Veriler'!$B$1:$R$108,108,0)</f>
        <v>4194913000</v>
      </c>
      <c r="J9" s="6">
        <f>HLOOKUP(J4,'Yıllıklandırılmış Veriler'!$B$1:$R$108,108,0)</f>
        <v>5384858000</v>
      </c>
      <c r="K9" s="6">
        <f>HLOOKUP(K4,'Yıllıklandırılmış Veriler'!$B$1:$R$108,108,0)</f>
        <v>6104053000</v>
      </c>
      <c r="L9" s="6">
        <f>HLOOKUP(L4,'Yıllıklandırılmış Veriler'!$B$1:$R$108,108,0)</f>
        <v>6637968000</v>
      </c>
      <c r="M9" s="6">
        <f>HLOOKUP(M4,'Yıllıklandırılmış Veriler'!$B$1:$R$108,108,0)</f>
        <v>8801005000</v>
      </c>
      <c r="N9" s="6">
        <f>HLOOKUP(N4,'Yıllıklandırılmış Veriler'!$B$1:$R$108,108,0)</f>
        <v>9783410000</v>
      </c>
      <c r="O9" s="6">
        <f>HLOOKUP(O4,'Yıllıklandırılmış Veriler'!$B$1:$R$108,108,0)</f>
        <v>12488409000</v>
      </c>
      <c r="P9" s="6">
        <f>HLOOKUP(P4,'Yıllıklandırılmış Veriler'!$B$1:$R$108,108,0)</f>
        <v>14412415000</v>
      </c>
      <c r="Q9" s="6">
        <f>HLOOKUP(Q4,'Yıllıklandırılmış Veriler'!$B$1:$R$108,108,0)</f>
        <v>18613943000</v>
      </c>
      <c r="R9" s="6">
        <f>Q9</f>
        <v>18613943000</v>
      </c>
    </row>
    <row r="10" spans="1:18" x14ac:dyDescent="0.25">
      <c r="A10" t="s">
        <v>373</v>
      </c>
      <c r="B10" s="6">
        <f>HLOOKUP(B4,'Yıllıklandırılmış Veriler'!$B$1:$R$91,91,0)</f>
        <v>2407594000</v>
      </c>
      <c r="C10" s="6">
        <f>HLOOKUP(C4,'Yıllıklandırılmış Veriler'!$B$1:$R$91,91,0)</f>
        <v>2392752000</v>
      </c>
      <c r="D10" s="6">
        <f>HLOOKUP(D4,'Yıllıklandırılmış Veriler'!$B$1:$R$91,91,0)</f>
        <v>2479217000</v>
      </c>
      <c r="E10" s="6">
        <f>HLOOKUP(E4,'Yıllıklandırılmış Veriler'!$B$1:$R$91,91,0)</f>
        <v>2573639000</v>
      </c>
      <c r="F10" s="6">
        <f>HLOOKUP(F4,'Yıllıklandırılmış Veriler'!$B$1:$R$91,91,0)</f>
        <v>2648286000</v>
      </c>
      <c r="G10" s="6">
        <f>HLOOKUP(G4,'Yıllıklandırılmış Veriler'!$B$1:$R$91,91,0)</f>
        <v>2449576000</v>
      </c>
      <c r="H10" s="6">
        <f>HLOOKUP(H4,'Yıllıklandırılmış Veriler'!$B$1:$R$91,91,0)</f>
        <v>3048310000</v>
      </c>
      <c r="I10" s="6">
        <f>HLOOKUP(I4,'Yıllıklandırılmış Veriler'!$B$1:$R$91,91,0)</f>
        <v>4366825000</v>
      </c>
      <c r="J10" s="6">
        <f>HLOOKUP(J4,'Yıllıklandırılmış Veriler'!$B$1:$R$91,91,0)</f>
        <v>5248834000</v>
      </c>
      <c r="K10" s="6">
        <f>HLOOKUP(K4,'Yıllıklandırılmış Veriler'!$B$1:$R$91,91,0)</f>
        <v>5844019000</v>
      </c>
      <c r="L10" s="6">
        <f>HLOOKUP(L4,'Yıllıklandırılmış Veriler'!$B$1:$R$91,91,0)</f>
        <v>6413445000</v>
      </c>
      <c r="M10" s="6">
        <f>HLOOKUP(M4,'Yıllıklandırılmış Veriler'!$B$1:$R$91,91,0)</f>
        <v>8409612000</v>
      </c>
      <c r="N10" s="6">
        <f>HLOOKUP(N4,'Yıllıklandırılmış Veriler'!$B$1:$R$91,91,0)</f>
        <v>9527002000</v>
      </c>
      <c r="O10" s="6">
        <f>HLOOKUP(O4,'Yıllıklandırılmış Veriler'!$B$1:$R$91,91,0)</f>
        <v>12385274000</v>
      </c>
      <c r="P10" s="6">
        <f>HLOOKUP(P4,'Yıllıklandırılmış Veriler'!$B$1:$R$91,91,0)</f>
        <v>14797739000</v>
      </c>
      <c r="Q10" s="6">
        <f>HLOOKUP(Q4,'Yıllıklandırılmış Veriler'!$B$1:$R$91,91,0)</f>
        <v>17832321000</v>
      </c>
      <c r="R10" s="6" t="e">
        <f>HLOOKUP(R4,'Yıllıklandırılmış Veriler'!$B$1:$R$91,91,0)</f>
        <v>#N/A</v>
      </c>
    </row>
    <row r="11" spans="1:18" x14ac:dyDescent="0.25">
      <c r="A11" t="s">
        <v>197</v>
      </c>
      <c r="B11" s="6">
        <f>HLOOKUP(B4,'Yıllıklandırılmış Veriler'!$B$1:$R$59,59,0)</f>
        <v>4157089000</v>
      </c>
      <c r="C11" s="6">
        <f>HLOOKUP(C4,'Yıllıklandırılmış Veriler'!$B$1:$R$59,59,0)</f>
        <v>4245015000</v>
      </c>
      <c r="D11" s="6">
        <f>HLOOKUP(D4,'Yıllıklandırılmış Veriler'!$B$1:$R$59,59,0)</f>
        <v>5090567000</v>
      </c>
      <c r="E11" s="6">
        <f>HLOOKUP(E4,'Yıllıklandırılmış Veriler'!$B$1:$R$59,59,0)</f>
        <v>4664921000</v>
      </c>
      <c r="F11" s="6">
        <f>HLOOKUP(F4,'Yıllıklandırılmış Veriler'!$B$1:$R$59,59,0)</f>
        <v>5190941000</v>
      </c>
      <c r="G11" s="6">
        <f>HLOOKUP(G4,'Yıllıklandırılmış Veriler'!$B$1:$R$59,59,0)</f>
        <v>4861828000</v>
      </c>
      <c r="H11" s="6">
        <f>HLOOKUP(H4,'Yıllıklandırılmış Veriler'!$B$1:$R$59,59,0)</f>
        <v>4820299000</v>
      </c>
      <c r="I11" s="6">
        <f>HLOOKUP(I4,'Yıllıklandırılmış Veriler'!$B$1:$R$59,59,0)</f>
        <v>7043902000</v>
      </c>
      <c r="J11" s="6">
        <f>HLOOKUP(J4,'Yıllıklandırılmış Veriler'!$B$1:$R$59,59,0)</f>
        <v>9074969000</v>
      </c>
      <c r="K11" s="6">
        <f>HLOOKUP(K4,'Yıllıklandırılmış Veriler'!$B$1:$R$59,59,0)</f>
        <v>9869822000</v>
      </c>
      <c r="L11" s="6">
        <f>HLOOKUP(L4,'Yıllıklandırılmış Veriler'!$B$1:$R$59,59,0)</f>
        <v>11274937000</v>
      </c>
      <c r="M11" s="6">
        <f>HLOOKUP(M4,'Yıllıklandırılmış Veriler'!$B$1:$R$59,59,0)</f>
        <v>10148538000</v>
      </c>
      <c r="N11" s="6">
        <f>HLOOKUP(N4,'Yıllıklandırılmış Veriler'!$B$1:$R$59,59,0)</f>
        <v>12395269000</v>
      </c>
      <c r="O11" s="6">
        <f>HLOOKUP(O4,'Yıllıklandırılmış Veriler'!$B$1:$R$59,59,0)</f>
        <v>14841384000</v>
      </c>
      <c r="P11" s="6">
        <f>HLOOKUP(P4,'Yıllıklandırılmış Veriler'!$B$1:$R$59,59,0)</f>
        <v>16783433000</v>
      </c>
      <c r="Q11" s="6">
        <f>HLOOKUP(Q4,'Yıllıklandırılmış Veriler'!$B$1:$R$59,59,0)</f>
        <v>21402174000</v>
      </c>
      <c r="R11" s="6">
        <f>Q11</f>
        <v>21402174000</v>
      </c>
    </row>
    <row r="12" spans="1:18" x14ac:dyDescent="0.25">
      <c r="A12" t="s">
        <v>336</v>
      </c>
      <c r="B12" s="6">
        <f>HLOOKUP(B4,'Yıllıklandırılmış Veriler'!$B$1:$R$91,91,0)+HLOOKUP(Değerleme!B4,'Yıllıklandırılmış Veriler'!$B$1:$R$116,116,0)</f>
        <v>3026688000</v>
      </c>
      <c r="C12" s="6">
        <f>HLOOKUP(C4,'Yıllıklandırılmış Veriler'!$B$1:$R$91,91,0)+HLOOKUP(Değerleme!C4,'Yıllıklandırılmış Veriler'!$B$1:$R$116,116,0)</f>
        <v>3052843000</v>
      </c>
      <c r="D12" s="6">
        <f>HLOOKUP(D4,'Yıllıklandırılmış Veriler'!$B$1:$R$91,91,0)+HLOOKUP(Değerleme!D4,'Yıllıklandırılmış Veriler'!$B$1:$R$116,116,0)</f>
        <v>3192405000</v>
      </c>
      <c r="E12" s="6">
        <f>HLOOKUP(E4,'Yıllıklandırılmış Veriler'!$B$1:$R$91,91,0)+HLOOKUP(Değerleme!E4,'Yıllıklandırılmış Veriler'!$B$1:$R$116,116,0)</f>
        <v>3349627000</v>
      </c>
      <c r="F12" s="6">
        <f>HLOOKUP(F4,'Yıllıklandırılmış Veriler'!$B$1:$R$91,91,0)+HLOOKUP(Değerleme!F4,'Yıllıklandırılmış Veriler'!$B$1:$R$116,116,0)</f>
        <v>3464917000</v>
      </c>
      <c r="G12" s="6">
        <f>HLOOKUP(G4,'Yıllıklandırılmış Veriler'!$B$1:$R$91,91,0)+HLOOKUP(Değerleme!G4,'Yıllıklandırılmış Veriler'!$B$1:$R$116,116,0)</f>
        <v>3308365000</v>
      </c>
      <c r="H12" s="6">
        <f>HLOOKUP(H4,'Yıllıklandırılmış Veriler'!$B$1:$R$91,91,0)+HLOOKUP(Değerleme!H4,'Yıllıklandırılmış Veriler'!$B$1:$R$116,116,0)</f>
        <v>3936489000</v>
      </c>
      <c r="I12" s="6">
        <f>HLOOKUP(I4,'Yıllıklandırılmış Veriler'!$B$1:$R$91,91,0)+HLOOKUP(Değerleme!I4,'Yıllıklandırılmış Veriler'!$B$1:$R$116,116,0)</f>
        <v>5283400000</v>
      </c>
      <c r="J12" s="6">
        <f>HLOOKUP(J4,'Yıllıklandırılmış Veriler'!$B$1:$R$91,91,0)+HLOOKUP(Değerleme!J4,'Yıllıklandırılmış Veriler'!$B$1:$R$116,116,0)</f>
        <v>6199070000</v>
      </c>
      <c r="K12" s="6">
        <f>HLOOKUP(K4,'Yıllıklandırılmış Veriler'!$B$1:$R$91,91,0)+HLOOKUP(Değerleme!K4,'Yıllıklandırılmış Veriler'!$B$1:$R$116,116,0)</f>
        <v>6826921000</v>
      </c>
      <c r="L12" s="6">
        <f>HLOOKUP(L4,'Yıllıklandırılmış Veriler'!$B$1:$R$91,91,0)+HLOOKUP(Değerleme!L4,'Yıllıklandırılmış Veriler'!$B$1:$R$116,116,0)</f>
        <v>7428377000</v>
      </c>
      <c r="M12" s="6">
        <f>HLOOKUP(M4,'Yıllıklandırılmış Veriler'!$B$1:$R$91,91,0)+HLOOKUP(Değerleme!M4,'Yıllıklandırılmış Veriler'!$B$1:$R$116,116,0)</f>
        <v>9463876000</v>
      </c>
      <c r="N12" s="6">
        <f>HLOOKUP(N4,'Yıllıklandırılmış Veriler'!$B$1:$R$91,91,0)+HLOOKUP(Değerleme!N4,'Yıllıklandırılmış Veriler'!$B$1:$R$116,116,0)</f>
        <v>10623188000</v>
      </c>
      <c r="O12" s="6">
        <f>HLOOKUP(O4,'Yıllıklandırılmış Veriler'!$B$1:$R$91,91,0)+HLOOKUP(Değerleme!O4,'Yıllıklandırılmış Veriler'!$B$1:$R$116,116,0)</f>
        <v>13513847000</v>
      </c>
      <c r="P12" s="6">
        <f>HLOOKUP(P4,'Yıllıklandırılmış Veriler'!$B$1:$R$91,91,0)+HLOOKUP(Değerleme!P4,'Yıllıklandırılmış Veriler'!$B$1:$R$116,116,0)</f>
        <v>16330631000</v>
      </c>
      <c r="Q12" s="6">
        <f>HLOOKUP(Q4,'Yıllıklandırılmış Veriler'!$B$1:$R$91,91,0)+HLOOKUP(Değerleme!Q4,'Yıllıklandırılmış Veriler'!$B$1:$R$116,116,0)</f>
        <v>19727269000</v>
      </c>
      <c r="R12" s="6">
        <f>Q12</f>
        <v>19727269000</v>
      </c>
    </row>
    <row r="13" spans="1:18" x14ac:dyDescent="0.25">
      <c r="A13" t="s">
        <v>371</v>
      </c>
      <c r="B13" s="6">
        <f>-HLOOKUP(B4,'Yıllıklandırılmış Veriler'!$B$1:$R$98,98,0)</f>
        <v>2560262000</v>
      </c>
      <c r="C13" s="6">
        <f>-HLOOKUP(C4,'Yıllıklandırılmış Veriler'!$B$1:$R$98,98,0)</f>
        <v>2710890000</v>
      </c>
      <c r="D13" s="6">
        <f>-HLOOKUP(D4,'Yıllıklandırılmış Veriler'!$B$1:$R$98,98,0)</f>
        <v>2243327000</v>
      </c>
      <c r="E13" s="6">
        <f>-HLOOKUP(E4,'Yıllıklandırılmış Veriler'!$B$1:$R$98,98,0)</f>
        <v>1656231000</v>
      </c>
      <c r="F13" s="6">
        <f>-HLOOKUP(F4,'Yıllıklandırılmış Veriler'!$B$1:$R$98,98,0)</f>
        <v>1804311000</v>
      </c>
      <c r="G13" s="6">
        <f>-HLOOKUP(G4,'Yıllıklandırılmış Veriler'!$B$1:$R$98,98,0)</f>
        <v>1848602000</v>
      </c>
      <c r="H13" s="6">
        <f>-HLOOKUP(H4,'Yıllıklandırılmış Veriler'!$B$1:$R$98,98,0)</f>
        <v>1819233000</v>
      </c>
      <c r="I13" s="6">
        <f>-HLOOKUP(I4,'Yıllıklandırılmış Veriler'!$B$1:$R$98,98,0)</f>
        <v>2553875000</v>
      </c>
      <c r="J13" s="6">
        <f>-HLOOKUP(J4,'Yıllıklandırılmış Veriler'!$B$1:$R$98,98,0)</f>
        <v>2846648000</v>
      </c>
      <c r="K13" s="6">
        <f>-HLOOKUP(K4,'Yıllıklandırılmış Veriler'!$B$1:$R$98,98,0)</f>
        <v>3034573000</v>
      </c>
      <c r="L13" s="6">
        <f>-HLOOKUP(L4,'Yıllıklandırılmış Veriler'!$B$1:$R$98,98,0)</f>
        <v>3418454000</v>
      </c>
      <c r="M13" s="6">
        <f>-HLOOKUP(M4,'Yıllıklandırılmış Veriler'!$B$1:$R$98,98,0)</f>
        <v>6527635000</v>
      </c>
      <c r="N13" s="6">
        <f>-HLOOKUP(N4,'Yıllıklandırılmış Veriler'!$B$1:$R$98,98,0)</f>
        <v>8203594000</v>
      </c>
      <c r="O13" s="6">
        <f>-HLOOKUP(O4,'Yıllıklandırılmış Veriler'!$B$1:$R$98,98,0)</f>
        <v>11252802000</v>
      </c>
      <c r="P13" s="6">
        <f>-HLOOKUP(P4,'Yıllıklandırılmış Veriler'!$B$1:$R$98,98,0)</f>
        <v>12329764000</v>
      </c>
      <c r="Q13" s="6">
        <f>-HLOOKUP(Q4,'Yıllıklandırılmış Veriler'!$B$1:$R$98,98,0)</f>
        <v>10197649000</v>
      </c>
      <c r="R13" s="6" t="e">
        <f>-HLOOKUP(R4,'Yıllıklandırılmış Veriler'!$B$1:$R$98,98,0)</f>
        <v>#N/A</v>
      </c>
    </row>
    <row r="14" spans="1:18" x14ac:dyDescent="0.25">
      <c r="A14" t="s">
        <v>288</v>
      </c>
      <c r="B14" s="29">
        <f t="shared" ref="B14:R14" si="1">B7/B9</f>
        <v>7.5971020151067936</v>
      </c>
      <c r="C14" s="29">
        <f t="shared" si="1"/>
        <v>10.714339202584446</v>
      </c>
      <c r="D14" s="29">
        <f t="shared" si="1"/>
        <v>9.5994985586340817</v>
      </c>
      <c r="E14" s="29">
        <f t="shared" si="1"/>
        <v>10.433367457963422</v>
      </c>
      <c r="F14" s="29">
        <f t="shared" si="1"/>
        <v>7.2194981603095849</v>
      </c>
      <c r="G14" s="29">
        <f t="shared" si="1"/>
        <v>11.06962107568641</v>
      </c>
      <c r="H14" s="29">
        <f t="shared" si="1"/>
        <v>9.3807694827807957</v>
      </c>
      <c r="I14" s="29">
        <f t="shared" si="1"/>
        <v>9.2886423151087989</v>
      </c>
      <c r="J14" s="29">
        <f t="shared" si="1"/>
        <v>11.45163239216336</v>
      </c>
      <c r="K14" s="29">
        <f t="shared" si="1"/>
        <v>8.8951233385424402</v>
      </c>
      <c r="L14" s="29">
        <f t="shared" si="1"/>
        <v>8.0311093997440164</v>
      </c>
      <c r="M14" s="29">
        <f t="shared" si="1"/>
        <v>8.7773302480796236</v>
      </c>
      <c r="N14" s="29">
        <f t="shared" si="1"/>
        <v>10.33066162002819</v>
      </c>
      <c r="O14" s="29">
        <f t="shared" si="1"/>
        <v>7.2343313387638091</v>
      </c>
      <c r="P14" s="29">
        <f t="shared" si="1"/>
        <v>7.6770917365340923</v>
      </c>
      <c r="Q14" s="29">
        <f t="shared" si="1"/>
        <v>9.6588207291706016</v>
      </c>
      <c r="R14" s="29">
        <f t="shared" si="1"/>
        <v>11.456358655444472</v>
      </c>
    </row>
    <row r="15" spans="1:18" x14ac:dyDescent="0.25">
      <c r="A15" t="s">
        <v>289</v>
      </c>
      <c r="B15" s="29">
        <f t="shared" ref="B15:R15" si="2">B7/B11</f>
        <v>3.1595573970150745</v>
      </c>
      <c r="C15" s="29">
        <f t="shared" si="2"/>
        <v>4.1720530316147295</v>
      </c>
      <c r="D15" s="29">
        <f t="shared" si="2"/>
        <v>3.3067343382377641</v>
      </c>
      <c r="E15" s="29">
        <f t="shared" si="2"/>
        <v>4.3825000680611739</v>
      </c>
      <c r="F15" s="29">
        <f t="shared" si="2"/>
        <v>2.9358879825449757</v>
      </c>
      <c r="G15" s="29">
        <f t="shared" si="2"/>
        <v>4.5095912072578459</v>
      </c>
      <c r="H15" s="29">
        <f t="shared" si="2"/>
        <v>5.6134837486222331</v>
      </c>
      <c r="I15" s="29">
        <f t="shared" si="2"/>
        <v>5.5317416965766988</v>
      </c>
      <c r="J15" s="29">
        <f t="shared" si="2"/>
        <v>6.7951101871532567</v>
      </c>
      <c r="K15" s="29">
        <f t="shared" si="2"/>
        <v>5.5012445310563862</v>
      </c>
      <c r="L15" s="29">
        <f t="shared" si="2"/>
        <v>4.7282079891000715</v>
      </c>
      <c r="M15" s="29">
        <f t="shared" si="2"/>
        <v>7.6118675813205803</v>
      </c>
      <c r="N15" s="29">
        <f t="shared" si="2"/>
        <v>8.1538446805793399</v>
      </c>
      <c r="O15" s="29">
        <f t="shared" si="2"/>
        <v>6.0873897340032439</v>
      </c>
      <c r="P15" s="29">
        <f t="shared" si="2"/>
        <v>6.5925387314979007</v>
      </c>
      <c r="Q15" s="29">
        <f t="shared" si="2"/>
        <v>8.400489525036102</v>
      </c>
      <c r="R15" s="29">
        <f t="shared" si="2"/>
        <v>9.9638479249818275</v>
      </c>
    </row>
    <row r="16" spans="1:18" x14ac:dyDescent="0.25">
      <c r="A16" t="s">
        <v>331</v>
      </c>
      <c r="B16" s="29">
        <f t="shared" ref="B16:R16" si="3">B7/B8</f>
        <v>0.37214638480932433</v>
      </c>
      <c r="C16" s="29">
        <f t="shared" si="3"/>
        <v>0.48884814700664059</v>
      </c>
      <c r="D16" s="29">
        <f t="shared" si="3"/>
        <v>0.44585969275293469</v>
      </c>
      <c r="E16" s="29">
        <f t="shared" si="3"/>
        <v>0.52141107126398645</v>
      </c>
      <c r="F16" s="29">
        <f t="shared" si="3"/>
        <v>0.3878699418928882</v>
      </c>
      <c r="G16" s="29">
        <f t="shared" si="3"/>
        <v>0.61082723347197976</v>
      </c>
      <c r="H16" s="29">
        <f t="shared" si="3"/>
        <v>0.67659390140892228</v>
      </c>
      <c r="I16" s="29">
        <f t="shared" si="3"/>
        <v>0.7879461629878397</v>
      </c>
      <c r="J16" s="29">
        <f t="shared" si="3"/>
        <v>1.0945433886402549</v>
      </c>
      <c r="K16" s="29">
        <f t="shared" si="3"/>
        <v>0.88800364273093546</v>
      </c>
      <c r="L16" s="29">
        <f t="shared" si="3"/>
        <v>0.80022938902131491</v>
      </c>
      <c r="M16" s="29">
        <f t="shared" si="3"/>
        <v>1.0864692070567865</v>
      </c>
      <c r="N16" s="29">
        <f t="shared" si="3"/>
        <v>1.2217694863908206</v>
      </c>
      <c r="O16" s="29">
        <f t="shared" si="3"/>
        <v>0.86006599672900841</v>
      </c>
      <c r="P16" s="29">
        <f t="shared" si="3"/>
        <v>0.81177124455634109</v>
      </c>
      <c r="Q16" s="29">
        <f t="shared" si="3"/>
        <v>1.0465190955538883</v>
      </c>
      <c r="R16" s="29">
        <f t="shared" si="3"/>
        <v>1.2412797001426721</v>
      </c>
    </row>
    <row r="17" spans="1:18" x14ac:dyDescent="0.25">
      <c r="A17" t="s">
        <v>343</v>
      </c>
      <c r="B17" s="29">
        <f t="shared" ref="B17:R17" si="4">B94/B12</f>
        <v>2.9187429626046688</v>
      </c>
      <c r="C17" s="29">
        <f t="shared" si="4"/>
        <v>4.384109074721497</v>
      </c>
      <c r="D17" s="29">
        <f t="shared" si="4"/>
        <v>4.3780431054330515</v>
      </c>
      <c r="E17" s="29">
        <f t="shared" si="4"/>
        <v>5.2062282158580642</v>
      </c>
      <c r="F17" s="29">
        <f t="shared" si="4"/>
        <v>3.301344101460439</v>
      </c>
      <c r="G17" s="29">
        <f t="shared" si="4"/>
        <v>5.7231943271071968</v>
      </c>
      <c r="H17" s="29">
        <f t="shared" si="4"/>
        <v>6.2587803751007565</v>
      </c>
      <c r="I17" s="29">
        <f t="shared" si="4"/>
        <v>7.383170950524284</v>
      </c>
      <c r="J17" s="29">
        <f t="shared" si="4"/>
        <v>10.312071052593373</v>
      </c>
      <c r="K17" s="29">
        <f t="shared" si="4"/>
        <v>7.9585488538683835</v>
      </c>
      <c r="L17" s="29">
        <f t="shared" si="4"/>
        <v>7.6571000906389095</v>
      </c>
      <c r="M17" s="29">
        <f t="shared" si="4"/>
        <v>7.6466588742286987</v>
      </c>
      <c r="N17" s="29">
        <f t="shared" si="4"/>
        <v>8.2941525839512575</v>
      </c>
      <c r="O17" s="29">
        <f t="shared" si="4"/>
        <v>5.2280769199177701</v>
      </c>
      <c r="P17" s="29">
        <f t="shared" si="4"/>
        <v>4.7976656933831885</v>
      </c>
      <c r="Q17" s="29">
        <f t="shared" si="4"/>
        <v>7.7043137344555905</v>
      </c>
      <c r="R17" s="29">
        <f t="shared" si="4"/>
        <v>9.4004060065283248</v>
      </c>
    </row>
    <row r="18" spans="1:18" x14ac:dyDescent="0.25">
      <c r="A18" t="s">
        <v>290</v>
      </c>
      <c r="B18" s="38">
        <f>AVERAGE($B$14:$R$14)</f>
        <v>9.3420763368614672</v>
      </c>
      <c r="C18" s="38">
        <f t="shared" ref="C18:R18" si="5">AVERAGE($B$14:$R$14)</f>
        <v>9.3420763368614672</v>
      </c>
      <c r="D18" s="38">
        <f t="shared" si="5"/>
        <v>9.3420763368614672</v>
      </c>
      <c r="E18" s="38">
        <f t="shared" si="5"/>
        <v>9.3420763368614672</v>
      </c>
      <c r="F18" s="38">
        <f t="shared" si="5"/>
        <v>9.3420763368614672</v>
      </c>
      <c r="G18" s="38">
        <f t="shared" si="5"/>
        <v>9.3420763368614672</v>
      </c>
      <c r="H18" s="38">
        <f t="shared" si="5"/>
        <v>9.3420763368614672</v>
      </c>
      <c r="I18" s="38">
        <f t="shared" si="5"/>
        <v>9.3420763368614672</v>
      </c>
      <c r="J18" s="38">
        <f t="shared" si="5"/>
        <v>9.3420763368614672</v>
      </c>
      <c r="K18" s="38">
        <f t="shared" si="5"/>
        <v>9.3420763368614672</v>
      </c>
      <c r="L18" s="38">
        <f t="shared" si="5"/>
        <v>9.3420763368614672</v>
      </c>
      <c r="M18" s="38">
        <f t="shared" si="5"/>
        <v>9.3420763368614672</v>
      </c>
      <c r="N18" s="38">
        <f t="shared" si="5"/>
        <v>9.3420763368614672</v>
      </c>
      <c r="O18" s="38">
        <f t="shared" si="5"/>
        <v>9.3420763368614672</v>
      </c>
      <c r="P18" s="38">
        <f t="shared" si="5"/>
        <v>9.3420763368614672</v>
      </c>
      <c r="Q18" s="38">
        <f t="shared" si="5"/>
        <v>9.3420763368614672</v>
      </c>
      <c r="R18" s="38">
        <f t="shared" si="5"/>
        <v>9.3420763368614672</v>
      </c>
    </row>
    <row r="19" spans="1:18" x14ac:dyDescent="0.25">
      <c r="A19" t="s">
        <v>291</v>
      </c>
      <c r="B19" s="29">
        <f>MEDIAN($B$14:$Q$14)</f>
        <v>9.3347058989447973</v>
      </c>
      <c r="C19" s="29">
        <f t="shared" ref="C19:R19" si="6">MEDIAN($B$14:$Q$14)</f>
        <v>9.3347058989447973</v>
      </c>
      <c r="D19" s="29">
        <f t="shared" si="6"/>
        <v>9.3347058989447973</v>
      </c>
      <c r="E19" s="29">
        <f t="shared" si="6"/>
        <v>9.3347058989447973</v>
      </c>
      <c r="F19" s="29">
        <f t="shared" si="6"/>
        <v>9.3347058989447973</v>
      </c>
      <c r="G19" s="29">
        <f t="shared" si="6"/>
        <v>9.3347058989447973</v>
      </c>
      <c r="H19" s="29">
        <f t="shared" si="6"/>
        <v>9.3347058989447973</v>
      </c>
      <c r="I19" s="29">
        <f t="shared" si="6"/>
        <v>9.3347058989447973</v>
      </c>
      <c r="J19" s="29">
        <f t="shared" si="6"/>
        <v>9.3347058989447973</v>
      </c>
      <c r="K19" s="29">
        <f t="shared" si="6"/>
        <v>9.3347058989447973</v>
      </c>
      <c r="L19" s="29">
        <f t="shared" si="6"/>
        <v>9.3347058989447973</v>
      </c>
      <c r="M19" s="29">
        <f t="shared" si="6"/>
        <v>9.3347058989447973</v>
      </c>
      <c r="N19" s="29">
        <f t="shared" si="6"/>
        <v>9.3347058989447973</v>
      </c>
      <c r="O19" s="29">
        <f t="shared" si="6"/>
        <v>9.3347058989447973</v>
      </c>
      <c r="P19" s="29">
        <f t="shared" si="6"/>
        <v>9.3347058989447973</v>
      </c>
      <c r="Q19" s="29">
        <f t="shared" si="6"/>
        <v>9.3347058989447973</v>
      </c>
      <c r="R19" s="29">
        <f t="shared" si="6"/>
        <v>9.3347058989447973</v>
      </c>
    </row>
    <row r="20" spans="1:18" x14ac:dyDescent="0.25">
      <c r="A20" t="s">
        <v>292</v>
      </c>
      <c r="B20" s="38">
        <f>AVERAGE($B$15:$R$15)</f>
        <v>5.7321229620387761</v>
      </c>
      <c r="C20" s="38">
        <f t="shared" ref="C20:R20" si="7">AVERAGE($B$15:$R$15)</f>
        <v>5.7321229620387761</v>
      </c>
      <c r="D20" s="38">
        <f t="shared" si="7"/>
        <v>5.7321229620387761</v>
      </c>
      <c r="E20" s="38">
        <f t="shared" si="7"/>
        <v>5.7321229620387761</v>
      </c>
      <c r="F20" s="38">
        <f t="shared" si="7"/>
        <v>5.7321229620387761</v>
      </c>
      <c r="G20" s="38">
        <f t="shared" si="7"/>
        <v>5.7321229620387761</v>
      </c>
      <c r="H20" s="38">
        <f t="shared" si="7"/>
        <v>5.7321229620387761</v>
      </c>
      <c r="I20" s="38">
        <f t="shared" si="7"/>
        <v>5.7321229620387761</v>
      </c>
      <c r="J20" s="38">
        <f t="shared" si="7"/>
        <v>5.7321229620387761</v>
      </c>
      <c r="K20" s="38">
        <f t="shared" si="7"/>
        <v>5.7321229620387761</v>
      </c>
      <c r="L20" s="38">
        <f t="shared" si="7"/>
        <v>5.7321229620387761</v>
      </c>
      <c r="M20" s="38">
        <f t="shared" si="7"/>
        <v>5.7321229620387761</v>
      </c>
      <c r="N20" s="38">
        <f t="shared" si="7"/>
        <v>5.7321229620387761</v>
      </c>
      <c r="O20" s="38">
        <f t="shared" si="7"/>
        <v>5.7321229620387761</v>
      </c>
      <c r="P20" s="38">
        <f t="shared" si="7"/>
        <v>5.7321229620387761</v>
      </c>
      <c r="Q20" s="38">
        <f t="shared" si="7"/>
        <v>5.7321229620387761</v>
      </c>
      <c r="R20" s="38">
        <f t="shared" si="7"/>
        <v>5.7321229620387761</v>
      </c>
    </row>
    <row r="21" spans="1:18" x14ac:dyDescent="0.25">
      <c r="A21" t="s">
        <v>293</v>
      </c>
      <c r="B21" s="29">
        <f>MEDIAN($B$15:$Q$15)</f>
        <v>5.5164931138165425</v>
      </c>
      <c r="C21" s="29">
        <f t="shared" ref="C21:R21" si="8">MEDIAN($B$15:$Q$15)</f>
        <v>5.5164931138165425</v>
      </c>
      <c r="D21" s="29">
        <f t="shared" si="8"/>
        <v>5.5164931138165425</v>
      </c>
      <c r="E21" s="29">
        <f t="shared" si="8"/>
        <v>5.5164931138165425</v>
      </c>
      <c r="F21" s="29">
        <f t="shared" si="8"/>
        <v>5.5164931138165425</v>
      </c>
      <c r="G21" s="29">
        <f t="shared" si="8"/>
        <v>5.5164931138165425</v>
      </c>
      <c r="H21" s="29">
        <f t="shared" si="8"/>
        <v>5.5164931138165425</v>
      </c>
      <c r="I21" s="29">
        <f t="shared" si="8"/>
        <v>5.5164931138165425</v>
      </c>
      <c r="J21" s="29">
        <f t="shared" si="8"/>
        <v>5.5164931138165425</v>
      </c>
      <c r="K21" s="29">
        <f t="shared" si="8"/>
        <v>5.5164931138165425</v>
      </c>
      <c r="L21" s="29">
        <f t="shared" si="8"/>
        <v>5.5164931138165425</v>
      </c>
      <c r="M21" s="29">
        <f t="shared" si="8"/>
        <v>5.5164931138165425</v>
      </c>
      <c r="N21" s="29">
        <f t="shared" si="8"/>
        <v>5.5164931138165425</v>
      </c>
      <c r="O21" s="29">
        <f t="shared" si="8"/>
        <v>5.5164931138165425</v>
      </c>
      <c r="P21" s="29">
        <f t="shared" si="8"/>
        <v>5.5164931138165425</v>
      </c>
      <c r="Q21" s="29">
        <f t="shared" si="8"/>
        <v>5.5164931138165425</v>
      </c>
      <c r="R21" s="29">
        <f t="shared" si="8"/>
        <v>5.5164931138165425</v>
      </c>
    </row>
    <row r="22" spans="1:18" x14ac:dyDescent="0.25">
      <c r="A22" t="s">
        <v>332</v>
      </c>
      <c r="B22" s="29">
        <f>AVERAGE($B$16:$Q$16)</f>
        <v>0.75630462414211674</v>
      </c>
      <c r="C22" s="29">
        <f t="shared" ref="C22:R22" si="9">AVERAGE($B$16:$Q$16)</f>
        <v>0.75630462414211674</v>
      </c>
      <c r="D22" s="29">
        <f t="shared" si="9"/>
        <v>0.75630462414211674</v>
      </c>
      <c r="E22" s="29">
        <f t="shared" si="9"/>
        <v>0.75630462414211674</v>
      </c>
      <c r="F22" s="29">
        <f t="shared" si="9"/>
        <v>0.75630462414211674</v>
      </c>
      <c r="G22" s="29">
        <f t="shared" si="9"/>
        <v>0.75630462414211674</v>
      </c>
      <c r="H22" s="29">
        <f t="shared" si="9"/>
        <v>0.75630462414211674</v>
      </c>
      <c r="I22" s="29">
        <f t="shared" si="9"/>
        <v>0.75630462414211674</v>
      </c>
      <c r="J22" s="29">
        <f t="shared" si="9"/>
        <v>0.75630462414211674</v>
      </c>
      <c r="K22" s="29">
        <f t="shared" si="9"/>
        <v>0.75630462414211674</v>
      </c>
      <c r="L22" s="29">
        <f t="shared" si="9"/>
        <v>0.75630462414211674</v>
      </c>
      <c r="M22" s="29">
        <f t="shared" si="9"/>
        <v>0.75630462414211674</v>
      </c>
      <c r="N22" s="29">
        <f t="shared" si="9"/>
        <v>0.75630462414211674</v>
      </c>
      <c r="O22" s="29">
        <f t="shared" si="9"/>
        <v>0.75630462414211674</v>
      </c>
      <c r="P22" s="29">
        <f t="shared" si="9"/>
        <v>0.75630462414211674</v>
      </c>
      <c r="Q22" s="29">
        <f t="shared" si="9"/>
        <v>0.75630462414211674</v>
      </c>
      <c r="R22" s="29">
        <f t="shared" si="9"/>
        <v>0.75630462414211674</v>
      </c>
    </row>
    <row r="23" spans="1:18" x14ac:dyDescent="0.25">
      <c r="A23" t="s">
        <v>333</v>
      </c>
      <c r="B23" s="29">
        <f>MEDIAN($B$16:$Q$16)</f>
        <v>0.79408777600457725</v>
      </c>
      <c r="C23" s="29">
        <f t="shared" ref="C23:R23" si="10">MEDIAN($B$16:$Q$16)</f>
        <v>0.79408777600457725</v>
      </c>
      <c r="D23" s="29">
        <f t="shared" si="10"/>
        <v>0.79408777600457725</v>
      </c>
      <c r="E23" s="29">
        <f t="shared" si="10"/>
        <v>0.79408777600457725</v>
      </c>
      <c r="F23" s="29">
        <f t="shared" si="10"/>
        <v>0.79408777600457725</v>
      </c>
      <c r="G23" s="29">
        <f t="shared" si="10"/>
        <v>0.79408777600457725</v>
      </c>
      <c r="H23" s="29">
        <f t="shared" si="10"/>
        <v>0.79408777600457725</v>
      </c>
      <c r="I23" s="29">
        <f t="shared" si="10"/>
        <v>0.79408777600457725</v>
      </c>
      <c r="J23" s="29">
        <f t="shared" si="10"/>
        <v>0.79408777600457725</v>
      </c>
      <c r="K23" s="29">
        <f t="shared" si="10"/>
        <v>0.79408777600457725</v>
      </c>
      <c r="L23" s="29">
        <f t="shared" si="10"/>
        <v>0.79408777600457725</v>
      </c>
      <c r="M23" s="29">
        <f t="shared" si="10"/>
        <v>0.79408777600457725</v>
      </c>
      <c r="N23" s="29">
        <f t="shared" si="10"/>
        <v>0.79408777600457725</v>
      </c>
      <c r="O23" s="29">
        <f t="shared" si="10"/>
        <v>0.79408777600457725</v>
      </c>
      <c r="P23" s="29">
        <f t="shared" si="10"/>
        <v>0.79408777600457725</v>
      </c>
      <c r="Q23" s="29">
        <f t="shared" si="10"/>
        <v>0.79408777600457725</v>
      </c>
      <c r="R23" s="29">
        <f t="shared" si="10"/>
        <v>0.79408777600457725</v>
      </c>
    </row>
    <row r="24" spans="1:18" x14ac:dyDescent="0.25">
      <c r="A24" t="s">
        <v>344</v>
      </c>
      <c r="B24" s="29">
        <f>AVERAGE($B$17:$Q$17)</f>
        <v>6.1970125572404466</v>
      </c>
      <c r="C24" s="29">
        <f t="shared" ref="C24:R24" si="11">AVERAGE($B$17:$Q$17)</f>
        <v>6.1970125572404466</v>
      </c>
      <c r="D24" s="29">
        <f t="shared" si="11"/>
        <v>6.1970125572404466</v>
      </c>
      <c r="E24" s="29">
        <f t="shared" si="11"/>
        <v>6.1970125572404466</v>
      </c>
      <c r="F24" s="29">
        <f t="shared" si="11"/>
        <v>6.1970125572404466</v>
      </c>
      <c r="G24" s="29">
        <f t="shared" si="11"/>
        <v>6.1970125572404466</v>
      </c>
      <c r="H24" s="29">
        <f t="shared" si="11"/>
        <v>6.1970125572404466</v>
      </c>
      <c r="I24" s="29">
        <f t="shared" si="11"/>
        <v>6.1970125572404466</v>
      </c>
      <c r="J24" s="29">
        <f t="shared" si="11"/>
        <v>6.1970125572404466</v>
      </c>
      <c r="K24" s="29">
        <f t="shared" si="11"/>
        <v>6.1970125572404466</v>
      </c>
      <c r="L24" s="29">
        <f t="shared" si="11"/>
        <v>6.1970125572404466</v>
      </c>
      <c r="M24" s="29">
        <f t="shared" si="11"/>
        <v>6.1970125572404466</v>
      </c>
      <c r="N24" s="29">
        <f t="shared" si="11"/>
        <v>6.1970125572404466</v>
      </c>
      <c r="O24" s="29">
        <f t="shared" si="11"/>
        <v>6.1970125572404466</v>
      </c>
      <c r="P24" s="29">
        <f t="shared" si="11"/>
        <v>6.1970125572404466</v>
      </c>
      <c r="Q24" s="29">
        <f t="shared" si="11"/>
        <v>6.1970125572404466</v>
      </c>
      <c r="R24" s="29">
        <f t="shared" si="11"/>
        <v>6.1970125572404466</v>
      </c>
    </row>
    <row r="25" spans="1:18" x14ac:dyDescent="0.25">
      <c r="A25" t="s">
        <v>345</v>
      </c>
      <c r="B25" s="29">
        <f>MEDIAN($B$17:$Q$17)</f>
        <v>5.9909873511039766</v>
      </c>
      <c r="C25" s="29">
        <f t="shared" ref="C25:R25" si="12">MEDIAN($B$17:$Q$17)</f>
        <v>5.9909873511039766</v>
      </c>
      <c r="D25" s="29">
        <f t="shared" si="12"/>
        <v>5.9909873511039766</v>
      </c>
      <c r="E25" s="29">
        <f t="shared" si="12"/>
        <v>5.9909873511039766</v>
      </c>
      <c r="F25" s="29">
        <f t="shared" si="12"/>
        <v>5.9909873511039766</v>
      </c>
      <c r="G25" s="29">
        <f t="shared" si="12"/>
        <v>5.9909873511039766</v>
      </c>
      <c r="H25" s="29">
        <f t="shared" si="12"/>
        <v>5.9909873511039766</v>
      </c>
      <c r="I25" s="29">
        <f t="shared" si="12"/>
        <v>5.9909873511039766</v>
      </c>
      <c r="J25" s="29">
        <f t="shared" si="12"/>
        <v>5.9909873511039766</v>
      </c>
      <c r="K25" s="29">
        <f t="shared" si="12"/>
        <v>5.9909873511039766</v>
      </c>
      <c r="L25" s="29">
        <f t="shared" si="12"/>
        <v>5.9909873511039766</v>
      </c>
      <c r="M25" s="29">
        <f t="shared" si="12"/>
        <v>5.9909873511039766</v>
      </c>
      <c r="N25" s="29">
        <f t="shared" si="12"/>
        <v>5.9909873511039766</v>
      </c>
      <c r="O25" s="29">
        <f t="shared" si="12"/>
        <v>5.9909873511039766</v>
      </c>
      <c r="P25" s="29">
        <f t="shared" si="12"/>
        <v>5.9909873511039766</v>
      </c>
      <c r="Q25" s="29">
        <f t="shared" si="12"/>
        <v>5.9909873511039766</v>
      </c>
      <c r="R25" s="29">
        <f t="shared" si="12"/>
        <v>5.9909873511039766</v>
      </c>
    </row>
    <row r="26" spans="1:18" x14ac:dyDescent="0.25">
      <c r="A26" t="s">
        <v>294</v>
      </c>
      <c r="F26" s="29">
        <f t="shared" ref="F26:Q27" si="13">F8/B8-1</f>
        <v>0.11326275981983613</v>
      </c>
      <c r="G26" s="29">
        <f t="shared" si="13"/>
        <v>-9.251786709249199E-3</v>
      </c>
      <c r="H26" s="29">
        <f t="shared" si="13"/>
        <v>5.9280843023954866E-2</v>
      </c>
      <c r="I26" s="29">
        <f t="shared" si="13"/>
        <v>0.26122530635107188</v>
      </c>
      <c r="J26" s="29">
        <f t="shared" si="13"/>
        <v>0.43386816553247942</v>
      </c>
      <c r="K26" s="29">
        <f t="shared" si="13"/>
        <v>0.70348043133571703</v>
      </c>
      <c r="L26" s="29">
        <f t="shared" si="13"/>
        <v>0.66578071684121243</v>
      </c>
      <c r="M26" s="29">
        <f t="shared" si="13"/>
        <v>0.43780050585820551</v>
      </c>
      <c r="N26" s="29">
        <f t="shared" si="13"/>
        <v>0.46831908800556055</v>
      </c>
      <c r="O26" s="29">
        <f t="shared" si="13"/>
        <v>0.71798041601173979</v>
      </c>
      <c r="P26" s="29">
        <f t="shared" si="13"/>
        <v>1.0459905653827835</v>
      </c>
      <c r="Q26" s="29">
        <f t="shared" si="13"/>
        <v>1.4162287255170649</v>
      </c>
    </row>
    <row r="27" spans="1:18" x14ac:dyDescent="0.25">
      <c r="A27" t="s">
        <v>295</v>
      </c>
      <c r="F27" s="29">
        <f t="shared" si="13"/>
        <v>0.22098674815242836</v>
      </c>
      <c r="G27" s="29">
        <f t="shared" si="13"/>
        <v>0.19823045255041705</v>
      </c>
      <c r="H27" s="29">
        <f t="shared" si="13"/>
        <v>0.64494381381715327</v>
      </c>
      <c r="I27" s="29">
        <f t="shared" si="13"/>
        <v>1.1408253397322969</v>
      </c>
      <c r="J27" s="29">
        <f t="shared" si="13"/>
        <v>1.5509132605036684</v>
      </c>
      <c r="K27" s="29">
        <f t="shared" si="13"/>
        <v>2.0818697860734421</v>
      </c>
      <c r="L27" s="29">
        <f t="shared" si="13"/>
        <v>1.3012678528526602</v>
      </c>
      <c r="M27" s="29">
        <f t="shared" si="13"/>
        <v>1.0980184809553859</v>
      </c>
      <c r="N27" s="29">
        <f t="shared" si="13"/>
        <v>0.81683713850950213</v>
      </c>
      <c r="O27" s="29">
        <f t="shared" si="13"/>
        <v>1.0459208004910834</v>
      </c>
      <c r="P27" s="29">
        <f t="shared" si="13"/>
        <v>1.1712088699433321</v>
      </c>
      <c r="Q27" s="29">
        <f t="shared" si="13"/>
        <v>1.1149792552100584</v>
      </c>
    </row>
    <row r="28" spans="1:18" x14ac:dyDescent="0.25">
      <c r="A28" t="s">
        <v>296</v>
      </c>
      <c r="F28" s="29">
        <f t="shared" ref="F28:Q28" si="14">((F9/F6)/(B9/B6))-1</f>
        <v>0.22098674815242836</v>
      </c>
      <c r="G28" s="29">
        <f t="shared" si="14"/>
        <v>0.19823045255041705</v>
      </c>
      <c r="H28" s="29">
        <f t="shared" si="14"/>
        <v>0.64494381381715304</v>
      </c>
      <c r="I28" s="29">
        <f t="shared" si="14"/>
        <v>1.1408253397322965</v>
      </c>
      <c r="J28" s="29">
        <f t="shared" si="14"/>
        <v>1.5509132605036684</v>
      </c>
      <c r="K28" s="29">
        <f t="shared" si="14"/>
        <v>2.0818697860734421</v>
      </c>
      <c r="L28" s="29">
        <f t="shared" si="14"/>
        <v>1.3012678528526602</v>
      </c>
      <c r="M28" s="29">
        <f t="shared" si="14"/>
        <v>1.0980184809553855</v>
      </c>
      <c r="N28" s="29">
        <f t="shared" si="14"/>
        <v>0.8168371385095019</v>
      </c>
      <c r="O28" s="29">
        <f t="shared" si="14"/>
        <v>1.0459208004910834</v>
      </c>
      <c r="P28" s="29">
        <f t="shared" si="14"/>
        <v>1.1712088699433321</v>
      </c>
      <c r="Q28" s="29">
        <f t="shared" si="14"/>
        <v>1.1149792552100588</v>
      </c>
    </row>
    <row r="30" spans="1:18" x14ac:dyDescent="0.25">
      <c r="A30" s="2" t="s">
        <v>297</v>
      </c>
      <c r="B30" s="37">
        <f>HLOOKUP(B4,'Çeyreklik Veriler'!$B$1:$U$74,74,0)</f>
        <v>9284052000</v>
      </c>
      <c r="C30" s="37">
        <f>HLOOKUP(C4,'Çeyreklik Veriler'!$B$1:$U$74,74,0)</f>
        <v>9125170000</v>
      </c>
      <c r="D30" s="37">
        <f>HLOOKUP(D4,'Çeyreklik Veriler'!$B$1:$U$74,74,0)</f>
        <v>9297503000</v>
      </c>
      <c r="E30" s="37">
        <f>HLOOKUP(E4,'Çeyreklik Veriler'!$B$1:$U$74,74,0)</f>
        <v>11502294000</v>
      </c>
      <c r="F30" s="37">
        <f>HLOOKUP(F4,'Çeyreklik Veriler'!$B$1:$U$74,74,0)</f>
        <v>9366609000</v>
      </c>
      <c r="G30" s="37">
        <f>HLOOKUP(G4,'Çeyreklik Veriler'!$B$1:$U$74,74,0)</f>
        <v>5727306000</v>
      </c>
      <c r="H30" s="37">
        <f>HLOOKUP(H4,'Çeyreklik Veriler'!$B$1:$U$74,74,0)</f>
        <v>13396274000</v>
      </c>
      <c r="I30" s="37">
        <f>HLOOKUP(I4,'Çeyreklik Veriler'!$B$1:$U$74,74,0)</f>
        <v>20961218000</v>
      </c>
      <c r="J30" s="37">
        <f>HLOOKUP(J4,'Çeyreklik Veriler'!$B$1:$U$74,74,0)</f>
        <v>16254142000</v>
      </c>
      <c r="K30" s="37">
        <f>HLOOKUP(K4,'Çeyreklik Veriler'!$B$1:$U$74,74,0)</f>
        <v>10532602000</v>
      </c>
      <c r="L30" s="37">
        <f>HLOOKUP(L4,'Çeyreklik Veriler'!$B$1:$U$74,74,0)</f>
        <v>18870745000</v>
      </c>
      <c r="M30" s="37">
        <f>HLOOKUP(M4,'Çeyreklik Veriler'!$B$1:$U$74,74,0)</f>
        <v>25443769000</v>
      </c>
      <c r="N30" s="37">
        <f>HLOOKUP(N4,'Çeyreklik Veriler'!$B$1:$U$74,74,0)</f>
        <v>27876425000</v>
      </c>
      <c r="O30" s="37">
        <f>HLOOKUP(O4,'Çeyreklik Veriler'!$B$1:$U$74,74,0)</f>
        <v>32853661000</v>
      </c>
      <c r="P30" s="37">
        <f>HLOOKUP(P4,'Çeyreklik Veriler'!$B$1:$U$74,74,0)</f>
        <v>50127391000</v>
      </c>
      <c r="Q30" s="37">
        <f>HLOOKUP(Q4,'Çeyreklik Veriler'!$B$1:$U$74,74,0)</f>
        <v>60939425000</v>
      </c>
    </row>
    <row r="31" spans="1:18" x14ac:dyDescent="0.25">
      <c r="A31" s="2" t="s">
        <v>319</v>
      </c>
      <c r="B31" s="37">
        <f>HLOOKUP(B4,'Çeyreklik Veriler'!$B$1:$U$108,108,0)</f>
        <v>477960000</v>
      </c>
      <c r="C31" s="37">
        <f>HLOOKUP(C4,'Çeyreklik Veriler'!$B$1:$U$108,108,0)</f>
        <v>410328000</v>
      </c>
      <c r="D31" s="37">
        <f>HLOOKUP(D4,'Çeyreklik Veriler'!$B$1:$U$108,108,0)</f>
        <v>454419000</v>
      </c>
      <c r="E31" s="37">
        <f>HLOOKUP(E4,'Çeyreklik Veriler'!$B$1:$U$108,108,0)</f>
        <v>616777000</v>
      </c>
      <c r="F31" s="37">
        <f>HLOOKUP(F4,'Çeyreklik Veriler'!$B$1:$U$108,108,0)</f>
        <v>629429000</v>
      </c>
      <c r="G31" s="37">
        <f>HLOOKUP(G4,'Çeyreklik Veriler'!$B$1:$U$108,108,0)</f>
        <v>280008000</v>
      </c>
      <c r="H31" s="37">
        <f>HLOOKUP(H4,'Çeyreklik Veriler'!$B$1:$U$108,108,0)</f>
        <v>1358269000</v>
      </c>
      <c r="I31" s="37">
        <f>HLOOKUP(I4,'Çeyreklik Veriler'!$B$1:$U$108,108,0)</f>
        <v>1927207000</v>
      </c>
      <c r="J31" s="37">
        <f>HLOOKUP(J4,'Çeyreklik Veriler'!$B$1:$U$108,108,0)</f>
        <v>1819374000</v>
      </c>
      <c r="K31" s="37">
        <f>HLOOKUP(K4,'Çeyreklik Veriler'!$B$1:$U$108,108,0)</f>
        <v>999203000</v>
      </c>
      <c r="L31" s="37">
        <f>HLOOKUP(L4,'Çeyreklik Veriler'!$B$1:$U$108,108,0)</f>
        <v>1892184000</v>
      </c>
      <c r="M31" s="37">
        <f>HLOOKUP(M4,'Çeyreklik Veriler'!$B$1:$U$108,108,0)</f>
        <v>4090244000</v>
      </c>
      <c r="N31" s="37">
        <f>HLOOKUP(N4,'Çeyreklik Veriler'!$B$1:$U$108,108,0)</f>
        <v>2801779000</v>
      </c>
      <c r="O31" s="37">
        <f>HLOOKUP(O4,'Çeyreklik Veriler'!$B$1:$U$108,108,0)</f>
        <v>3704202000</v>
      </c>
      <c r="P31" s="37">
        <f>HLOOKUP(P4,'Çeyreklik Veriler'!$B$1:$U$108,108,0)</f>
        <v>3816190000</v>
      </c>
      <c r="Q31" s="37">
        <f>HLOOKUP(Q4,'Çeyreklik Veriler'!$B$1:$U$108,108,0)</f>
        <v>8291772000</v>
      </c>
    </row>
    <row r="32" spans="1:18" x14ac:dyDescent="0.25">
      <c r="A32" s="2" t="s">
        <v>326</v>
      </c>
      <c r="B32" s="37">
        <f>HLOOKUP(B4,'Çeyreklik Veriler'!$B$1:$U$59,59,0)</f>
        <v>3491234000</v>
      </c>
      <c r="C32" s="37">
        <f>HLOOKUP(C4,'Çeyreklik Veriler'!$B$1:$U$59,59,0)</f>
        <v>461692000</v>
      </c>
      <c r="D32" s="37">
        <f>HLOOKUP(D4,'Çeyreklik Veriler'!$B$1:$U$59,59,0)</f>
        <v>664935000</v>
      </c>
      <c r="E32" s="37">
        <f>HLOOKUP(E4,'Çeyreklik Veriler'!$B$1:$U$59,59,0)</f>
        <v>47060000</v>
      </c>
      <c r="F32" s="37">
        <f>HLOOKUP(F4,'Çeyreklik Veriler'!$B$1:$U$59,59,0)</f>
        <v>4017254000</v>
      </c>
      <c r="G32" s="37">
        <f>HLOOKUP(G4,'Çeyreklik Veriler'!$B$1:$U$59,59,0)</f>
        <v>132579000</v>
      </c>
      <c r="H32" s="37">
        <f>HLOOKUP(H4,'Çeyreklik Veriler'!$B$1:$U$59,59,0)</f>
        <v>623406000</v>
      </c>
      <c r="I32" s="37">
        <f>HLOOKUP(I4,'Çeyreklik Veriler'!$B$1:$U$59,59,0)</f>
        <v>2270663000</v>
      </c>
      <c r="J32" s="37">
        <f>HLOOKUP(J4,'Çeyreklik Veriler'!$B$1:$U$59,59,0)</f>
        <v>6048321000</v>
      </c>
      <c r="K32" s="37">
        <f>HLOOKUP(K4,'Çeyreklik Veriler'!$B$1:$U$59,59,0)</f>
        <v>927432000</v>
      </c>
      <c r="L32" s="37">
        <f>HLOOKUP(L4,'Çeyreklik Veriler'!$B$1:$U$59,59,0)</f>
        <v>2028521000</v>
      </c>
      <c r="M32" s="37">
        <f>HLOOKUP(M4,'Çeyreklik Veriler'!$B$1:$U$59,59,0)</f>
        <v>1144264000</v>
      </c>
      <c r="N32" s="37">
        <f>HLOOKUP(N4,'Çeyreklik Veriler'!$B$1:$U$59,59,0)</f>
        <v>8295052000</v>
      </c>
      <c r="O32" s="37">
        <f>HLOOKUP(O4,'Çeyreklik Veriler'!$B$1:$U$59,59,0)</f>
        <v>3373547000</v>
      </c>
      <c r="P32" s="37">
        <f>HLOOKUP(P4,'Çeyreklik Veriler'!$B$1:$U$59,59,0)</f>
        <v>3970570000</v>
      </c>
      <c r="Q32" s="37">
        <f>HLOOKUP(Q4,'Çeyreklik Veriler'!$B$1:$U$59,59,0)</f>
        <v>5763005000</v>
      </c>
    </row>
    <row r="33" spans="1:17" x14ac:dyDescent="0.25">
      <c r="A33" s="2" t="s">
        <v>349</v>
      </c>
      <c r="B33" s="37">
        <f>HLOOKUP(B4,'Çeyreklik Veriler'!$B$1:$U$90,90,0)+HLOOKUP(Değerleme!B4,'Çeyreklik Veriler'!$B$1:$U$116,116,0)</f>
        <v>781310000</v>
      </c>
      <c r="C33" s="37">
        <f>HLOOKUP(C4,'Çeyreklik Veriler'!$B$1:$U$90,90,0)+HLOOKUP(Değerleme!C4,'Çeyreklik Veriler'!$B$1:$U$116,116,0)</f>
        <v>794211000</v>
      </c>
      <c r="D33" s="37">
        <f>HLOOKUP(D4,'Çeyreklik Veriler'!$B$1:$U$90,90,0)+HLOOKUP(Değerleme!D4,'Çeyreklik Veriler'!$B$1:$U$116,116,0)</f>
        <v>561534000</v>
      </c>
      <c r="E33" s="37">
        <f>HLOOKUP(E4,'Çeyreklik Veriler'!$B$1:$U$90,90,0)+HLOOKUP(Değerleme!E4,'Çeyreklik Veriler'!$B$1:$U$116,116,0)</f>
        <v>1060961000</v>
      </c>
      <c r="F33" s="37">
        <f>HLOOKUP(F4,'Çeyreklik Veriler'!$B$1:$U$90,90,0)+HLOOKUP(Değerleme!F4,'Çeyreklik Veriler'!$B$1:$U$116,116,0)</f>
        <v>1012352000</v>
      </c>
      <c r="G33" s="37">
        <f>HLOOKUP(G4,'Çeyreklik Veriler'!$B$1:$U$90,90,0)+HLOOKUP(Değerleme!G4,'Çeyreklik Veriler'!$B$1:$U$116,116,0)</f>
        <v>695765000</v>
      </c>
      <c r="H33" s="37">
        <f>HLOOKUP(H4,'Çeyreklik Veriler'!$B$1:$U$90,90,0)+HLOOKUP(Değerleme!H4,'Çeyreklik Veriler'!$B$1:$U$116,116,0)</f>
        <v>1727446000</v>
      </c>
      <c r="I33" s="37">
        <f>HLOOKUP(I4,'Çeyreklik Veriler'!$B$1:$U$90,90,0)+HLOOKUP(Değerleme!I4,'Çeyreklik Veriler'!$B$1:$U$116,116,0)</f>
        <v>2286673000</v>
      </c>
      <c r="J33" s="37">
        <f>HLOOKUP(J4,'Çeyreklik Veriler'!$B$1:$U$90,90,0)+HLOOKUP(Değerleme!J4,'Çeyreklik Veriler'!$B$1:$U$116,116,0)</f>
        <v>1973013000</v>
      </c>
      <c r="K33" s="37">
        <f>HLOOKUP(K4,'Çeyreklik Veriler'!$B$1:$U$90,90,0)+HLOOKUP(Değerleme!K4,'Çeyreklik Veriler'!$B$1:$U$116,116,0)</f>
        <v>1339153000</v>
      </c>
      <c r="L33" s="37">
        <f>HLOOKUP(L4,'Çeyreklik Veriler'!$B$1:$U$90,90,0)+HLOOKUP(Değerleme!L4,'Çeyreklik Veriler'!$B$1:$U$116,116,0)</f>
        <v>2049887000</v>
      </c>
      <c r="M33" s="37">
        <f>HLOOKUP(M4,'Çeyreklik Veriler'!$B$1:$U$90,90,0)+HLOOKUP(Değerleme!M4,'Çeyreklik Veriler'!$B$1:$U$116,116,0)</f>
        <v>5129954000</v>
      </c>
      <c r="N33" s="37">
        <f>HLOOKUP(N4,'Çeyreklik Veriler'!$B$1:$U$90,90,0)+HLOOKUP(Değerleme!N4,'Çeyreklik Veriler'!$B$1:$U$116,116,0)</f>
        <v>3417061000</v>
      </c>
      <c r="O33" s="37">
        <f>HLOOKUP(O4,'Çeyreklik Veriler'!$B$1:$U$90,90,0)+HLOOKUP(Değerleme!O4,'Çeyreklik Veriler'!$B$1:$U$116,116,0)</f>
        <v>4336384000</v>
      </c>
      <c r="P33" s="37">
        <f>HLOOKUP(P4,'Çeyreklik Veriler'!$B$1:$U$90,90,0)+HLOOKUP(Değerleme!P4,'Çeyreklik Veriler'!$B$1:$U$116,116,0)</f>
        <v>4913608000</v>
      </c>
      <c r="Q33" s="37">
        <f>HLOOKUP(Q4,'Çeyreklik Veriler'!$B$1:$U$90,90,0)+HLOOKUP(Değerleme!Q4,'Çeyreklik Veriler'!$B$1:$U$116,116,0)</f>
        <v>8368238000</v>
      </c>
    </row>
    <row r="34" spans="1:17" x14ac:dyDescent="0.25">
      <c r="A34" s="2" t="s">
        <v>298</v>
      </c>
      <c r="B34" s="30">
        <f>B30/$E$8</f>
        <v>0.23678358287923501</v>
      </c>
      <c r="C34" s="30">
        <f>C30/$E$8</f>
        <v>0.23273140294583755</v>
      </c>
      <c r="D34" s="30">
        <f>D30/$E$8</f>
        <v>0.23712664170455272</v>
      </c>
      <c r="E34" s="30">
        <f>E30/$E$8</f>
        <v>0.29335837247037472</v>
      </c>
      <c r="F34" s="39">
        <f>F30/$I$8</f>
        <v>0.18941036399631664</v>
      </c>
      <c r="G34" s="39">
        <f>G30/$I$8</f>
        <v>0.11581684622239363</v>
      </c>
      <c r="H34" s="39">
        <f>H30/$I$8</f>
        <v>0.27089773198970862</v>
      </c>
      <c r="I34" s="39">
        <f>I30/$I$8</f>
        <v>0.42387505779158113</v>
      </c>
      <c r="J34" s="40">
        <f>J30/$M$8</f>
        <v>0.22860554731675775</v>
      </c>
      <c r="K34" s="40">
        <f>K30/$M$8</f>
        <v>0.14813524115142943</v>
      </c>
      <c r="L34" s="40">
        <f>L30/$M$8</f>
        <v>0.26540662613873867</v>
      </c>
      <c r="M34" s="40">
        <f>M30/$M$8</f>
        <v>0.35785258539307419</v>
      </c>
      <c r="N34" s="41">
        <f>N30/$Q$8</f>
        <v>0.16226383989159479</v>
      </c>
      <c r="O34" s="41">
        <f>O30/$Q$8</f>
        <v>0.19123546826240206</v>
      </c>
      <c r="P34" s="41">
        <f>P30/$Q$8</f>
        <v>0.29178285764431305</v>
      </c>
      <c r="Q34" s="41">
        <f>Q30/$Q$8</f>
        <v>0.35471783420169006</v>
      </c>
    </row>
    <row r="35" spans="1:17" x14ac:dyDescent="0.25">
      <c r="A35" s="2" t="s">
        <v>318</v>
      </c>
      <c r="B35" s="30">
        <f>B31/$E$9</f>
        <v>0.24392135888836042</v>
      </c>
      <c r="C35" s="30">
        <f t="shared" ref="C35:E35" si="15">C31/$E$9</f>
        <v>0.20940614978228964</v>
      </c>
      <c r="D35" s="30">
        <f t="shared" si="15"/>
        <v>0.23190748176560769</v>
      </c>
      <c r="E35" s="30">
        <f t="shared" si="15"/>
        <v>0.31476500956374232</v>
      </c>
      <c r="F35" s="39">
        <f>F31/$I$9</f>
        <v>0.15004578164076346</v>
      </c>
      <c r="G35" s="39">
        <f t="shared" ref="G35:I35" si="16">G31/$I$9</f>
        <v>6.6749417687565871E-2</v>
      </c>
      <c r="H35" s="39">
        <f t="shared" si="16"/>
        <v>0.32378955177377933</v>
      </c>
      <c r="I35" s="39">
        <f t="shared" si="16"/>
        <v>0.45941524889789132</v>
      </c>
      <c r="J35" s="40">
        <f>J31/$M$9</f>
        <v>0.2067234366984225</v>
      </c>
      <c r="K35" s="40">
        <f>K31/$M$9</f>
        <v>0.11353282948935946</v>
      </c>
      <c r="L35" s="40">
        <f>L31/$M$9</f>
        <v>0.21499635552985141</v>
      </c>
      <c r="M35" s="40">
        <f>M31/$M$9</f>
        <v>0.46474737828236662</v>
      </c>
      <c r="N35" s="41">
        <f>N31/$Q$9</f>
        <v>0.15052044588295987</v>
      </c>
      <c r="O35" s="41">
        <f t="shared" ref="O35:Q35" si="17">O31/$Q$9</f>
        <v>0.19900146895260182</v>
      </c>
      <c r="P35" s="41">
        <f t="shared" si="17"/>
        <v>0.20501781916921094</v>
      </c>
      <c r="Q35" s="41">
        <f t="shared" si="17"/>
        <v>0.44546026599522737</v>
      </c>
    </row>
    <row r="36" spans="1:17" x14ac:dyDescent="0.25">
      <c r="A36" s="2" t="s">
        <v>347</v>
      </c>
      <c r="B36" s="30">
        <f>B32/$E$11</f>
        <v>0.74840152705694263</v>
      </c>
      <c r="C36" s="30">
        <f t="shared" ref="C36:E36" si="18">C32/$E$11</f>
        <v>9.8971022231673381E-2</v>
      </c>
      <c r="D36" s="30">
        <f t="shared" si="18"/>
        <v>0.14253939134231855</v>
      </c>
      <c r="E36" s="30">
        <f t="shared" si="18"/>
        <v>1.0088059369065414E-2</v>
      </c>
      <c r="F36" s="39">
        <f>F32/$I$11</f>
        <v>0.57031656601696046</v>
      </c>
      <c r="G36" s="39">
        <f t="shared" ref="G36:I36" si="19">G32/$I$11</f>
        <v>1.8821812114932886E-2</v>
      </c>
      <c r="H36" s="39">
        <f t="shared" si="19"/>
        <v>8.8502934878991787E-2</v>
      </c>
      <c r="I36" s="39">
        <f t="shared" si="19"/>
        <v>0.32235868698911485</v>
      </c>
      <c r="J36" s="40">
        <f>J32/$M$11</f>
        <v>0.59597953912179269</v>
      </c>
      <c r="K36" s="40">
        <f t="shared" ref="K36:M36" si="20">K32/$M$11</f>
        <v>9.1385773990302843E-2</v>
      </c>
      <c r="L36" s="40">
        <f t="shared" si="20"/>
        <v>0.19988307675450395</v>
      </c>
      <c r="M36" s="40">
        <f t="shared" si="20"/>
        <v>0.1127516101334005</v>
      </c>
      <c r="N36" s="41">
        <f>N32/$Q$11</f>
        <v>0.38757987856747639</v>
      </c>
      <c r="O36" s="41">
        <f t="shared" ref="O36:Q36" si="21">O32/$Q$11</f>
        <v>0.1576263701061397</v>
      </c>
      <c r="P36" s="41">
        <f t="shared" si="21"/>
        <v>0.18552180727060719</v>
      </c>
      <c r="Q36" s="41">
        <f t="shared" si="21"/>
        <v>0.26927194405577676</v>
      </c>
    </row>
    <row r="37" spans="1:17" x14ac:dyDescent="0.25">
      <c r="A37" s="2" t="s">
        <v>348</v>
      </c>
      <c r="B37" s="30">
        <f>B33/$E$12</f>
        <v>0.23325283680839687</v>
      </c>
      <c r="C37" s="30">
        <f t="shared" ref="C37:E37" si="22">C33/$E$12</f>
        <v>0.23710431042023486</v>
      </c>
      <c r="D37" s="30">
        <f t="shared" si="22"/>
        <v>0.16764075522438768</v>
      </c>
      <c r="E37" s="30">
        <f t="shared" si="22"/>
        <v>0.31674004299583208</v>
      </c>
      <c r="F37" s="39">
        <f>F33/$I$12</f>
        <v>0.19160994813945564</v>
      </c>
      <c r="G37" s="39">
        <f t="shared" ref="G37:I37" si="23">G33/$I$12</f>
        <v>0.13168887458833328</v>
      </c>
      <c r="H37" s="39">
        <f t="shared" si="23"/>
        <v>0.32695726236892908</v>
      </c>
      <c r="I37" s="39">
        <f t="shared" si="23"/>
        <v>0.43280330847560283</v>
      </c>
      <c r="J37" s="40">
        <f>J33/$M$12</f>
        <v>0.20847832325782797</v>
      </c>
      <c r="K37" s="40">
        <f t="shared" ref="K37:M37" si="24">K33/$M$12</f>
        <v>0.14150153700238677</v>
      </c>
      <c r="L37" s="40">
        <f t="shared" si="24"/>
        <v>0.21660121075128203</v>
      </c>
      <c r="M37" s="40">
        <f t="shared" si="24"/>
        <v>0.54205634139754155</v>
      </c>
      <c r="N37" s="41">
        <f>N33/$Q$12</f>
        <v>0.17321510645999708</v>
      </c>
      <c r="O37" s="41">
        <f t="shared" ref="O37:Q37" si="25">O33/$Q$12</f>
        <v>0.21981674199302498</v>
      </c>
      <c r="P37" s="41">
        <f t="shared" si="25"/>
        <v>0.2490769502864284</v>
      </c>
      <c r="Q37" s="41">
        <f t="shared" si="25"/>
        <v>0.42419647646108544</v>
      </c>
    </row>
    <row r="38" spans="1:17" x14ac:dyDescent="0.25">
      <c r="A38" s="2" t="s">
        <v>311</v>
      </c>
      <c r="B38" s="29">
        <f t="shared" ref="B38:Q38" si="26">B9/B8</f>
        <v>4.8985308354332138E-2</v>
      </c>
      <c r="C38" s="29">
        <f t="shared" si="26"/>
        <v>4.5625599279955936E-2</v>
      </c>
      <c r="D38" s="29">
        <f t="shared" si="26"/>
        <v>4.6446144038629483E-2</v>
      </c>
      <c r="E38" s="29">
        <f t="shared" si="26"/>
        <v>4.9975338582176718E-2</v>
      </c>
      <c r="F38" s="29">
        <f t="shared" si="26"/>
        <v>5.3725332880513628E-2</v>
      </c>
      <c r="G38" s="29">
        <f t="shared" si="26"/>
        <v>5.5180500696055061E-2</v>
      </c>
      <c r="H38" s="29">
        <f t="shared" si="26"/>
        <v>7.2125629208869071E-2</v>
      </c>
      <c r="I38" s="29">
        <f t="shared" si="26"/>
        <v>8.4828991822214483E-2</v>
      </c>
      <c r="J38" s="29">
        <f t="shared" si="26"/>
        <v>9.5579682542838038E-2</v>
      </c>
      <c r="K38" s="29">
        <f t="shared" si="26"/>
        <v>9.9830391208093602E-2</v>
      </c>
      <c r="L38" s="29">
        <f t="shared" si="26"/>
        <v>9.9641201382068251E-2</v>
      </c>
      <c r="M38" s="29">
        <f t="shared" si="26"/>
        <v>0.1237812838698297</v>
      </c>
      <c r="N38" s="29">
        <f t="shared" si="26"/>
        <v>0.11826633485140584</v>
      </c>
      <c r="O38" s="29">
        <f t="shared" si="26"/>
        <v>0.11888673001753541</v>
      </c>
      <c r="P38" s="29">
        <f t="shared" si="26"/>
        <v>0.10573942222068902</v>
      </c>
      <c r="Q38" s="29">
        <f t="shared" si="26"/>
        <v>0.10834853704172151</v>
      </c>
    </row>
    <row r="39" spans="1:17" x14ac:dyDescent="0.25">
      <c r="A39" s="2" t="s">
        <v>350</v>
      </c>
      <c r="B39" s="29">
        <f t="shared" ref="B39:Q39" si="27">B12/B8</f>
        <v>8.5756270911443708E-2</v>
      </c>
      <c r="C39" s="29">
        <f t="shared" si="27"/>
        <v>8.4265420854415268E-2</v>
      </c>
      <c r="D39" s="29">
        <f t="shared" si="27"/>
        <v>8.4557226908714048E-2</v>
      </c>
      <c r="E39" s="29">
        <f t="shared" si="27"/>
        <v>8.5430012926362681E-2</v>
      </c>
      <c r="F39" s="29">
        <f t="shared" si="27"/>
        <v>8.8184729469746898E-2</v>
      </c>
      <c r="G39" s="29">
        <f t="shared" si="27"/>
        <v>9.21711580011563E-2</v>
      </c>
      <c r="H39" s="29">
        <f t="shared" si="27"/>
        <v>9.8430722593543393E-2</v>
      </c>
      <c r="I39" s="29">
        <f t="shared" si="27"/>
        <v>0.10684023611299877</v>
      </c>
      <c r="J39" s="29">
        <f t="shared" si="27"/>
        <v>0.11003171163674716</v>
      </c>
      <c r="K39" s="29">
        <f t="shared" si="27"/>
        <v>0.1116527320743692</v>
      </c>
      <c r="L39" s="29">
        <f t="shared" si="27"/>
        <v>0.11150587176661955</v>
      </c>
      <c r="M39" s="29">
        <f t="shared" si="27"/>
        <v>0.13310419908463506</v>
      </c>
      <c r="N39" s="29">
        <f t="shared" si="27"/>
        <v>0.12841795541610096</v>
      </c>
      <c r="O39" s="29">
        <f t="shared" si="27"/>
        <v>0.12864865971216036</v>
      </c>
      <c r="P39" s="29">
        <f t="shared" si="27"/>
        <v>0.1198127785273511</v>
      </c>
      <c r="Q39" s="29">
        <f t="shared" si="27"/>
        <v>0.11482901478630854</v>
      </c>
    </row>
    <row r="60" spans="1:15" x14ac:dyDescent="0.25">
      <c r="B60" s="2" t="s">
        <v>302</v>
      </c>
      <c r="C60" s="2" t="s">
        <v>383</v>
      </c>
      <c r="E60" s="48" t="s">
        <v>312</v>
      </c>
      <c r="F60" s="48"/>
      <c r="G60" s="48"/>
      <c r="H60" s="48"/>
      <c r="I60" s="48"/>
      <c r="K60" s="53" t="s">
        <v>320</v>
      </c>
      <c r="L60" s="53"/>
      <c r="M60" s="2"/>
      <c r="N60" s="53" t="s">
        <v>367</v>
      </c>
      <c r="O60" s="53"/>
    </row>
    <row r="61" spans="1:15" x14ac:dyDescent="0.25">
      <c r="A61" t="s">
        <v>299</v>
      </c>
      <c r="B61" s="29">
        <f>AVERAGE(F26:Q26)</f>
        <v>0.52616381141419799</v>
      </c>
      <c r="E61" s="2" t="s">
        <v>303</v>
      </c>
      <c r="F61" s="2" t="s">
        <v>304</v>
      </c>
      <c r="G61" s="2" t="s">
        <v>305</v>
      </c>
      <c r="H61" s="2" t="s">
        <v>306</v>
      </c>
      <c r="I61" s="2" t="s">
        <v>307</v>
      </c>
      <c r="K61" s="3" t="s">
        <v>322</v>
      </c>
      <c r="L61" s="42">
        <f>I63/R6</f>
        <v>89.660670170290317</v>
      </c>
      <c r="N61" s="3" t="s">
        <v>321</v>
      </c>
      <c r="O61" s="47">
        <f>(L63+L70+M75+L82)/4</f>
        <v>769.1639897963837</v>
      </c>
    </row>
    <row r="62" spans="1:15" x14ac:dyDescent="0.25">
      <c r="A62" t="s">
        <v>300</v>
      </c>
      <c r="B62" s="29">
        <f>AVERAGE(F27:Q27)</f>
        <v>1.0321668165659525</v>
      </c>
      <c r="D62" s="2" t="s">
        <v>78</v>
      </c>
      <c r="E62" s="6">
        <f>I62*B63</f>
        <v>53556502756.027435</v>
      </c>
      <c r="F62" s="6">
        <f>I62*B64</f>
        <v>45091404869.528023</v>
      </c>
      <c r="G62" s="6">
        <f>I62*B65</f>
        <v>69822162510.457184</v>
      </c>
      <c r="H62" s="6">
        <f>I62*B66</f>
        <v>93720144609.458817</v>
      </c>
      <c r="I62" s="6">
        <f>Q8*(1+B61)</f>
        <v>262190214745.47147</v>
      </c>
      <c r="K62" s="3" t="s">
        <v>323</v>
      </c>
      <c r="L62" s="43">
        <f>R18</f>
        <v>9.3420763368614672</v>
      </c>
      <c r="N62" s="3" t="s">
        <v>368</v>
      </c>
      <c r="O62" s="4">
        <f>R5</f>
        <v>607.70000000000005</v>
      </c>
    </row>
    <row r="63" spans="1:15" x14ac:dyDescent="0.25">
      <c r="A63" t="s">
        <v>301</v>
      </c>
      <c r="B63" s="29">
        <f>(B34+F34+J34+N34)/4</f>
        <v>0.20426583352097605</v>
      </c>
      <c r="D63" s="2" t="s">
        <v>313</v>
      </c>
      <c r="E63" s="6">
        <f>I63*B68</f>
        <v>5908805384.0552683</v>
      </c>
      <c r="F63" s="6">
        <f>I63*B69</f>
        <v>4630461670.8570604</v>
      </c>
      <c r="G63" s="6">
        <f>I63*B70</f>
        <v>7674657936.5280733</v>
      </c>
      <c r="H63" s="6">
        <f>I63*B71</f>
        <v>13248900778.016171</v>
      </c>
      <c r="I63" s="6">
        <f>I62*C67</f>
        <v>31462825769.456573</v>
      </c>
      <c r="K63" s="3" t="s">
        <v>321</v>
      </c>
      <c r="L63" s="44">
        <f>L61*L62</f>
        <v>837.61682514501001</v>
      </c>
      <c r="N63" s="3" t="s">
        <v>369</v>
      </c>
      <c r="O63" s="47">
        <f>(O61-O62)/O62</f>
        <v>0.26569687312223739</v>
      </c>
    </row>
    <row r="64" spans="1:15" x14ac:dyDescent="0.25">
      <c r="A64" t="s">
        <v>308</v>
      </c>
      <c r="B64" s="29">
        <f>(C34+G34+K34+O34)/4</f>
        <v>0.17197973964551566</v>
      </c>
      <c r="D64" s="2" t="s">
        <v>197</v>
      </c>
      <c r="E64" s="6">
        <f>I64*B72</f>
        <v>30427475018.930035</v>
      </c>
      <c r="F64" s="6">
        <f>I64*B73</f>
        <v>4847786275.2068253</v>
      </c>
      <c r="G64" s="6">
        <f>I64*B74</f>
        <v>8147120406.8898048</v>
      </c>
      <c r="H64" s="6">
        <f>I64*B75</f>
        <v>9442618068.4299068</v>
      </c>
      <c r="I64" s="6">
        <f>Q11+I63</f>
        <v>52864999769.456573</v>
      </c>
    </row>
    <row r="65" spans="1:13" x14ac:dyDescent="0.25">
      <c r="A65" t="s">
        <v>309</v>
      </c>
      <c r="B65" s="29">
        <f>(D34+H34+L34+P34)/4</f>
        <v>0.26630346436932828</v>
      </c>
      <c r="D65" s="2" t="s">
        <v>336</v>
      </c>
      <c r="E65" s="6">
        <f>I65*B77</f>
        <v>7401490149.4621</v>
      </c>
      <c r="F65" s="6">
        <f>I65*B78</f>
        <v>6699982853.7366915</v>
      </c>
      <c r="G65" s="6">
        <f>I65*B79</f>
        <v>8812125612.158041</v>
      </c>
      <c r="H65" s="6">
        <f>I65*B80</f>
        <v>15745273813.36372</v>
      </c>
      <c r="I65" s="6">
        <f>I62*C76</f>
        <v>36706630064.366005</v>
      </c>
    </row>
    <row r="66" spans="1:13" x14ac:dyDescent="0.25">
      <c r="A66" t="s">
        <v>310</v>
      </c>
      <c r="B66" s="29">
        <f>(E34+I34+M34+Q34)/4</f>
        <v>0.35745096246418001</v>
      </c>
      <c r="D66" s="2" t="s">
        <v>337</v>
      </c>
      <c r="E66" s="6">
        <f>I66*B81</f>
        <v>193686411779.26202</v>
      </c>
      <c r="F66" s="6">
        <f>I66*B82</f>
        <v>-4959790924.5032816</v>
      </c>
      <c r="G66" s="6">
        <f>I66*B83</f>
        <v>-38893033861.907272</v>
      </c>
      <c r="H66" s="6">
        <f>I66*B84</f>
        <v>-158298287511.82065</v>
      </c>
      <c r="I66" s="6">
        <f>Q93-(Q93*(-B85))</f>
        <v>-8464700518.9691544</v>
      </c>
      <c r="K66" s="53" t="s">
        <v>324</v>
      </c>
      <c r="L66" s="53"/>
    </row>
    <row r="67" spans="1:13" x14ac:dyDescent="0.25">
      <c r="A67" t="s">
        <v>311</v>
      </c>
      <c r="C67">
        <v>0.12</v>
      </c>
      <c r="K67" s="3" t="s">
        <v>197</v>
      </c>
      <c r="L67" s="45">
        <f>I64</f>
        <v>52864999769.456573</v>
      </c>
    </row>
    <row r="68" spans="1:13" x14ac:dyDescent="0.25">
      <c r="A68" t="s">
        <v>314</v>
      </c>
      <c r="B68" s="29">
        <f>(B35+F35+J35+N35)/4</f>
        <v>0.18780275577762656</v>
      </c>
      <c r="K68" s="3" t="s">
        <v>325</v>
      </c>
      <c r="L68" s="43">
        <f>Q20</f>
        <v>5.7321229620387761</v>
      </c>
    </row>
    <row r="69" spans="1:13" x14ac:dyDescent="0.25">
      <c r="A69" t="s">
        <v>315</v>
      </c>
      <c r="B69" s="29">
        <f>(C35+G35+K35+O35)/4</f>
        <v>0.14717246647795418</v>
      </c>
      <c r="K69" s="3" t="s">
        <v>285</v>
      </c>
      <c r="L69" s="45">
        <f>Q6</f>
        <v>350910000</v>
      </c>
    </row>
    <row r="70" spans="1:13" x14ac:dyDescent="0.25">
      <c r="A70" t="s">
        <v>316</v>
      </c>
      <c r="B70" s="29">
        <f>(D35+H35+L35+P35)/4</f>
        <v>0.24392780205961234</v>
      </c>
      <c r="K70" s="3" t="s">
        <v>321</v>
      </c>
      <c r="L70" s="44">
        <f>(L67*L68)/L69</f>
        <v>863.55099332215275</v>
      </c>
    </row>
    <row r="71" spans="1:13" x14ac:dyDescent="0.25">
      <c r="A71" t="s">
        <v>317</v>
      </c>
      <c r="B71" s="29">
        <f>(E35+I35+M35+Q35)/4</f>
        <v>0.42109697568480692</v>
      </c>
    </row>
    <row r="72" spans="1:13" x14ac:dyDescent="0.25">
      <c r="A72" t="s">
        <v>327</v>
      </c>
      <c r="B72" s="29">
        <f>(B36+F36+J36+N36)/4</f>
        <v>0.57556937769079297</v>
      </c>
      <c r="K72" s="52" t="s">
        <v>334</v>
      </c>
      <c r="L72" s="52"/>
    </row>
    <row r="73" spans="1:13" x14ac:dyDescent="0.25">
      <c r="A73" t="s">
        <v>328</v>
      </c>
      <c r="B73" s="29">
        <f>(C36+G36+K36+O36)/4</f>
        <v>9.1701244610762206E-2</v>
      </c>
      <c r="K73" s="3" t="s">
        <v>335</v>
      </c>
      <c r="L73" s="15">
        <f>Q22</f>
        <v>0.75630462414211674</v>
      </c>
      <c r="M73" s="46">
        <f>AVERAGE(J16:R16)</f>
        <v>1.0056279056468913</v>
      </c>
    </row>
    <row r="74" spans="1:13" x14ac:dyDescent="0.25">
      <c r="A74" t="s">
        <v>329</v>
      </c>
      <c r="B74" s="29">
        <f>(D36+H36+L36+P36)/4</f>
        <v>0.15411180256160537</v>
      </c>
      <c r="K74" s="3" t="s">
        <v>285</v>
      </c>
      <c r="L74" s="45">
        <f>Q6</f>
        <v>350910000</v>
      </c>
      <c r="M74" s="4"/>
    </row>
    <row r="75" spans="1:13" x14ac:dyDescent="0.25">
      <c r="A75" t="s">
        <v>330</v>
      </c>
      <c r="B75" s="29">
        <f>(E36+I36+M36+Q36)/4</f>
        <v>0.1786175751368394</v>
      </c>
      <c r="K75" s="3" t="s">
        <v>321</v>
      </c>
      <c r="L75" s="15">
        <f>(I62*L73)/L74</f>
        <v>565.08982877893095</v>
      </c>
      <c r="M75" s="46">
        <f>(M73*I62)/L74</f>
        <v>751.37726635204797</v>
      </c>
    </row>
    <row r="76" spans="1:13" x14ac:dyDescent="0.25">
      <c r="A76" t="s">
        <v>346</v>
      </c>
      <c r="C76">
        <v>0.14000000000000001</v>
      </c>
    </row>
    <row r="77" spans="1:13" x14ac:dyDescent="0.25">
      <c r="A77" t="s">
        <v>351</v>
      </c>
      <c r="B77" s="29">
        <f>(B37+F37+J37+N37)/4</f>
        <v>0.20163905366641938</v>
      </c>
      <c r="K77" s="52" t="s">
        <v>355</v>
      </c>
      <c r="L77" s="52"/>
    </row>
    <row r="78" spans="1:13" x14ac:dyDescent="0.25">
      <c r="A78" t="s">
        <v>352</v>
      </c>
      <c r="B78" s="29">
        <f>(C37+G37+K37+O37)/4</f>
        <v>0.18252786600099496</v>
      </c>
      <c r="K78" s="3" t="s">
        <v>356</v>
      </c>
      <c r="L78" s="15">
        <f>Q24</f>
        <v>6.1970125572404466</v>
      </c>
    </row>
    <row r="79" spans="1:13" x14ac:dyDescent="0.25">
      <c r="A79" t="s">
        <v>353</v>
      </c>
      <c r="B79" s="29">
        <f>(D37+H37+L37+P37)/4</f>
        <v>0.2400690446577568</v>
      </c>
      <c r="K79" s="3" t="s">
        <v>357</v>
      </c>
      <c r="L79" s="45">
        <f>I65*L78</f>
        <v>227471447442.85583</v>
      </c>
    </row>
    <row r="80" spans="1:13" x14ac:dyDescent="0.25">
      <c r="A80" t="s">
        <v>354</v>
      </c>
      <c r="B80" s="29">
        <f>(E37+I37+M37+Q37)/4</f>
        <v>0.42894904233251552</v>
      </c>
      <c r="K80" s="3" t="s">
        <v>366</v>
      </c>
      <c r="L80" s="45">
        <f>L79+I66</f>
        <v>219006746923.88669</v>
      </c>
    </row>
    <row r="81" spans="1:18" x14ac:dyDescent="0.25">
      <c r="A81" t="s">
        <v>361</v>
      </c>
      <c r="B81" s="29">
        <f>(B102+F102+J102+N102)/4</f>
        <v>-22.88166147700279</v>
      </c>
      <c r="K81" s="3" t="s">
        <v>285</v>
      </c>
      <c r="L81" s="45">
        <f>Q6</f>
        <v>350910000</v>
      </c>
    </row>
    <row r="82" spans="1:18" x14ac:dyDescent="0.25">
      <c r="A82" t="s">
        <v>362</v>
      </c>
      <c r="B82" s="29">
        <f>(C102+G102+K102+O102)/4</f>
        <v>0.58593814552429002</v>
      </c>
      <c r="K82" s="3" t="s">
        <v>321</v>
      </c>
      <c r="L82" s="15">
        <f>L80/L81</f>
        <v>624.11087436632386</v>
      </c>
    </row>
    <row r="83" spans="1:18" x14ac:dyDescent="0.25">
      <c r="A83" t="s">
        <v>363</v>
      </c>
      <c r="B83" s="29">
        <f>(D102+H102+L102+P102)/4</f>
        <v>4.5947324154881892</v>
      </c>
    </row>
    <row r="84" spans="1:18" x14ac:dyDescent="0.25">
      <c r="A84" t="s">
        <v>364</v>
      </c>
      <c r="B84" s="29">
        <f>(E102+I102+M102+Q102)/4</f>
        <v>18.700990915990314</v>
      </c>
    </row>
    <row r="85" spans="1:18" x14ac:dyDescent="0.25">
      <c r="A85" t="s">
        <v>365</v>
      </c>
      <c r="B85" s="29">
        <f>MEDIAN(F95:Q95)</f>
        <v>-1.3044454499501181</v>
      </c>
    </row>
    <row r="87" spans="1:18" x14ac:dyDescent="0.25">
      <c r="B87" s="48" t="s">
        <v>338</v>
      </c>
      <c r="C87" s="48"/>
      <c r="D87" s="48"/>
      <c r="E87" s="48"/>
      <c r="F87" s="48"/>
      <c r="G87" s="48"/>
      <c r="H87" s="48"/>
      <c r="I87" s="48"/>
      <c r="J87" s="48"/>
      <c r="K87" s="48"/>
      <c r="L87" s="48"/>
      <c r="M87" s="48"/>
      <c r="N87" s="48"/>
      <c r="O87" s="48"/>
      <c r="P87" s="48"/>
      <c r="Q87" s="48"/>
    </row>
    <row r="88" spans="1:18" x14ac:dyDescent="0.25">
      <c r="B88" s="2" t="str">
        <f>INDEX(Froto!$B$1:$Q$1,COLUMNS(Froto!B$1:$Q70))</f>
        <v>2019/3</v>
      </c>
      <c r="C88" s="2" t="str">
        <f>INDEX(Froto!$B$1:$Q$1,COLUMNS(Froto!C$1:$Q70))</f>
        <v>2019/6</v>
      </c>
      <c r="D88" s="2" t="str">
        <f>INDEX(Froto!$B$1:$Q$1,COLUMNS(Froto!D$1:$Q70))</f>
        <v>2019/9</v>
      </c>
      <c r="E88" s="2" t="str">
        <f>INDEX(Froto!$B$1:$Q$1,COLUMNS(Froto!E$1:$Q70))</f>
        <v>2019/12</v>
      </c>
      <c r="F88" s="2" t="str">
        <f>INDEX(Froto!$B$1:$Q$1,COLUMNS(Froto!F$1:$Q70))</f>
        <v>2020/3</v>
      </c>
      <c r="G88" s="2" t="str">
        <f>INDEX(Froto!$B$1:$Q$1,COLUMNS(Froto!G$1:$Q70))</f>
        <v>2020/6</v>
      </c>
      <c r="H88" s="2" t="str">
        <f>INDEX(Froto!$B$1:$Q$1,COLUMNS(Froto!H$1:$Q70))</f>
        <v>2020/9</v>
      </c>
      <c r="I88" s="2" t="str">
        <f>INDEX(Froto!$B$1:$Q$1,COLUMNS(Froto!I$1:$Q70))</f>
        <v>2020/12</v>
      </c>
      <c r="J88" s="2" t="str">
        <f>INDEX(Froto!$B$1:$Q$1,COLUMNS(Froto!J$1:$Q70))</f>
        <v>2021/3</v>
      </c>
      <c r="K88" s="2" t="str">
        <f>INDEX(Froto!$B$1:$Q$1,COLUMNS(Froto!K$1:$Q70))</f>
        <v>2021/6</v>
      </c>
      <c r="L88" s="2" t="str">
        <f>INDEX(Froto!$B$1:$Q$1,COLUMNS(Froto!L$1:$Q70))</f>
        <v>2021/9</v>
      </c>
      <c r="M88" s="2" t="str">
        <f>INDEX(Froto!$B$1:$Q$1,COLUMNS(Froto!M$1:$Q70))</f>
        <v>2021/12</v>
      </c>
      <c r="N88" s="2" t="str">
        <f>INDEX(Froto!$B$1:$Q$1,COLUMNS(Froto!N$1:$Q70))</f>
        <v>2022/3</v>
      </c>
      <c r="O88" s="2" t="str">
        <f>INDEX(Froto!$B$1:$Q$1,COLUMNS(Froto!O$1:$Q70))</f>
        <v>2022/6</v>
      </c>
      <c r="P88" s="2" t="str">
        <f>INDEX(Froto!$B$1:$Q$1,COLUMNS(Froto!P$1:$Q70))</f>
        <v>2022/9</v>
      </c>
      <c r="Q88" s="2" t="str">
        <f>INDEX(Froto!$B$1:$Q$1,COLUMNS(Froto!Q$1:$Q70))</f>
        <v>2022/12</v>
      </c>
      <c r="R88" s="35"/>
    </row>
    <row r="89" spans="1:18" x14ac:dyDescent="0.25">
      <c r="A89" t="s">
        <v>339</v>
      </c>
      <c r="B89" s="6">
        <f>HLOOKUP(B88,'Yıllıklandırılmış Veriler'!$B$1:$R$3,3,0)</f>
        <v>1455668000</v>
      </c>
      <c r="C89" s="6">
        <f>HLOOKUP(C88,'Yıllıklandırılmış Veriler'!$B$1:$R$3,3,0)</f>
        <v>2025157000</v>
      </c>
      <c r="D89" s="6">
        <f>HLOOKUP(D88,'Yıllıklandırılmış Veriler'!$B$1:$R$3,3,0)</f>
        <v>1776974000</v>
      </c>
      <c r="E89" s="6">
        <f>HLOOKUP(E88,'Yıllıklandırılmış Veriler'!$B$1:$R$3,3,0)</f>
        <v>3202952000</v>
      </c>
      <c r="F89" s="6">
        <f>HLOOKUP(F88,'Yıllıklandırılmış Veriler'!$B$1:$R$3,3,0)</f>
        <v>4773824000</v>
      </c>
      <c r="G89" s="6">
        <f>HLOOKUP(G88,'Yıllıklandırılmış Veriler'!$B$1:$R$3,3,0)</f>
        <v>6478879000</v>
      </c>
      <c r="H89" s="6">
        <f>HLOOKUP(H88,'Yıllıklandırılmış Veriler'!$B$1:$R$3,3,0)</f>
        <v>8272397000</v>
      </c>
      <c r="I89" s="6">
        <f>HLOOKUP(I88,'Yıllıklandırılmış Veriler'!$B$1:$R$3,3,0)</f>
        <v>8124073000</v>
      </c>
      <c r="J89" s="6">
        <f>HLOOKUP(J88,'Yıllıklandırılmış Veriler'!$B$1:$R$3,3,0)</f>
        <v>13704521000</v>
      </c>
      <c r="K89" s="6">
        <f>HLOOKUP(K88,'Yıllıklandırılmış Veriler'!$B$1:$R$3,3,0)</f>
        <v>7962722000</v>
      </c>
      <c r="L89" s="6">
        <f>HLOOKUP(L88,'Yıllıklandırılmış Veriler'!$B$1:$R$3,3,0)</f>
        <v>14878499000</v>
      </c>
      <c r="M89" s="6">
        <f>HLOOKUP(M88,'Yıllıklandırılmış Veriler'!$B$1:$R$3,3,0)</f>
        <v>14173931000</v>
      </c>
      <c r="N89" s="6">
        <f>HLOOKUP(N88,'Yıllıklandırılmış Veriler'!$B$1:$R$3,3,0)</f>
        <v>20092454000</v>
      </c>
      <c r="O89" s="6">
        <f>HLOOKUP(O88,'Yıllıklandırılmış Veriler'!$B$1:$R$3,3,0)</f>
        <v>22682078000</v>
      </c>
      <c r="P89" s="6">
        <f>HLOOKUP(P88,'Yıllıklandırılmış Veriler'!$B$1:$R$3,3,0)</f>
        <v>7839456000</v>
      </c>
      <c r="Q89" s="6">
        <f>HLOOKUP(Q88,'Yıllıklandırılmış Veriler'!$B$1:$R$3,3,0)</f>
        <v>10114706000</v>
      </c>
    </row>
    <row r="90" spans="1:18" x14ac:dyDescent="0.25">
      <c r="A90" t="s">
        <v>188</v>
      </c>
      <c r="B90">
        <f>HLOOKUP(B88,'Yıllıklandırılmış Veriler'!$B$1:$R$4,4,0)</f>
        <v>0</v>
      </c>
      <c r="C90">
        <f>HLOOKUP(C88,'Yıllıklandırılmış Veriler'!$B$1:$R$4,4,0)</f>
        <v>0</v>
      </c>
      <c r="D90">
        <f>HLOOKUP(D88,'Yıllıklandırılmış Veriler'!$B$1:$R$4,4,0)</f>
        <v>0</v>
      </c>
      <c r="E90">
        <f>HLOOKUP(E88,'Yıllıklandırılmış Veriler'!$B$1:$R$4,4,0)</f>
        <v>0</v>
      </c>
      <c r="F90">
        <f>HLOOKUP(F88,'Yıllıklandırılmış Veriler'!$B$1:$R$4,4,0)</f>
        <v>0</v>
      </c>
      <c r="G90">
        <f>HLOOKUP(G88,'Yıllıklandırılmış Veriler'!$B$1:$R$4,4,0)</f>
        <v>0</v>
      </c>
      <c r="H90">
        <f>HLOOKUP(H88,'Yıllıklandırılmış Veriler'!$B$1:$R$4,4,0)</f>
        <v>0</v>
      </c>
      <c r="I90">
        <f>HLOOKUP(I88,'Yıllıklandırılmış Veriler'!$B$1:$R$4,4,0)</f>
        <v>0</v>
      </c>
      <c r="J90">
        <f>HLOOKUP(J88,'Yıllıklandırılmış Veriler'!$B$1:$R$4,4,0)</f>
        <v>0</v>
      </c>
      <c r="K90">
        <f>HLOOKUP(K88,'Yıllıklandırılmış Veriler'!$B$1:$R$4,4,0)</f>
        <v>0</v>
      </c>
      <c r="L90">
        <f>HLOOKUP(L88,'Yıllıklandırılmış Veriler'!$B$1:$R$4,4,0)</f>
        <v>0</v>
      </c>
      <c r="M90">
        <f>HLOOKUP(M88,'Yıllıklandırılmış Veriler'!$B$1:$R$4,4,0)</f>
        <v>0</v>
      </c>
      <c r="N90">
        <f>HLOOKUP(N88,'Yıllıklandırılmış Veriler'!$B$1:$R$4,4,0)</f>
        <v>0</v>
      </c>
      <c r="O90">
        <f>HLOOKUP(O88,'Yıllıklandırılmış Veriler'!$B$1:$R$4,4,0)</f>
        <v>0</v>
      </c>
      <c r="P90">
        <f>HLOOKUP(P88,'Yıllıklandırılmış Veriler'!$B$1:$R$4,4,0)</f>
        <v>0</v>
      </c>
      <c r="Q90">
        <f>HLOOKUP(Q88,'Yıllıklandırılmış Veriler'!$B$1:$R$4,4,0)</f>
        <v>0</v>
      </c>
    </row>
    <row r="91" spans="1:18" x14ac:dyDescent="0.25">
      <c r="A91" t="s">
        <v>340</v>
      </c>
      <c r="B91" s="6">
        <f>HLOOKUP(B88,'Yıllıklandırılmış Veriler'!$B$1:$R$33,33,0)</f>
        <v>4153309000</v>
      </c>
      <c r="C91" s="6">
        <f>HLOOKUP(C88,'Yıllıklandırılmış Veriler'!$B$1:$R$33,33,0)</f>
        <v>4459635000</v>
      </c>
      <c r="D91" s="6">
        <f>HLOOKUP(D88,'Yıllıklandırılmış Veriler'!$B$1:$R$33,33,0)</f>
        <v>3219770000</v>
      </c>
      <c r="E91" s="6">
        <f>HLOOKUP(E88,'Yıllıklandırılmış Veriler'!$B$1:$R$33,33,0)</f>
        <v>3648110000</v>
      </c>
      <c r="F91" s="6">
        <f>HLOOKUP(F88,'Yıllıklandırılmış Veriler'!$B$1:$R$33,33,0)</f>
        <v>4905069000</v>
      </c>
      <c r="G91" s="6">
        <f>HLOOKUP(G88,'Yıllıklandırılmış Veriler'!$B$1:$R$33,33,0)</f>
        <v>5637252000</v>
      </c>
      <c r="H91" s="6">
        <f>HLOOKUP(H88,'Yıllıklandırılmış Veriler'!$B$1:$R$33,33,0)</f>
        <v>5303539000</v>
      </c>
      <c r="I91" s="6">
        <f>HLOOKUP(I88,'Yıllıklandırılmış Veriler'!$B$1:$R$33,33,0)</f>
        <v>3932881000</v>
      </c>
      <c r="J91" s="6">
        <f>HLOOKUP(J88,'Yıllıklandırılmış Veriler'!$B$1:$R$33,33,0)</f>
        <v>5596100000</v>
      </c>
      <c r="K91" s="6">
        <f>HLOOKUP(K88,'Yıllıklandırılmış Veriler'!$B$1:$R$33,33,0)</f>
        <v>3199475000</v>
      </c>
      <c r="L91" s="6">
        <f>HLOOKUP(L88,'Yıllıklandırılmış Veriler'!$B$1:$R$33,33,0)</f>
        <v>5998042000</v>
      </c>
      <c r="M91" s="6">
        <f>HLOOKUP(M88,'Yıllıklandırılmış Veriler'!$B$1:$R$33,33,0)</f>
        <v>8256919000</v>
      </c>
      <c r="N91" s="6">
        <f>HLOOKUP(N88,'Yıllıklandırılmış Veriler'!$B$1:$R$33,33,0)</f>
        <v>12498610000</v>
      </c>
      <c r="O91" s="6">
        <f>HLOOKUP(O88,'Yıllıklandırılmış Veriler'!$B$1:$R$33,33,0)</f>
        <v>20635692000</v>
      </c>
      <c r="P91" s="6">
        <f>HLOOKUP(P88,'Yıllıklandırılmış Veriler'!$B$1:$R$33,33,0)</f>
        <v>14641039000</v>
      </c>
      <c r="Q91" s="6">
        <f>HLOOKUP(Q88,'Yıllıklandırılmış Veriler'!$B$1:$R$33,33,0)</f>
        <v>13218603000</v>
      </c>
    </row>
    <row r="92" spans="1:18" x14ac:dyDescent="0.25">
      <c r="A92" t="s">
        <v>341</v>
      </c>
      <c r="B92" s="6">
        <f>HLOOKUP(B88,'Yıllıklandırılmış Veriler'!$B$1:$R$47,47,0)</f>
        <v>1602796000</v>
      </c>
      <c r="C92" s="6">
        <f>HLOOKUP(C88,'Yıllıklandırılmış Veriler'!$B$1:$R$47,47,0)</f>
        <v>1891953000</v>
      </c>
      <c r="D92" s="6">
        <f>HLOOKUP(D88,'Yıllıklandırılmış Veriler'!$B$1:$R$47,47,0)</f>
        <v>1413870000</v>
      </c>
      <c r="E92" s="6">
        <f>HLOOKUP(E88,'Yıllıklandırılmış Veriler'!$B$1:$R$47,47,0)</f>
        <v>2559936000</v>
      </c>
      <c r="F92" s="6">
        <f>HLOOKUP(F88,'Yıllıklandırılmış Veriler'!$B$1:$R$47,47,0)</f>
        <v>3669893000</v>
      </c>
      <c r="G92" s="6">
        <f>HLOOKUP(G88,'Yıllıklandırılmış Veriler'!$B$1:$R$47,47,0)</f>
        <v>3832068000</v>
      </c>
      <c r="H92" s="6">
        <f>HLOOKUP(H88,'Yıllıklandırılmış Veriler'!$B$1:$R$47,47,0)</f>
        <v>5389908000</v>
      </c>
      <c r="I92" s="6">
        <f>HLOOKUP(I88,'Yıllıklandırılmış Veriler'!$B$1:$R$47,47,0)</f>
        <v>4147993000</v>
      </c>
      <c r="J92" s="6">
        <f>HLOOKUP(J88,'Yıllıklandırılmış Veriler'!$B$1:$R$47,47,0)</f>
        <v>5848585000</v>
      </c>
      <c r="K92" s="6">
        <f>HLOOKUP(K88,'Yıllıklandırılmış Veriler'!$B$1:$R$47,47,0)</f>
        <v>4727167000</v>
      </c>
      <c r="L92" s="6">
        <f>HLOOKUP(L88,'Yıllıklandırılmış Veriler'!$B$1:$R$47,47,0)</f>
        <v>5310878000</v>
      </c>
      <c r="M92" s="6">
        <f>HLOOKUP(M88,'Yıllıklandırılmış Veriler'!$B$1:$R$47,47,0)</f>
        <v>10799308000</v>
      </c>
      <c r="N92" s="6">
        <f>HLOOKUP(N88,'Yıllıklandırılmış Veriler'!$B$1:$R$47,47,0)</f>
        <v>20552600000</v>
      </c>
      <c r="O92" s="6">
        <f>HLOOKUP(O88,'Yıllıklandırılmış Veriler'!$B$1:$R$47,47,0)</f>
        <v>21740243000</v>
      </c>
      <c r="P92" s="6">
        <f>HLOOKUP(P88,'Yıllıklandırılmış Veriler'!$B$1:$R$47,47,0)</f>
        <v>25494941000</v>
      </c>
      <c r="Q92" s="6">
        <f>HLOOKUP(Q88,'Yıllıklandırılmış Veriler'!$B$1:$R$47,47,0)</f>
        <v>24699772000</v>
      </c>
    </row>
    <row r="93" spans="1:18" x14ac:dyDescent="0.25">
      <c r="A93" t="s">
        <v>337</v>
      </c>
      <c r="B93" s="6">
        <f>(B91+B92)-(B89+B90)</f>
        <v>4300437000</v>
      </c>
      <c r="C93" s="6">
        <f t="shared" ref="C93:Q93" si="28">(C91+C92)-(C89+C90)</f>
        <v>4326431000</v>
      </c>
      <c r="D93" s="6">
        <f t="shared" si="28"/>
        <v>2856666000</v>
      </c>
      <c r="E93" s="6">
        <f t="shared" si="28"/>
        <v>3005094000</v>
      </c>
      <c r="F93" s="6">
        <f t="shared" si="28"/>
        <v>3801138000</v>
      </c>
      <c r="G93" s="6">
        <f t="shared" si="28"/>
        <v>2990441000</v>
      </c>
      <c r="H93" s="6">
        <f t="shared" si="28"/>
        <v>2421050000</v>
      </c>
      <c r="I93" s="6">
        <f t="shared" si="28"/>
        <v>-43199000</v>
      </c>
      <c r="J93" s="6">
        <f t="shared" si="28"/>
        <v>-2259836000</v>
      </c>
      <c r="K93" s="6">
        <f t="shared" si="28"/>
        <v>-36080000</v>
      </c>
      <c r="L93" s="6">
        <f t="shared" si="28"/>
        <v>-3569579000</v>
      </c>
      <c r="M93" s="6">
        <f t="shared" si="28"/>
        <v>4882296000</v>
      </c>
      <c r="N93" s="6">
        <f t="shared" si="28"/>
        <v>12958756000</v>
      </c>
      <c r="O93" s="6">
        <f t="shared" si="28"/>
        <v>19693857000</v>
      </c>
      <c r="P93" s="6">
        <f t="shared" si="28"/>
        <v>32296524000</v>
      </c>
      <c r="Q93" s="6">
        <f t="shared" si="28"/>
        <v>27803669000</v>
      </c>
      <c r="R93" s="6">
        <f>Q93</f>
        <v>27803669000</v>
      </c>
    </row>
    <row r="94" spans="1:18" x14ac:dyDescent="0.25">
      <c r="A94" t="s">
        <v>342</v>
      </c>
      <c r="B94" s="6">
        <f t="shared" ref="B94:R94" si="29">B7-B93</f>
        <v>8834124300</v>
      </c>
      <c r="C94" s="6">
        <f t="shared" si="29"/>
        <v>13383996700</v>
      </c>
      <c r="D94" s="6">
        <f t="shared" si="29"/>
        <v>13976486700</v>
      </c>
      <c r="E94" s="6">
        <f t="shared" si="29"/>
        <v>17438922600</v>
      </c>
      <c r="F94" s="6">
        <f t="shared" si="29"/>
        <v>11438883300</v>
      </c>
      <c r="G94" s="6">
        <f t="shared" si="29"/>
        <v>18934415800</v>
      </c>
      <c r="H94" s="6">
        <f t="shared" si="29"/>
        <v>24637620100</v>
      </c>
      <c r="I94" s="6">
        <f t="shared" si="29"/>
        <v>39008245400</v>
      </c>
      <c r="J94" s="6">
        <f t="shared" si="29"/>
        <v>63925250300</v>
      </c>
      <c r="K94" s="6">
        <f t="shared" si="29"/>
        <v>54332384300</v>
      </c>
      <c r="L94" s="6">
        <f t="shared" si="29"/>
        <v>56879826199.999992</v>
      </c>
      <c r="M94" s="6">
        <f t="shared" si="29"/>
        <v>72367031400</v>
      </c>
      <c r="N94" s="6">
        <f t="shared" si="29"/>
        <v>88110342200</v>
      </c>
      <c r="O94" s="6">
        <f t="shared" si="29"/>
        <v>70651431600</v>
      </c>
      <c r="P94" s="6">
        <f t="shared" si="29"/>
        <v>78348908100</v>
      </c>
      <c r="Q94" s="6">
        <f t="shared" si="29"/>
        <v>151985069500</v>
      </c>
      <c r="R94" s="6">
        <f t="shared" si="29"/>
        <v>185444338000.00003</v>
      </c>
    </row>
    <row r="95" spans="1:18" x14ac:dyDescent="0.25">
      <c r="A95" t="s">
        <v>358</v>
      </c>
      <c r="F95" s="29">
        <f>F93/B93-1</f>
        <v>-0.11610424708000611</v>
      </c>
      <c r="G95" s="29">
        <f t="shared" ref="G95:Q95" si="30">G93/C93-1</f>
        <v>-0.30879725112916401</v>
      </c>
      <c r="H95" s="29">
        <f t="shared" si="30"/>
        <v>-0.15249105075637126</v>
      </c>
      <c r="I95" s="29">
        <f t="shared" si="30"/>
        <v>-1.0143752574794664</v>
      </c>
      <c r="J95" s="29">
        <f t="shared" si="30"/>
        <v>-1.5945156424207698</v>
      </c>
      <c r="K95" s="29">
        <f t="shared" si="30"/>
        <v>-1.0120651101292417</v>
      </c>
      <c r="L95" s="29">
        <f t="shared" si="30"/>
        <v>-2.474392928687966</v>
      </c>
      <c r="M95" s="29">
        <f t="shared" si="30"/>
        <v>-114.01872728535383</v>
      </c>
      <c r="N95" s="29">
        <f t="shared" si="30"/>
        <v>-6.7343789549330131</v>
      </c>
      <c r="O95" s="29">
        <f t="shared" si="30"/>
        <v>-546.83860864745009</v>
      </c>
      <c r="P95" s="29">
        <f t="shared" si="30"/>
        <v>-10.047712349271441</v>
      </c>
      <c r="Q95" s="29">
        <f t="shared" si="30"/>
        <v>4.6947938019325335</v>
      </c>
    </row>
    <row r="96" spans="1:18" x14ac:dyDescent="0.25">
      <c r="A96" s="2" t="s">
        <v>359</v>
      </c>
    </row>
    <row r="97" spans="1:17" x14ac:dyDescent="0.25">
      <c r="A97" t="s">
        <v>339</v>
      </c>
      <c r="B97" s="6">
        <f>HLOOKUP(Değerleme!B88,'Çeyreklik Veriler'!$B$1:$U$3,3,0)</f>
        <v>2105155000</v>
      </c>
      <c r="C97" s="6">
        <f>HLOOKUP(Değerleme!C88,'Çeyreklik Veriler'!$B$1:$U$3,3,0)</f>
        <v>-186141000</v>
      </c>
      <c r="D97" s="6">
        <f>HLOOKUP(Değerleme!D88,'Çeyreklik Veriler'!$B$1:$U$3,3,0)</f>
        <v>-155324000</v>
      </c>
      <c r="E97" s="6">
        <f>HLOOKUP(Değerleme!E88,'Çeyreklik Veriler'!$B$1:$U$3,3,0)</f>
        <v>1439262000</v>
      </c>
      <c r="F97" s="6">
        <f>HLOOKUP(Değerleme!F88,'Çeyreklik Veriler'!$B$1:$U$3,3,0)</f>
        <v>3676027000</v>
      </c>
      <c r="G97" s="6">
        <f>HLOOKUP(Değerleme!G88,'Çeyreklik Veriler'!$B$1:$U$3,3,0)</f>
        <v>1518914000</v>
      </c>
      <c r="H97" s="6">
        <f>HLOOKUP(Değerleme!H88,'Çeyreklik Veriler'!$B$1:$U$3,3,0)</f>
        <v>1638194000</v>
      </c>
      <c r="I97" s="6">
        <f>HLOOKUP(Değerleme!I88,'Çeyreklik Veriler'!$B$1:$U$3,3,0)</f>
        <v>1290938000</v>
      </c>
      <c r="J97" s="6">
        <f>HLOOKUP(Değerleme!J88,'Çeyreklik Veriler'!$B$1:$U$3,3,0)</f>
        <v>9256475000</v>
      </c>
      <c r="K97" s="6">
        <f>HLOOKUP(Değerleme!K88,'Çeyreklik Veriler'!$B$1:$U$3,3,0)</f>
        <v>-4222885000</v>
      </c>
      <c r="L97" s="6">
        <f>HLOOKUP(Değerleme!L88,'Çeyreklik Veriler'!$B$1:$U$3,3,0)</f>
        <v>8553971000</v>
      </c>
      <c r="M97" s="6">
        <f>HLOOKUP(Değerleme!M88,'Çeyreklik Veriler'!$B$1:$U$3,3,0)</f>
        <v>586370000</v>
      </c>
      <c r="N97" s="6">
        <f>HLOOKUP(Değerleme!N88,'Çeyreklik Veriler'!$B$1:$U$3,3,0)</f>
        <v>15174998000</v>
      </c>
      <c r="O97" s="6">
        <f>HLOOKUP(Değerleme!O88,'Çeyreklik Veriler'!$B$1:$U$3,3,0)</f>
        <v>-1633261000</v>
      </c>
      <c r="P97" s="6">
        <f>HLOOKUP(Değerleme!P88,'Çeyreklik Veriler'!$B$1:$U$3,3,0)</f>
        <v>-6288651000</v>
      </c>
      <c r="Q97" s="6">
        <f>HLOOKUP(Değerleme!Q88,'Çeyreklik Veriler'!$B$1:$U$3,3,0)</f>
        <v>2861620000</v>
      </c>
    </row>
    <row r="98" spans="1:17" x14ac:dyDescent="0.25">
      <c r="A98" t="s">
        <v>188</v>
      </c>
      <c r="B98">
        <f>HLOOKUP(B88,'Çeyreklik Veriler'!$B$1:$U$4,4,0)</f>
        <v>0</v>
      </c>
      <c r="C98">
        <f>HLOOKUP(C88,'Çeyreklik Veriler'!$B$1:$U$4,4,0)</f>
        <v>0</v>
      </c>
      <c r="D98">
        <f>HLOOKUP(D88,'Çeyreklik Veriler'!$B$1:$U$4,4,0)</f>
        <v>0</v>
      </c>
      <c r="E98">
        <f>HLOOKUP(E88,'Çeyreklik Veriler'!$B$1:$U$4,4,0)</f>
        <v>0</v>
      </c>
      <c r="F98">
        <f>HLOOKUP(F88,'Çeyreklik Veriler'!$B$1:$U$4,4,0)</f>
        <v>0</v>
      </c>
      <c r="G98">
        <f>HLOOKUP(G88,'Çeyreklik Veriler'!$B$1:$U$4,4,0)</f>
        <v>0</v>
      </c>
      <c r="H98">
        <f>HLOOKUP(H88,'Çeyreklik Veriler'!$B$1:$U$4,4,0)</f>
        <v>0</v>
      </c>
      <c r="I98">
        <f>HLOOKUP(I88,'Çeyreklik Veriler'!$B$1:$U$4,4,0)</f>
        <v>0</v>
      </c>
      <c r="J98">
        <f>HLOOKUP(J88,'Çeyreklik Veriler'!$B$1:$U$4,4,0)</f>
        <v>0</v>
      </c>
      <c r="K98">
        <f>HLOOKUP(K88,'Çeyreklik Veriler'!$B$1:$U$4,4,0)</f>
        <v>0</v>
      </c>
      <c r="L98">
        <f>HLOOKUP(L88,'Çeyreklik Veriler'!$B$1:$U$4,4,0)</f>
        <v>0</v>
      </c>
      <c r="M98">
        <f>HLOOKUP(M88,'Çeyreklik Veriler'!$B$1:$U$4,4,0)</f>
        <v>0</v>
      </c>
      <c r="N98">
        <f>HLOOKUP(N88,'Çeyreklik Veriler'!$B$1:$U$4,4,0)</f>
        <v>0</v>
      </c>
      <c r="O98">
        <f>HLOOKUP(O88,'Çeyreklik Veriler'!$B$1:$U$4,4,0)</f>
        <v>0</v>
      </c>
      <c r="P98">
        <f>HLOOKUP(P88,'Çeyreklik Veriler'!$B$1:$U$4,4,0)</f>
        <v>0</v>
      </c>
      <c r="Q98">
        <f>HLOOKUP(Q88,'Çeyreklik Veriler'!$B$1:$U$4,4,0)</f>
        <v>0</v>
      </c>
    </row>
    <row r="99" spans="1:17" x14ac:dyDescent="0.25">
      <c r="A99" t="s">
        <v>340</v>
      </c>
      <c r="B99" s="6">
        <f>HLOOKUP(B88,'Çeyreklik Veriler'!$B$1:$U$33,33,0)</f>
        <v>3550646000</v>
      </c>
      <c r="C99" s="6">
        <f>HLOOKUP(C88,'Çeyreklik Veriler'!$B$1:$U$33,33,0)</f>
        <v>324014000</v>
      </c>
      <c r="D99" s="6">
        <f>HLOOKUP(D88,'Çeyreklik Veriler'!$B$1:$U$33,33,0)</f>
        <v>-355935000</v>
      </c>
      <c r="E99" s="6">
        <f>HLOOKUP(E88,'Çeyreklik Veriler'!$B$1:$U$33,33,0)</f>
        <v>129385000</v>
      </c>
      <c r="F99" s="6">
        <f>HLOOKUP(F88,'Çeyreklik Veriler'!$B$1:$U$33,33,0)</f>
        <v>4807605000</v>
      </c>
      <c r="G99" s="6">
        <f>HLOOKUP(G88,'Çeyreklik Veriler'!$B$1:$U$33,33,0)</f>
        <v>1056197000</v>
      </c>
      <c r="H99" s="6">
        <f>HLOOKUP(H88,'Çeyreklik Veriler'!$B$1:$U$33,33,0)</f>
        <v>-689648000</v>
      </c>
      <c r="I99" s="6">
        <f>HLOOKUP(I88,'Çeyreklik Veriler'!$B$1:$U$33,33,0)</f>
        <v>-1241273000</v>
      </c>
      <c r="J99" s="6">
        <f>HLOOKUP(J88,'Çeyreklik Veriler'!$B$1:$U$33,33,0)</f>
        <v>6470824000</v>
      </c>
      <c r="K99" s="6">
        <f>HLOOKUP(K88,'Çeyreklik Veriler'!$B$1:$U$33,33,0)</f>
        <v>-1340428000</v>
      </c>
      <c r="L99" s="6">
        <f>HLOOKUP(L88,'Çeyreklik Veriler'!$B$1:$U$33,33,0)</f>
        <v>2108919000</v>
      </c>
      <c r="M99" s="6">
        <f>HLOOKUP(M88,'Çeyreklik Veriler'!$B$1:$U$33,33,0)</f>
        <v>1017604000</v>
      </c>
      <c r="N99" s="6">
        <f>HLOOKUP(N88,'Çeyreklik Veriler'!$B$1:$U$33,33,0)</f>
        <v>10712515000</v>
      </c>
      <c r="O99" s="6">
        <f>HLOOKUP(O88,'Çeyreklik Veriler'!$B$1:$U$33,33,0)</f>
        <v>6796654000</v>
      </c>
      <c r="P99" s="6">
        <f>HLOOKUP(P88,'Çeyreklik Veriler'!$B$1:$U$33,33,0)</f>
        <v>-3885734000</v>
      </c>
      <c r="Q99" s="6">
        <f>HLOOKUP(Q88,'Çeyreklik Veriler'!$B$1:$U$33,33,0)</f>
        <v>-404832000</v>
      </c>
    </row>
    <row r="100" spans="1:17" x14ac:dyDescent="0.25">
      <c r="A100" t="s">
        <v>341</v>
      </c>
      <c r="B100" s="6">
        <f>HLOOKUP(B88,'Çeyreklik Veriler'!$B$1:$U$47,47,0)</f>
        <v>1790269000</v>
      </c>
      <c r="C100" s="6">
        <f>HLOOKUP(C88,'Çeyreklik Veriler'!$B$1:$U$47,47,0)</f>
        <v>243121000</v>
      </c>
      <c r="D100" s="6">
        <f>HLOOKUP(D88,'Çeyreklik Veriler'!$B$1:$U$47,47,0)</f>
        <v>-53338000</v>
      </c>
      <c r="E100" s="6">
        <f>HLOOKUP(E88,'Çeyreklik Veriler'!$B$1:$U$47,47,0)</f>
        <v>579884000</v>
      </c>
      <c r="F100" s="6">
        <f>HLOOKUP(F88,'Çeyreklik Veriler'!$B$1:$U$47,47,0)</f>
        <v>2900226000</v>
      </c>
      <c r="G100" s="6">
        <f>HLOOKUP(G88,'Çeyreklik Veriler'!$B$1:$U$47,47,0)</f>
        <v>405296000</v>
      </c>
      <c r="H100" s="6">
        <f>HLOOKUP(H88,'Çeyreklik Veriler'!$B$1:$U$47,47,0)</f>
        <v>1504502000</v>
      </c>
      <c r="I100" s="6">
        <f>HLOOKUP(I88,'Çeyreklik Veriler'!$B$1:$U$47,47,0)</f>
        <v>-662031000</v>
      </c>
      <c r="J100" s="6">
        <f>HLOOKUP(J88,'Çeyreklik Veriler'!$B$1:$U$47,47,0)</f>
        <v>4600818000</v>
      </c>
      <c r="K100" s="6">
        <f>HLOOKUP(K88,'Çeyreklik Veriler'!$B$1:$U$47,47,0)</f>
        <v>-716122000</v>
      </c>
      <c r="L100" s="6">
        <f>HLOOKUP(L88,'Çeyreklik Veriler'!$B$1:$U$47,47,0)</f>
        <v>2088213000</v>
      </c>
      <c r="M100" s="6">
        <f>HLOOKUP(M88,'Çeyreklik Veriler'!$B$1:$U$47,47,0)</f>
        <v>4826399000</v>
      </c>
      <c r="N100" s="6">
        <f>HLOOKUP(N88,'Çeyreklik Veriler'!$B$1:$U$47,47,0)</f>
        <v>14354110000</v>
      </c>
      <c r="O100" s="6">
        <f>HLOOKUP(O88,'Çeyreklik Veriler'!$B$1:$U$47,47,0)</f>
        <v>471521000</v>
      </c>
      <c r="P100" s="6">
        <f>HLOOKUP(P88,'Çeyreklik Veriler'!$B$1:$U$47,47,0)</f>
        <v>5842911000</v>
      </c>
      <c r="Q100" s="6">
        <f>HLOOKUP(Q88,'Çeyreklik Veriler'!$B$1:$U$47,47,0)</f>
        <v>4031230000</v>
      </c>
    </row>
    <row r="101" spans="1:17" x14ac:dyDescent="0.25">
      <c r="A101" t="s">
        <v>337</v>
      </c>
      <c r="B101" s="6">
        <f>(B99+B100)-(B97+B98)</f>
        <v>3235760000</v>
      </c>
      <c r="C101" s="6">
        <f t="shared" ref="C101:Q101" si="31">(C99+C100)-(C97+C98)</f>
        <v>753276000</v>
      </c>
      <c r="D101" s="6">
        <f t="shared" si="31"/>
        <v>-253949000</v>
      </c>
      <c r="E101" s="6">
        <f t="shared" si="31"/>
        <v>-729993000</v>
      </c>
      <c r="F101" s="6">
        <f t="shared" si="31"/>
        <v>4031804000</v>
      </c>
      <c r="G101" s="6">
        <f t="shared" si="31"/>
        <v>-57421000</v>
      </c>
      <c r="H101" s="6">
        <f t="shared" si="31"/>
        <v>-823340000</v>
      </c>
      <c r="I101" s="6">
        <f t="shared" si="31"/>
        <v>-3194242000</v>
      </c>
      <c r="J101" s="6">
        <f t="shared" si="31"/>
        <v>1815167000</v>
      </c>
      <c r="K101" s="6">
        <f t="shared" si="31"/>
        <v>2166335000</v>
      </c>
      <c r="L101" s="6">
        <f t="shared" si="31"/>
        <v>-4356839000</v>
      </c>
      <c r="M101" s="6">
        <f t="shared" si="31"/>
        <v>5257633000</v>
      </c>
      <c r="N101" s="6">
        <f t="shared" si="31"/>
        <v>9891627000</v>
      </c>
      <c r="O101" s="6">
        <f t="shared" si="31"/>
        <v>8901436000</v>
      </c>
      <c r="P101" s="6">
        <f t="shared" si="31"/>
        <v>8245828000</v>
      </c>
      <c r="Q101" s="6">
        <f t="shared" si="31"/>
        <v>764778000</v>
      </c>
    </row>
    <row r="102" spans="1:17" x14ac:dyDescent="0.25">
      <c r="A102" s="2" t="s">
        <v>360</v>
      </c>
      <c r="B102" s="30">
        <f>B101/$E$93</f>
        <v>1.0767583310205937</v>
      </c>
      <c r="C102" s="30">
        <f>C101/$E$93</f>
        <v>0.25066636850627633</v>
      </c>
      <c r="D102" s="30">
        <f>D101/$E$93</f>
        <v>-8.4506175181208967E-2</v>
      </c>
      <c r="E102" s="30">
        <f>E101/$E$93</f>
        <v>-0.24291852434566108</v>
      </c>
      <c r="F102" s="39">
        <f>F101/$I$93</f>
        <v>-93.330956735109609</v>
      </c>
      <c r="G102" s="39">
        <f>G101/$I$93</f>
        <v>1.3292205838098103</v>
      </c>
      <c r="H102" s="39">
        <f>H101/$I$93</f>
        <v>19.059237482349129</v>
      </c>
      <c r="I102" s="39">
        <f>I101/$I$93</f>
        <v>73.942498668950677</v>
      </c>
      <c r="J102" s="40">
        <f>J101/$M$93</f>
        <v>0.37178552877580551</v>
      </c>
      <c r="K102" s="40">
        <f>K101/$M$93</f>
        <v>0.44371234353672945</v>
      </c>
      <c r="L102" s="40">
        <f>L101/$M$93</f>
        <v>-0.89237502191591822</v>
      </c>
      <c r="M102" s="40">
        <f>M101/$M$93</f>
        <v>1.0768771496033833</v>
      </c>
      <c r="N102" s="41">
        <f>N101/$Q$93</f>
        <v>0.35576696730204926</v>
      </c>
      <c r="O102" s="41">
        <f t="shared" ref="O102:Q102" si="32">O101/$Q$93</f>
        <v>0.32015328624434425</v>
      </c>
      <c r="P102" s="41">
        <f t="shared" si="32"/>
        <v>0.29657337670075123</v>
      </c>
      <c r="Q102" s="41">
        <f t="shared" si="32"/>
        <v>2.7506369752855281E-2</v>
      </c>
    </row>
    <row r="104" spans="1:17" x14ac:dyDescent="0.25">
      <c r="A104" s="2" t="s">
        <v>370</v>
      </c>
      <c r="B104" s="29">
        <f t="shared" ref="B104:Q104" si="33">B93/B12</f>
        <v>1.4208392143491499</v>
      </c>
      <c r="C104" s="29">
        <f t="shared" si="33"/>
        <v>1.4171809686904961</v>
      </c>
      <c r="D104" s="29">
        <f t="shared" si="33"/>
        <v>0.89483195271276672</v>
      </c>
      <c r="E104" s="29">
        <f t="shared" si="33"/>
        <v>0.8971428759082728</v>
      </c>
      <c r="F104" s="29">
        <f t="shared" si="33"/>
        <v>1.0970358020119964</v>
      </c>
      <c r="G104" s="29">
        <f t="shared" si="33"/>
        <v>0.90390298531147562</v>
      </c>
      <c r="H104" s="29">
        <f t="shared" si="33"/>
        <v>0.61502775696820189</v>
      </c>
      <c r="I104" s="29">
        <f t="shared" si="33"/>
        <v>-8.1763637051898395E-3</v>
      </c>
      <c r="J104" s="29">
        <f t="shared" si="33"/>
        <v>-0.36454435907321581</v>
      </c>
      <c r="K104" s="29">
        <f t="shared" si="33"/>
        <v>-5.2849593542974938E-3</v>
      </c>
      <c r="L104" s="29">
        <f t="shared" si="33"/>
        <v>-0.48053282702264571</v>
      </c>
      <c r="M104" s="29">
        <f t="shared" si="33"/>
        <v>0.51588757080080083</v>
      </c>
      <c r="N104" s="29">
        <f t="shared" si="33"/>
        <v>1.2198556591486474</v>
      </c>
      <c r="O104" s="29">
        <f t="shared" si="33"/>
        <v>1.4573094545172813</v>
      </c>
      <c r="P104" s="29">
        <f t="shared" si="33"/>
        <v>1.9776654068051627</v>
      </c>
      <c r="Q104" s="29">
        <f t="shared" si="33"/>
        <v>1.4094028423295692</v>
      </c>
    </row>
    <row r="105" spans="1:17" x14ac:dyDescent="0.25">
      <c r="A105" s="2" t="s">
        <v>372</v>
      </c>
      <c r="B105" s="29">
        <f>B10/B13</f>
        <v>0.94037016524090111</v>
      </c>
      <c r="C105" s="29">
        <f t="shared" ref="C105:Q105" si="34">C10/C13</f>
        <v>0.88264444518220952</v>
      </c>
      <c r="D105" s="29">
        <f t="shared" si="34"/>
        <v>1.105151857040904</v>
      </c>
      <c r="E105" s="29">
        <f t="shared" si="34"/>
        <v>1.5539130713046669</v>
      </c>
      <c r="F105" s="29">
        <f t="shared" si="34"/>
        <v>1.4677547274278104</v>
      </c>
      <c r="G105" s="29">
        <f t="shared" si="34"/>
        <v>1.3250964783117187</v>
      </c>
      <c r="H105" s="29">
        <f t="shared" si="34"/>
        <v>1.6756017508477474</v>
      </c>
      <c r="I105" s="29">
        <f t="shared" si="34"/>
        <v>1.7098820419950076</v>
      </c>
      <c r="J105" s="29">
        <f t="shared" si="34"/>
        <v>1.8438647841250482</v>
      </c>
      <c r="K105" s="29">
        <f t="shared" si="34"/>
        <v>1.9258126266858633</v>
      </c>
      <c r="L105" s="29">
        <f t="shared" si="34"/>
        <v>1.8761244117955076</v>
      </c>
      <c r="M105" s="29">
        <f t="shared" si="34"/>
        <v>1.2883091655706853</v>
      </c>
      <c r="N105" s="29">
        <f t="shared" si="34"/>
        <v>1.1613205139113418</v>
      </c>
      <c r="O105" s="29">
        <f t="shared" si="34"/>
        <v>1.1006391119296333</v>
      </c>
      <c r="P105" s="29">
        <f t="shared" si="34"/>
        <v>1.2001640096274349</v>
      </c>
      <c r="Q105" s="29">
        <f t="shared" si="34"/>
        <v>1.7486698159546381</v>
      </c>
    </row>
  </sheetData>
  <mergeCells count="8">
    <mergeCell ref="B87:Q87"/>
    <mergeCell ref="K77:L77"/>
    <mergeCell ref="N60:O60"/>
    <mergeCell ref="B3:Q3"/>
    <mergeCell ref="E60:I60"/>
    <mergeCell ref="K60:L60"/>
    <mergeCell ref="K66:L66"/>
    <mergeCell ref="K72:L72"/>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B1081-BC20-4FB2-8F51-13744CE51D61}">
  <dimension ref="A1:C65"/>
  <sheetViews>
    <sheetView workbookViewId="0">
      <selection activeCell="B2" sqref="B2:B65"/>
    </sheetView>
  </sheetViews>
  <sheetFormatPr defaultRowHeight="15" x14ac:dyDescent="0.25"/>
  <cols>
    <col min="1" max="2" width="12.42578125" customWidth="1"/>
  </cols>
  <sheetData>
    <row r="1" spans="1:3" x14ac:dyDescent="0.25">
      <c r="A1" t="s">
        <v>282</v>
      </c>
      <c r="B1" t="s">
        <v>287</v>
      </c>
      <c r="C1" t="s">
        <v>283</v>
      </c>
    </row>
    <row r="2" spans="1:3" x14ac:dyDescent="0.25">
      <c r="A2" s="35">
        <v>43101</v>
      </c>
      <c r="B2" s="35" t="str">
        <f>TEXT(A2,"yyyy/a")</f>
        <v>2018/1</v>
      </c>
      <c r="C2">
        <v>43.41</v>
      </c>
    </row>
    <row r="3" spans="1:3" x14ac:dyDescent="0.25">
      <c r="A3" s="35">
        <v>43132</v>
      </c>
      <c r="B3" s="35" t="str">
        <f t="shared" ref="B3:B65" si="0">TEXT(A3,"yyyy/a")</f>
        <v>2018/2</v>
      </c>
      <c r="C3">
        <v>45.36</v>
      </c>
    </row>
    <row r="4" spans="1:3" x14ac:dyDescent="0.25">
      <c r="A4" s="35">
        <v>43160</v>
      </c>
      <c r="B4" s="35" t="str">
        <f t="shared" si="0"/>
        <v>2018/3</v>
      </c>
      <c r="C4">
        <v>45.07</v>
      </c>
    </row>
    <row r="5" spans="1:3" x14ac:dyDescent="0.25">
      <c r="A5" s="35">
        <v>43191</v>
      </c>
      <c r="B5" s="35" t="str">
        <f t="shared" si="0"/>
        <v>2018/4</v>
      </c>
      <c r="C5">
        <v>42.17</v>
      </c>
    </row>
    <row r="6" spans="1:3" x14ac:dyDescent="0.25">
      <c r="A6" s="35">
        <v>43221</v>
      </c>
      <c r="B6" s="35" t="str">
        <f t="shared" si="0"/>
        <v>2018/5</v>
      </c>
      <c r="C6">
        <v>48.06</v>
      </c>
    </row>
    <row r="7" spans="1:3" x14ac:dyDescent="0.25">
      <c r="A7" s="35">
        <v>43252</v>
      </c>
      <c r="B7" s="35" t="str">
        <f t="shared" si="0"/>
        <v>2018/6</v>
      </c>
      <c r="C7">
        <v>46.03</v>
      </c>
    </row>
    <row r="8" spans="1:3" x14ac:dyDescent="0.25">
      <c r="A8" s="35">
        <v>43282</v>
      </c>
      <c r="B8" s="35" t="str">
        <f t="shared" si="0"/>
        <v>2018/7</v>
      </c>
      <c r="C8">
        <v>44.31</v>
      </c>
    </row>
    <row r="9" spans="1:3" x14ac:dyDescent="0.25">
      <c r="A9" s="35">
        <v>43313</v>
      </c>
      <c r="B9" s="35" t="str">
        <f t="shared" si="0"/>
        <v>2018/8</v>
      </c>
      <c r="C9">
        <v>50.28</v>
      </c>
    </row>
    <row r="10" spans="1:3" x14ac:dyDescent="0.25">
      <c r="A10" s="35">
        <v>43344</v>
      </c>
      <c r="B10" s="35" t="str">
        <f t="shared" si="0"/>
        <v>2018/9</v>
      </c>
      <c r="C10">
        <v>49.41</v>
      </c>
    </row>
    <row r="11" spans="1:3" x14ac:dyDescent="0.25">
      <c r="A11" s="35">
        <v>43374</v>
      </c>
      <c r="B11" s="35" t="str">
        <f t="shared" si="0"/>
        <v>2018/10</v>
      </c>
      <c r="C11">
        <v>45.06</v>
      </c>
    </row>
    <row r="12" spans="1:3" x14ac:dyDescent="0.25">
      <c r="A12" s="35">
        <v>43405</v>
      </c>
      <c r="B12" s="35" t="str">
        <f t="shared" si="0"/>
        <v>2018/11</v>
      </c>
      <c r="C12">
        <v>41.47</v>
      </c>
    </row>
    <row r="13" spans="1:3" x14ac:dyDescent="0.25">
      <c r="A13" s="35">
        <v>43435</v>
      </c>
      <c r="B13" s="35" t="str">
        <f t="shared" si="0"/>
        <v>2018/12</v>
      </c>
      <c r="C13">
        <v>38.369999999999997</v>
      </c>
    </row>
    <row r="14" spans="1:3" x14ac:dyDescent="0.25">
      <c r="A14" s="35">
        <v>43466</v>
      </c>
      <c r="B14" s="35" t="str">
        <f t="shared" si="0"/>
        <v>2019/1</v>
      </c>
      <c r="C14">
        <v>46</v>
      </c>
    </row>
    <row r="15" spans="1:3" x14ac:dyDescent="0.25">
      <c r="A15" s="35">
        <v>43497</v>
      </c>
      <c r="B15" s="35" t="str">
        <f t="shared" si="0"/>
        <v>2019/2</v>
      </c>
      <c r="C15">
        <v>42.55</v>
      </c>
    </row>
    <row r="16" spans="1:3" x14ac:dyDescent="0.25">
      <c r="A16" s="35">
        <v>43525</v>
      </c>
      <c r="B16" s="35" t="str">
        <f t="shared" si="0"/>
        <v>2019/3</v>
      </c>
      <c r="C16">
        <v>37.43</v>
      </c>
    </row>
    <row r="17" spans="1:3" x14ac:dyDescent="0.25">
      <c r="A17" s="35">
        <v>43556</v>
      </c>
      <c r="B17" s="35" t="str">
        <f t="shared" si="0"/>
        <v>2019/4</v>
      </c>
      <c r="C17">
        <v>42.56</v>
      </c>
    </row>
    <row r="18" spans="1:3" x14ac:dyDescent="0.25">
      <c r="A18" s="35">
        <v>43586</v>
      </c>
      <c r="B18" s="35" t="str">
        <f t="shared" si="0"/>
        <v>2019/5</v>
      </c>
      <c r="C18">
        <v>44.46</v>
      </c>
    </row>
    <row r="19" spans="1:3" x14ac:dyDescent="0.25">
      <c r="A19" s="35">
        <v>43617</v>
      </c>
      <c r="B19" s="35" t="str">
        <f t="shared" si="0"/>
        <v>2019/6</v>
      </c>
      <c r="C19">
        <v>50.47</v>
      </c>
    </row>
    <row r="20" spans="1:3" x14ac:dyDescent="0.25">
      <c r="A20" s="35">
        <v>43647</v>
      </c>
      <c r="B20" s="35" t="str">
        <f t="shared" si="0"/>
        <v>2019/7</v>
      </c>
      <c r="C20">
        <v>49.34</v>
      </c>
    </row>
    <row r="21" spans="1:3" x14ac:dyDescent="0.25">
      <c r="A21" s="35">
        <v>43678</v>
      </c>
      <c r="B21" s="35" t="str">
        <f t="shared" si="0"/>
        <v>2019/8</v>
      </c>
      <c r="C21">
        <v>47.44</v>
      </c>
    </row>
    <row r="22" spans="1:3" x14ac:dyDescent="0.25">
      <c r="A22" s="35">
        <v>43709</v>
      </c>
      <c r="B22" s="35" t="str">
        <f t="shared" si="0"/>
        <v>2019/9</v>
      </c>
      <c r="C22">
        <v>47.97</v>
      </c>
    </row>
    <row r="23" spans="1:3" x14ac:dyDescent="0.25">
      <c r="A23" s="35">
        <v>43739</v>
      </c>
      <c r="B23" s="35" t="str">
        <f t="shared" si="0"/>
        <v>2019/10</v>
      </c>
      <c r="C23">
        <v>52.09</v>
      </c>
    </row>
    <row r="24" spans="1:3" x14ac:dyDescent="0.25">
      <c r="A24" s="35">
        <v>43770</v>
      </c>
      <c r="B24" s="35" t="str">
        <f t="shared" si="0"/>
        <v>2019/11</v>
      </c>
      <c r="C24">
        <v>52.47</v>
      </c>
    </row>
    <row r="25" spans="1:3" x14ac:dyDescent="0.25">
      <c r="A25" s="35">
        <v>43800</v>
      </c>
      <c r="B25" s="35" t="str">
        <f t="shared" si="0"/>
        <v>2019/12</v>
      </c>
      <c r="C25">
        <v>58.26</v>
      </c>
    </row>
    <row r="26" spans="1:3" x14ac:dyDescent="0.25">
      <c r="A26" s="35">
        <v>43831</v>
      </c>
      <c r="B26" s="35" t="str">
        <f t="shared" si="0"/>
        <v>2020/1</v>
      </c>
      <c r="C26">
        <v>61.68</v>
      </c>
    </row>
    <row r="27" spans="1:3" x14ac:dyDescent="0.25">
      <c r="A27" s="35">
        <v>43862</v>
      </c>
      <c r="B27" s="35" t="str">
        <f t="shared" si="0"/>
        <v>2020/2</v>
      </c>
      <c r="C27">
        <v>64.14</v>
      </c>
    </row>
    <row r="28" spans="1:3" x14ac:dyDescent="0.25">
      <c r="A28" s="35">
        <v>43891</v>
      </c>
      <c r="B28" s="35" t="str">
        <f t="shared" si="0"/>
        <v>2020/3</v>
      </c>
      <c r="C28">
        <v>43.43</v>
      </c>
    </row>
    <row r="29" spans="1:3" x14ac:dyDescent="0.25">
      <c r="A29" s="35">
        <v>43922</v>
      </c>
      <c r="B29" s="35" t="str">
        <f t="shared" si="0"/>
        <v>2020/4</v>
      </c>
      <c r="C29">
        <v>55.78</v>
      </c>
    </row>
    <row r="30" spans="1:3" x14ac:dyDescent="0.25">
      <c r="A30" s="35">
        <v>43952</v>
      </c>
      <c r="B30" s="35" t="str">
        <f t="shared" si="0"/>
        <v>2020/5</v>
      </c>
      <c r="C30">
        <v>54.51</v>
      </c>
    </row>
    <row r="31" spans="1:3" x14ac:dyDescent="0.25">
      <c r="A31" s="35">
        <v>43983</v>
      </c>
      <c r="B31" s="35" t="str">
        <f t="shared" si="0"/>
        <v>2020/6</v>
      </c>
      <c r="C31">
        <v>62.48</v>
      </c>
    </row>
    <row r="32" spans="1:3" x14ac:dyDescent="0.25">
      <c r="A32" s="35">
        <v>44013</v>
      </c>
      <c r="B32" s="35" t="str">
        <f t="shared" si="0"/>
        <v>2020/7</v>
      </c>
      <c r="C32">
        <v>73.150000000000006</v>
      </c>
    </row>
    <row r="33" spans="1:3" x14ac:dyDescent="0.25">
      <c r="A33" s="35">
        <v>44044</v>
      </c>
      <c r="B33" s="35" t="str">
        <f t="shared" si="0"/>
        <v>2020/8</v>
      </c>
      <c r="C33">
        <v>74.47</v>
      </c>
    </row>
    <row r="34" spans="1:3" x14ac:dyDescent="0.25">
      <c r="A34" s="35">
        <v>44075</v>
      </c>
      <c r="B34" s="35" t="str">
        <f t="shared" si="0"/>
        <v>2020/9</v>
      </c>
      <c r="C34">
        <v>77.11</v>
      </c>
    </row>
    <row r="35" spans="1:3" x14ac:dyDescent="0.25">
      <c r="A35" s="35">
        <v>44105</v>
      </c>
      <c r="B35" s="35" t="str">
        <f t="shared" si="0"/>
        <v>2020/10</v>
      </c>
      <c r="C35">
        <v>95.18</v>
      </c>
    </row>
    <row r="36" spans="1:3" x14ac:dyDescent="0.25">
      <c r="A36" s="35">
        <v>44136</v>
      </c>
      <c r="B36" s="35" t="str">
        <f t="shared" si="0"/>
        <v>2020/11</v>
      </c>
      <c r="C36">
        <v>95</v>
      </c>
    </row>
    <row r="37" spans="1:3" x14ac:dyDescent="0.25">
      <c r="A37" s="35">
        <v>44166</v>
      </c>
      <c r="B37" s="35" t="str">
        <f t="shared" si="0"/>
        <v>2020/12</v>
      </c>
      <c r="C37">
        <v>111.04</v>
      </c>
    </row>
    <row r="38" spans="1:3" x14ac:dyDescent="0.25">
      <c r="A38" s="35">
        <v>44197</v>
      </c>
      <c r="B38" s="35" t="str">
        <f t="shared" si="0"/>
        <v>2021/1</v>
      </c>
      <c r="C38">
        <v>126.81</v>
      </c>
    </row>
    <row r="39" spans="1:3" x14ac:dyDescent="0.25">
      <c r="A39" s="35">
        <v>44228</v>
      </c>
      <c r="B39" s="35" t="str">
        <f t="shared" si="0"/>
        <v>2021/2</v>
      </c>
      <c r="C39">
        <v>154.31</v>
      </c>
    </row>
    <row r="40" spans="1:3" x14ac:dyDescent="0.25">
      <c r="A40" s="35">
        <v>44256</v>
      </c>
      <c r="B40" s="35" t="str">
        <f t="shared" si="0"/>
        <v>2021/3</v>
      </c>
      <c r="C40">
        <v>175.73</v>
      </c>
    </row>
    <row r="41" spans="1:3" x14ac:dyDescent="0.25">
      <c r="A41" s="35">
        <v>44287</v>
      </c>
      <c r="B41" s="35" t="str">
        <f t="shared" si="0"/>
        <v>2021/4</v>
      </c>
      <c r="C41">
        <v>159.82</v>
      </c>
    </row>
    <row r="42" spans="1:3" x14ac:dyDescent="0.25">
      <c r="A42" s="35">
        <v>44317</v>
      </c>
      <c r="B42" s="35" t="str">
        <f t="shared" si="0"/>
        <v>2021/5</v>
      </c>
      <c r="C42">
        <v>158.1</v>
      </c>
    </row>
    <row r="43" spans="1:3" x14ac:dyDescent="0.25">
      <c r="A43" s="35">
        <v>44348</v>
      </c>
      <c r="B43" s="35" t="str">
        <f t="shared" si="0"/>
        <v>2021/6</v>
      </c>
      <c r="C43">
        <v>154.72999999999999</v>
      </c>
    </row>
    <row r="44" spans="1:3" x14ac:dyDescent="0.25">
      <c r="A44" s="35">
        <v>44378</v>
      </c>
      <c r="B44" s="35" t="str">
        <f t="shared" si="0"/>
        <v>2021/7</v>
      </c>
      <c r="C44">
        <v>157.1</v>
      </c>
    </row>
    <row r="45" spans="1:3" x14ac:dyDescent="0.25">
      <c r="A45" s="35">
        <v>44409</v>
      </c>
      <c r="B45" s="35" t="str">
        <f t="shared" si="0"/>
        <v>2021/8</v>
      </c>
      <c r="C45">
        <v>156.19</v>
      </c>
    </row>
    <row r="46" spans="1:3" x14ac:dyDescent="0.25">
      <c r="A46" s="35">
        <v>44440</v>
      </c>
      <c r="B46" s="35" t="str">
        <f t="shared" si="0"/>
        <v>2021/9</v>
      </c>
      <c r="C46">
        <v>151.91999999999999</v>
      </c>
    </row>
    <row r="47" spans="1:3" x14ac:dyDescent="0.25">
      <c r="A47" s="35">
        <v>44470</v>
      </c>
      <c r="B47" s="35" t="str">
        <f t="shared" si="0"/>
        <v>2021/10</v>
      </c>
      <c r="C47">
        <v>168.73</v>
      </c>
    </row>
    <row r="48" spans="1:3" x14ac:dyDescent="0.25">
      <c r="A48" s="35">
        <v>44501</v>
      </c>
      <c r="B48" s="35" t="str">
        <f t="shared" si="0"/>
        <v>2021/11</v>
      </c>
      <c r="C48">
        <v>227.45</v>
      </c>
    </row>
    <row r="49" spans="1:3" x14ac:dyDescent="0.25">
      <c r="A49" s="35">
        <v>44531</v>
      </c>
      <c r="B49" s="35" t="str">
        <f t="shared" si="0"/>
        <v>2021/12</v>
      </c>
      <c r="C49">
        <v>220.14</v>
      </c>
    </row>
    <row r="50" spans="1:3" x14ac:dyDescent="0.25">
      <c r="A50" s="35">
        <v>44562</v>
      </c>
      <c r="B50" s="35" t="str">
        <f t="shared" si="0"/>
        <v>2022/1</v>
      </c>
      <c r="C50">
        <v>229.3</v>
      </c>
    </row>
    <row r="51" spans="1:3" x14ac:dyDescent="0.25">
      <c r="A51" s="35">
        <v>44593</v>
      </c>
      <c r="B51" s="35" t="str">
        <f t="shared" si="0"/>
        <v>2022/2</v>
      </c>
      <c r="C51">
        <v>249.27</v>
      </c>
    </row>
    <row r="52" spans="1:3" x14ac:dyDescent="0.25">
      <c r="A52" s="35">
        <v>44621</v>
      </c>
      <c r="B52" s="35" t="str">
        <f t="shared" si="0"/>
        <v>2022/3</v>
      </c>
      <c r="C52">
        <v>288.02</v>
      </c>
    </row>
    <row r="53" spans="1:3" x14ac:dyDescent="0.25">
      <c r="A53" s="35">
        <v>44652</v>
      </c>
      <c r="B53" s="35" t="str">
        <f t="shared" si="0"/>
        <v>2022/4</v>
      </c>
      <c r="C53">
        <v>288.22000000000003</v>
      </c>
    </row>
    <row r="54" spans="1:3" x14ac:dyDescent="0.25">
      <c r="A54" s="35">
        <v>44682</v>
      </c>
      <c r="B54" s="35" t="str">
        <f t="shared" si="0"/>
        <v>2022/5</v>
      </c>
      <c r="C54">
        <v>298.52999999999997</v>
      </c>
    </row>
    <row r="55" spans="1:3" x14ac:dyDescent="0.25">
      <c r="A55" s="35">
        <v>44713</v>
      </c>
      <c r="B55" s="35" t="str">
        <f t="shared" si="0"/>
        <v>2022/6</v>
      </c>
      <c r="C55">
        <v>257.45999999999998</v>
      </c>
    </row>
    <row r="56" spans="1:3" x14ac:dyDescent="0.25">
      <c r="A56" s="35">
        <v>44743</v>
      </c>
      <c r="B56" s="35" t="str">
        <f t="shared" si="0"/>
        <v>2022/7</v>
      </c>
      <c r="C56">
        <v>291.98</v>
      </c>
    </row>
    <row r="57" spans="1:3" x14ac:dyDescent="0.25">
      <c r="A57" s="35">
        <v>44774</v>
      </c>
      <c r="B57" s="35" t="str">
        <f t="shared" si="0"/>
        <v>2022/8</v>
      </c>
      <c r="C57">
        <v>320.04000000000002</v>
      </c>
    </row>
    <row r="58" spans="1:3" x14ac:dyDescent="0.25">
      <c r="A58" s="35">
        <v>44805</v>
      </c>
      <c r="B58" s="35" t="str">
        <f t="shared" si="0"/>
        <v>2022/9</v>
      </c>
      <c r="C58">
        <v>315.31</v>
      </c>
    </row>
    <row r="59" spans="1:3" x14ac:dyDescent="0.25">
      <c r="A59" s="35">
        <v>44835</v>
      </c>
      <c r="B59" s="35" t="str">
        <f t="shared" si="0"/>
        <v>2022/10</v>
      </c>
      <c r="C59">
        <v>350.02</v>
      </c>
    </row>
    <row r="60" spans="1:3" x14ac:dyDescent="0.25">
      <c r="A60" s="35">
        <v>44866</v>
      </c>
      <c r="B60" s="35" t="str">
        <f t="shared" si="0"/>
        <v>2022/11</v>
      </c>
      <c r="C60">
        <v>434.59</v>
      </c>
    </row>
    <row r="61" spans="1:3" x14ac:dyDescent="0.25">
      <c r="A61" s="35">
        <v>44896</v>
      </c>
      <c r="B61" s="35" t="str">
        <f t="shared" si="0"/>
        <v>2022/12</v>
      </c>
      <c r="C61">
        <v>512.35</v>
      </c>
    </row>
    <row r="62" spans="1:3" x14ac:dyDescent="0.25">
      <c r="A62" s="35">
        <v>44927</v>
      </c>
      <c r="B62" s="35" t="str">
        <f t="shared" si="0"/>
        <v>2023/1</v>
      </c>
      <c r="C62">
        <v>498.28</v>
      </c>
    </row>
    <row r="63" spans="1:3" x14ac:dyDescent="0.25">
      <c r="A63" s="35">
        <v>44958</v>
      </c>
      <c r="B63" s="35" t="str">
        <f t="shared" si="0"/>
        <v>2023/2</v>
      </c>
      <c r="C63">
        <v>538.33000000000004</v>
      </c>
    </row>
    <row r="64" spans="1:3" x14ac:dyDescent="0.25">
      <c r="A64" s="35">
        <v>44986</v>
      </c>
      <c r="B64" s="35" t="str">
        <f t="shared" si="0"/>
        <v>2023/3</v>
      </c>
      <c r="C64">
        <v>584.9</v>
      </c>
    </row>
    <row r="65" spans="1:3" x14ac:dyDescent="0.25">
      <c r="A65" s="35">
        <v>45017</v>
      </c>
      <c r="B65" s="35" t="str">
        <f t="shared" si="0"/>
        <v>2023/4</v>
      </c>
      <c r="C65">
        <v>607.70000000000005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7776F-B608-4D76-A70E-41EA9ABA0BD4}">
  <dimension ref="A1:U149"/>
  <sheetViews>
    <sheetView workbookViewId="0">
      <selection activeCell="A73" sqref="A73"/>
    </sheetView>
  </sheetViews>
  <sheetFormatPr defaultRowHeight="15" x14ac:dyDescent="0.25"/>
  <cols>
    <col min="1" max="1" width="49.140625" customWidth="1"/>
  </cols>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25">
      <c r="A2" t="s">
        <v>21</v>
      </c>
      <c r="B2">
        <v>33385203000</v>
      </c>
      <c r="C2">
        <v>27638441000</v>
      </c>
      <c r="D2">
        <v>23366546000</v>
      </c>
      <c r="E2">
        <v>17086883000</v>
      </c>
      <c r="F2">
        <v>16169548000</v>
      </c>
      <c r="G2">
        <v>12447096000</v>
      </c>
      <c r="H2">
        <v>12321520000</v>
      </c>
      <c r="I2">
        <v>11805984000</v>
      </c>
      <c r="J2">
        <v>12841366000</v>
      </c>
      <c r="K2">
        <v>11094444000</v>
      </c>
      <c r="L2">
        <v>8074997000</v>
      </c>
      <c r="M2">
        <v>7445696000</v>
      </c>
      <c r="N2">
        <v>6969685000</v>
      </c>
      <c r="O2">
        <v>6626609000</v>
      </c>
      <c r="P2">
        <v>7721795000</v>
      </c>
      <c r="Q2">
        <v>7029801000</v>
      </c>
      <c r="R2">
        <v>7088297000</v>
      </c>
      <c r="S2">
        <v>8764426000</v>
      </c>
      <c r="T2">
        <v>7440652000</v>
      </c>
      <c r="U2">
        <v>7069873000</v>
      </c>
    </row>
    <row r="3" spans="1:21" x14ac:dyDescent="0.25">
      <c r="A3" t="s">
        <v>22</v>
      </c>
      <c r="B3">
        <v>12019197000</v>
      </c>
      <c r="C3">
        <v>8575483000</v>
      </c>
      <c r="D3">
        <v>6442442000</v>
      </c>
      <c r="E3">
        <v>4300717000</v>
      </c>
      <c r="F3">
        <v>4214726000</v>
      </c>
      <c r="G3">
        <v>3705606000</v>
      </c>
      <c r="H3">
        <v>2415455000</v>
      </c>
      <c r="I3">
        <v>3006868000</v>
      </c>
      <c r="J3">
        <v>4249809000</v>
      </c>
      <c r="K3">
        <v>4018368000</v>
      </c>
      <c r="L3">
        <v>2081829000</v>
      </c>
      <c r="M3">
        <v>2796130000</v>
      </c>
      <c r="N3">
        <v>2825487000</v>
      </c>
      <c r="O3">
        <v>2019881000</v>
      </c>
      <c r="P3">
        <v>2714382000</v>
      </c>
      <c r="Q3">
        <v>2278398000</v>
      </c>
      <c r="R3">
        <v>1981012000</v>
      </c>
      <c r="S3">
        <v>1913631000</v>
      </c>
      <c r="T3">
        <v>2385104000</v>
      </c>
      <c r="U3">
        <v>2610101000</v>
      </c>
    </row>
    <row r="4" spans="1:21" x14ac:dyDescent="0.25">
      <c r="A4" t="s">
        <v>23</v>
      </c>
      <c r="B4">
        <v>0</v>
      </c>
      <c r="C4">
        <v>181000</v>
      </c>
      <c r="D4">
        <v>181000</v>
      </c>
      <c r="E4">
        <v>429000</v>
      </c>
      <c r="F4">
        <v>240000</v>
      </c>
      <c r="G4">
        <v>119000</v>
      </c>
      <c r="H4">
        <v>636000</v>
      </c>
      <c r="I4">
        <v>677000</v>
      </c>
      <c r="J4">
        <v>1002000</v>
      </c>
      <c r="K4">
        <v>484000</v>
      </c>
      <c r="L4">
        <v>339000</v>
      </c>
      <c r="M4">
        <v>568000</v>
      </c>
      <c r="N4">
        <v>568000</v>
      </c>
      <c r="O4">
        <v>248083000</v>
      </c>
      <c r="P4">
        <v>394570000</v>
      </c>
      <c r="Q4">
        <v>770324000</v>
      </c>
      <c r="R4">
        <v>404170000</v>
      </c>
      <c r="S4">
        <v>761905000</v>
      </c>
      <c r="T4">
        <v>517000</v>
      </c>
      <c r="U4">
        <v>543000</v>
      </c>
    </row>
    <row r="5" spans="1:21" x14ac:dyDescent="0.25">
      <c r="A5" t="s">
        <v>24</v>
      </c>
      <c r="B5">
        <v>14955752000</v>
      </c>
      <c r="C5">
        <v>11293651000</v>
      </c>
      <c r="D5">
        <v>10870711000</v>
      </c>
      <c r="E5">
        <v>7385028000</v>
      </c>
      <c r="F5">
        <v>7142346000</v>
      </c>
      <c r="G5">
        <v>4776355000</v>
      </c>
      <c r="H5">
        <v>5924090000</v>
      </c>
      <c r="I5">
        <v>5064428000</v>
      </c>
      <c r="J5">
        <v>5493012000</v>
      </c>
      <c r="K5">
        <v>4419322000</v>
      </c>
      <c r="L5">
        <v>3727868000</v>
      </c>
      <c r="M5">
        <v>2107553000</v>
      </c>
      <c r="N5">
        <v>2143822000</v>
      </c>
      <c r="O5">
        <v>2150239000</v>
      </c>
      <c r="P5">
        <v>2232499000</v>
      </c>
      <c r="Q5">
        <v>1743225000</v>
      </c>
      <c r="R5">
        <v>2097344000</v>
      </c>
      <c r="S5">
        <v>2564849000</v>
      </c>
      <c r="T5">
        <v>1914732000</v>
      </c>
      <c r="U5">
        <v>1633997000</v>
      </c>
    </row>
    <row r="6" spans="1:21" x14ac:dyDescent="0.25">
      <c r="A6" t="s">
        <v>25</v>
      </c>
      <c r="B6">
        <v>3033002000</v>
      </c>
      <c r="C6">
        <v>2601782000</v>
      </c>
      <c r="D6">
        <v>2442374000</v>
      </c>
      <c r="E6">
        <v>2215765000</v>
      </c>
      <c r="F6">
        <v>2146646000</v>
      </c>
      <c r="G6">
        <v>2056604000</v>
      </c>
      <c r="H6">
        <v>1934989000</v>
      </c>
      <c r="I6">
        <v>1830018000</v>
      </c>
      <c r="J6">
        <v>1400368000</v>
      </c>
      <c r="K6">
        <v>1185894000</v>
      </c>
      <c r="L6">
        <v>1021832000</v>
      </c>
      <c r="M6">
        <v>1042554000</v>
      </c>
      <c r="N6">
        <v>1087894000</v>
      </c>
      <c r="O6">
        <v>1005935000</v>
      </c>
      <c r="P6">
        <v>1146121000</v>
      </c>
      <c r="Q6">
        <v>1204054000</v>
      </c>
      <c r="R6">
        <v>1277299000</v>
      </c>
      <c r="S6">
        <v>1272079000</v>
      </c>
      <c r="T6">
        <v>1337764000</v>
      </c>
      <c r="U6">
        <v>1333756000</v>
      </c>
    </row>
    <row r="7" spans="1:21" x14ac:dyDescent="0.25">
      <c r="A7" t="s">
        <v>26</v>
      </c>
      <c r="B7">
        <v>285000</v>
      </c>
      <c r="C7">
        <v>4378000</v>
      </c>
      <c r="D7">
        <v>3157000</v>
      </c>
      <c r="E7">
        <v>1806000</v>
      </c>
      <c r="F7">
        <v>690000</v>
      </c>
      <c r="G7">
        <v>2165000</v>
      </c>
      <c r="H7">
        <v>2455000</v>
      </c>
      <c r="I7">
        <v>3638000</v>
      </c>
      <c r="J7">
        <v>101000</v>
      </c>
      <c r="K7">
        <v>2830000</v>
      </c>
      <c r="L7">
        <v>4234000</v>
      </c>
      <c r="M7">
        <v>3215000</v>
      </c>
      <c r="N7">
        <v>506000</v>
      </c>
      <c r="O7">
        <v>8917000</v>
      </c>
      <c r="P7">
        <v>7054000</v>
      </c>
      <c r="Q7">
        <v>5178000</v>
      </c>
      <c r="R7">
        <v>1385000</v>
      </c>
      <c r="S7">
        <v>3242000</v>
      </c>
      <c r="T7">
        <v>4746000</v>
      </c>
      <c r="U7">
        <v>1244000</v>
      </c>
    </row>
    <row r="8" spans="1:21" x14ac:dyDescent="0.25">
      <c r="A8" t="s">
        <v>27</v>
      </c>
      <c r="B8">
        <v>0</v>
      </c>
      <c r="C8">
        <v>0</v>
      </c>
      <c r="D8">
        <v>0</v>
      </c>
      <c r="E8">
        <v>0</v>
      </c>
      <c r="F8">
        <v>0</v>
      </c>
      <c r="G8">
        <v>0</v>
      </c>
      <c r="H8">
        <v>0</v>
      </c>
      <c r="I8">
        <v>0</v>
      </c>
      <c r="J8">
        <v>0</v>
      </c>
      <c r="K8">
        <v>0</v>
      </c>
      <c r="L8">
        <v>0</v>
      </c>
      <c r="M8">
        <v>0</v>
      </c>
      <c r="N8">
        <v>0</v>
      </c>
      <c r="O8">
        <v>0</v>
      </c>
      <c r="P8">
        <v>0</v>
      </c>
      <c r="Q8">
        <v>0</v>
      </c>
      <c r="R8">
        <v>0</v>
      </c>
      <c r="S8">
        <v>0</v>
      </c>
      <c r="T8">
        <v>0</v>
      </c>
      <c r="U8">
        <v>0</v>
      </c>
    </row>
    <row r="9" spans="1:21" x14ac:dyDescent="0.25">
      <c r="A9" t="s">
        <v>28</v>
      </c>
      <c r="B9">
        <v>3260010000</v>
      </c>
      <c r="C9">
        <v>5023866000</v>
      </c>
      <c r="D9">
        <v>3509656000</v>
      </c>
      <c r="E9">
        <v>3057795000</v>
      </c>
      <c r="F9">
        <v>2379087000</v>
      </c>
      <c r="G9">
        <v>1819109000</v>
      </c>
      <c r="H9">
        <v>1965369000</v>
      </c>
      <c r="I9">
        <v>1816619000</v>
      </c>
      <c r="J9">
        <v>1523966000</v>
      </c>
      <c r="K9">
        <v>1351300000</v>
      </c>
      <c r="L9">
        <v>1168756000</v>
      </c>
      <c r="M9">
        <v>1275220000</v>
      </c>
      <c r="N9">
        <v>749130000</v>
      </c>
      <c r="O9">
        <v>983075000</v>
      </c>
      <c r="P9">
        <v>1079722000</v>
      </c>
      <c r="Q9">
        <v>878420000</v>
      </c>
      <c r="R9">
        <v>1076671000</v>
      </c>
      <c r="S9">
        <v>1712064000</v>
      </c>
      <c r="T9">
        <v>1418362000</v>
      </c>
      <c r="U9">
        <v>1113869000</v>
      </c>
    </row>
    <row r="10" spans="1:21" x14ac:dyDescent="0.25">
      <c r="A10" t="s">
        <v>29</v>
      </c>
      <c r="B10">
        <v>0</v>
      </c>
      <c r="C10">
        <v>0</v>
      </c>
      <c r="D10">
        <v>0</v>
      </c>
      <c r="E10">
        <v>0</v>
      </c>
      <c r="F10">
        <v>0</v>
      </c>
      <c r="G10">
        <v>0</v>
      </c>
      <c r="H10">
        <v>0</v>
      </c>
      <c r="I10">
        <v>0</v>
      </c>
      <c r="J10">
        <v>0</v>
      </c>
      <c r="K10">
        <v>0</v>
      </c>
      <c r="L10">
        <v>0</v>
      </c>
      <c r="M10">
        <v>0</v>
      </c>
      <c r="N10">
        <v>0</v>
      </c>
      <c r="O10">
        <v>0</v>
      </c>
      <c r="P10">
        <v>0</v>
      </c>
      <c r="Q10">
        <v>0</v>
      </c>
      <c r="R10">
        <v>0</v>
      </c>
      <c r="S10">
        <v>0</v>
      </c>
      <c r="T10">
        <v>0</v>
      </c>
      <c r="U10">
        <v>0</v>
      </c>
    </row>
    <row r="11" spans="1:21" x14ac:dyDescent="0.25">
      <c r="A11" t="s">
        <v>30</v>
      </c>
      <c r="B11">
        <v>116957000</v>
      </c>
      <c r="C11">
        <v>139100000</v>
      </c>
      <c r="D11">
        <v>98025000</v>
      </c>
      <c r="E11">
        <v>125343000</v>
      </c>
      <c r="F11">
        <v>285813000</v>
      </c>
      <c r="G11">
        <v>87138000</v>
      </c>
      <c r="H11">
        <v>78526000</v>
      </c>
      <c r="I11">
        <v>83736000</v>
      </c>
      <c r="J11">
        <v>173108000</v>
      </c>
      <c r="K11">
        <v>116246000</v>
      </c>
      <c r="L11">
        <v>70139000</v>
      </c>
      <c r="M11">
        <v>220456000</v>
      </c>
      <c r="N11">
        <v>162278000</v>
      </c>
      <c r="O11">
        <v>210479000</v>
      </c>
      <c r="P11">
        <v>147447000</v>
      </c>
      <c r="Q11">
        <v>150202000</v>
      </c>
      <c r="R11">
        <v>250416000</v>
      </c>
      <c r="S11">
        <v>536656000</v>
      </c>
      <c r="T11">
        <v>379427000</v>
      </c>
      <c r="U11">
        <v>376363000</v>
      </c>
    </row>
    <row r="12" spans="1:21" x14ac:dyDescent="0.25">
      <c r="A12" t="s">
        <v>31</v>
      </c>
      <c r="B12">
        <v>33385203000</v>
      </c>
      <c r="C12">
        <v>27638441000</v>
      </c>
      <c r="D12">
        <v>23366546000</v>
      </c>
      <c r="E12">
        <v>17086883000</v>
      </c>
      <c r="F12">
        <v>16169548000</v>
      </c>
      <c r="G12">
        <v>12447096000</v>
      </c>
      <c r="H12">
        <v>12321520000</v>
      </c>
      <c r="I12">
        <v>11805984000</v>
      </c>
      <c r="J12">
        <v>12841366000</v>
      </c>
      <c r="K12">
        <v>11094444000</v>
      </c>
      <c r="L12">
        <v>8074997000</v>
      </c>
      <c r="M12">
        <v>7445696000</v>
      </c>
      <c r="N12">
        <v>6969685000</v>
      </c>
      <c r="O12">
        <v>6626609000</v>
      </c>
      <c r="P12">
        <v>7721795000</v>
      </c>
      <c r="Q12">
        <v>7029801000</v>
      </c>
      <c r="R12">
        <v>7088297000</v>
      </c>
      <c r="S12">
        <v>8764426000</v>
      </c>
      <c r="T12">
        <v>7440652000</v>
      </c>
      <c r="U12">
        <v>7069873000</v>
      </c>
    </row>
    <row r="13" spans="1:21" x14ac:dyDescent="0.25">
      <c r="A13" t="s">
        <v>32</v>
      </c>
      <c r="B13">
        <v>0</v>
      </c>
      <c r="C13">
        <v>0</v>
      </c>
      <c r="D13">
        <v>0</v>
      </c>
      <c r="E13">
        <v>0</v>
      </c>
      <c r="F13">
        <v>0</v>
      </c>
      <c r="G13">
        <v>0</v>
      </c>
      <c r="H13">
        <v>0</v>
      </c>
      <c r="I13">
        <v>0</v>
      </c>
      <c r="J13">
        <v>0</v>
      </c>
      <c r="K13">
        <v>0</v>
      </c>
      <c r="L13">
        <v>0</v>
      </c>
      <c r="M13">
        <v>0</v>
      </c>
      <c r="N13">
        <v>0</v>
      </c>
      <c r="O13">
        <v>0</v>
      </c>
      <c r="P13">
        <v>0</v>
      </c>
      <c r="Q13">
        <v>0</v>
      </c>
      <c r="R13">
        <v>0</v>
      </c>
      <c r="S13">
        <v>0</v>
      </c>
      <c r="T13">
        <v>0</v>
      </c>
      <c r="U13">
        <v>0</v>
      </c>
    </row>
    <row r="14" spans="1:21" x14ac:dyDescent="0.25">
      <c r="A14" t="s">
        <v>33</v>
      </c>
      <c r="B14">
        <v>6990612000</v>
      </c>
      <c r="C14">
        <v>6761046000</v>
      </c>
      <c r="D14">
        <v>7136874000</v>
      </c>
      <c r="E14">
        <v>7253105000</v>
      </c>
      <c r="F14">
        <v>7303793000</v>
      </c>
      <c r="G14">
        <v>7251648000</v>
      </c>
      <c r="H14">
        <v>7212566000</v>
      </c>
      <c r="I14">
        <v>7112126000</v>
      </c>
      <c r="J14">
        <v>6634255000</v>
      </c>
      <c r="K14">
        <v>6352711000</v>
      </c>
      <c r="L14">
        <v>5871715000</v>
      </c>
      <c r="M14">
        <v>5845555000</v>
      </c>
      <c r="N14">
        <v>5839602000</v>
      </c>
      <c r="O14">
        <v>5463211000</v>
      </c>
      <c r="P14">
        <v>5626058000</v>
      </c>
      <c r="Q14">
        <v>5709595000</v>
      </c>
      <c r="R14">
        <v>5913502000</v>
      </c>
      <c r="S14">
        <v>6089158000</v>
      </c>
      <c r="T14">
        <v>6072684000</v>
      </c>
      <c r="U14">
        <v>6085979000</v>
      </c>
    </row>
    <row r="15" spans="1:21" x14ac:dyDescent="0.25">
      <c r="A15" t="s">
        <v>24</v>
      </c>
      <c r="B15">
        <v>0</v>
      </c>
      <c r="C15">
        <v>0</v>
      </c>
      <c r="D15">
        <v>0</v>
      </c>
      <c r="E15">
        <v>0</v>
      </c>
      <c r="F15">
        <v>0</v>
      </c>
      <c r="G15">
        <v>0</v>
      </c>
      <c r="H15">
        <v>0</v>
      </c>
      <c r="I15">
        <v>0</v>
      </c>
      <c r="J15">
        <v>0</v>
      </c>
      <c r="K15">
        <v>0</v>
      </c>
      <c r="L15">
        <v>0</v>
      </c>
      <c r="M15">
        <v>0</v>
      </c>
      <c r="N15">
        <v>0</v>
      </c>
      <c r="O15">
        <v>0</v>
      </c>
      <c r="P15">
        <v>0</v>
      </c>
      <c r="Q15">
        <v>0</v>
      </c>
      <c r="R15">
        <v>0</v>
      </c>
      <c r="S15">
        <v>0</v>
      </c>
      <c r="T15">
        <v>0</v>
      </c>
      <c r="U15">
        <v>0</v>
      </c>
    </row>
    <row r="16" spans="1:21" x14ac:dyDescent="0.25">
      <c r="A16" t="s">
        <v>25</v>
      </c>
      <c r="B16">
        <v>1775584000</v>
      </c>
      <c r="C16">
        <v>1819952000</v>
      </c>
      <c r="D16">
        <v>2327766000</v>
      </c>
      <c r="E16">
        <v>2344354000</v>
      </c>
      <c r="F16">
        <v>2235883000</v>
      </c>
      <c r="G16">
        <v>2114564000</v>
      </c>
      <c r="H16">
        <v>1926429000</v>
      </c>
      <c r="I16">
        <v>1770840000</v>
      </c>
      <c r="J16">
        <v>1459500000</v>
      </c>
      <c r="K16">
        <v>1206412000</v>
      </c>
      <c r="L16">
        <v>935378000</v>
      </c>
      <c r="M16">
        <v>909444000</v>
      </c>
      <c r="N16">
        <v>928535000</v>
      </c>
      <c r="O16">
        <v>727663000</v>
      </c>
      <c r="P16">
        <v>840970000</v>
      </c>
      <c r="Q16">
        <v>900731000</v>
      </c>
      <c r="R16">
        <v>1015830000</v>
      </c>
      <c r="S16">
        <v>1144087000</v>
      </c>
      <c r="T16">
        <v>1226787000</v>
      </c>
      <c r="U16">
        <v>1192697000</v>
      </c>
    </row>
    <row r="17" spans="1:21" x14ac:dyDescent="0.25">
      <c r="A17" t="s">
        <v>26</v>
      </c>
      <c r="B17">
        <v>460000</v>
      </c>
      <c r="C17">
        <v>453000</v>
      </c>
      <c r="D17">
        <v>389000</v>
      </c>
      <c r="E17">
        <v>355000</v>
      </c>
      <c r="F17">
        <v>332000</v>
      </c>
      <c r="G17">
        <v>284000</v>
      </c>
      <c r="H17">
        <v>282000</v>
      </c>
      <c r="I17">
        <v>275000</v>
      </c>
      <c r="J17">
        <v>234000</v>
      </c>
      <c r="K17">
        <v>241000</v>
      </c>
      <c r="L17">
        <v>225000</v>
      </c>
      <c r="M17">
        <v>219000</v>
      </c>
      <c r="N17">
        <v>209000</v>
      </c>
      <c r="O17">
        <v>198000</v>
      </c>
      <c r="P17">
        <v>200000</v>
      </c>
      <c r="Q17">
        <v>198000</v>
      </c>
      <c r="R17">
        <v>173000</v>
      </c>
      <c r="S17">
        <v>179000</v>
      </c>
      <c r="T17">
        <v>160000</v>
      </c>
      <c r="U17">
        <v>147000</v>
      </c>
    </row>
    <row r="18" spans="1:21" x14ac:dyDescent="0.25">
      <c r="A18" t="s">
        <v>27</v>
      </c>
      <c r="B18">
        <v>0</v>
      </c>
      <c r="C18">
        <v>0</v>
      </c>
      <c r="D18">
        <v>0</v>
      </c>
      <c r="E18">
        <v>0</v>
      </c>
      <c r="F18">
        <v>0</v>
      </c>
      <c r="G18">
        <v>0</v>
      </c>
      <c r="H18">
        <v>0</v>
      </c>
      <c r="I18">
        <v>0</v>
      </c>
      <c r="J18">
        <v>0</v>
      </c>
      <c r="K18">
        <v>0</v>
      </c>
      <c r="L18">
        <v>0</v>
      </c>
      <c r="M18">
        <v>0</v>
      </c>
      <c r="N18">
        <v>0</v>
      </c>
      <c r="O18">
        <v>0</v>
      </c>
      <c r="P18">
        <v>0</v>
      </c>
      <c r="Q18">
        <v>0</v>
      </c>
      <c r="R18">
        <v>0</v>
      </c>
      <c r="S18">
        <v>0</v>
      </c>
      <c r="T18">
        <v>0</v>
      </c>
      <c r="U18">
        <v>0</v>
      </c>
    </row>
    <row r="19" spans="1:21" x14ac:dyDescent="0.25">
      <c r="A19" t="s">
        <v>23</v>
      </c>
      <c r="B19">
        <v>0</v>
      </c>
      <c r="C19">
        <v>0</v>
      </c>
      <c r="D19">
        <v>0</v>
      </c>
      <c r="E19">
        <v>0</v>
      </c>
      <c r="F19">
        <v>0</v>
      </c>
      <c r="G19">
        <v>0</v>
      </c>
      <c r="H19">
        <v>0</v>
      </c>
      <c r="I19">
        <v>0</v>
      </c>
      <c r="J19">
        <v>0</v>
      </c>
      <c r="K19">
        <v>0</v>
      </c>
      <c r="L19">
        <v>0</v>
      </c>
      <c r="M19">
        <v>0</v>
      </c>
      <c r="N19">
        <v>0</v>
      </c>
      <c r="O19">
        <v>0</v>
      </c>
      <c r="P19">
        <v>0</v>
      </c>
      <c r="Q19">
        <v>0</v>
      </c>
      <c r="R19">
        <v>0</v>
      </c>
      <c r="S19">
        <v>0</v>
      </c>
      <c r="T19">
        <v>0</v>
      </c>
      <c r="U19">
        <v>0</v>
      </c>
    </row>
    <row r="20" spans="1:21" x14ac:dyDescent="0.25">
      <c r="A20" t="s">
        <v>34</v>
      </c>
      <c r="B20">
        <v>0</v>
      </c>
      <c r="C20">
        <v>0</v>
      </c>
      <c r="D20">
        <v>0</v>
      </c>
      <c r="E20">
        <v>0</v>
      </c>
      <c r="F20">
        <v>0</v>
      </c>
      <c r="G20">
        <v>0</v>
      </c>
      <c r="H20">
        <v>0</v>
      </c>
      <c r="I20">
        <v>0</v>
      </c>
      <c r="J20">
        <v>0</v>
      </c>
      <c r="K20">
        <v>0</v>
      </c>
      <c r="L20">
        <v>0</v>
      </c>
      <c r="M20">
        <v>0</v>
      </c>
      <c r="N20">
        <v>0</v>
      </c>
      <c r="O20">
        <v>0</v>
      </c>
      <c r="P20">
        <v>0</v>
      </c>
      <c r="Q20">
        <v>0</v>
      </c>
      <c r="R20">
        <v>0</v>
      </c>
      <c r="S20">
        <v>0</v>
      </c>
      <c r="T20">
        <v>0</v>
      </c>
      <c r="U20">
        <v>0</v>
      </c>
    </row>
    <row r="21" spans="1:21" x14ac:dyDescent="0.25">
      <c r="A21" t="s">
        <v>29</v>
      </c>
      <c r="B21">
        <v>0</v>
      </c>
      <c r="C21">
        <v>0</v>
      </c>
      <c r="D21">
        <v>0</v>
      </c>
      <c r="E21">
        <v>0</v>
      </c>
      <c r="F21">
        <v>0</v>
      </c>
      <c r="G21">
        <v>0</v>
      </c>
      <c r="H21">
        <v>0</v>
      </c>
      <c r="I21">
        <v>0</v>
      </c>
      <c r="J21">
        <v>0</v>
      </c>
      <c r="K21">
        <v>0</v>
      </c>
      <c r="L21">
        <v>0</v>
      </c>
      <c r="M21">
        <v>0</v>
      </c>
      <c r="N21">
        <v>0</v>
      </c>
      <c r="O21">
        <v>0</v>
      </c>
      <c r="P21">
        <v>0</v>
      </c>
      <c r="Q21">
        <v>0</v>
      </c>
      <c r="R21">
        <v>0</v>
      </c>
      <c r="S21">
        <v>0</v>
      </c>
      <c r="T21">
        <v>0</v>
      </c>
      <c r="U21">
        <v>0</v>
      </c>
    </row>
    <row r="22" spans="1:21" x14ac:dyDescent="0.25">
      <c r="A22" t="s">
        <v>35</v>
      </c>
      <c r="B22">
        <v>98095000</v>
      </c>
      <c r="C22">
        <v>69285000</v>
      </c>
      <c r="D22">
        <v>69285000</v>
      </c>
      <c r="E22">
        <v>69285000</v>
      </c>
      <c r="F22">
        <v>69285000</v>
      </c>
      <c r="G22">
        <v>69000000</v>
      </c>
      <c r="H22">
        <v>69000000</v>
      </c>
      <c r="I22">
        <v>69000000</v>
      </c>
      <c r="J22">
        <v>69000000</v>
      </c>
      <c r="K22">
        <v>66000000</v>
      </c>
      <c r="L22">
        <v>66000000</v>
      </c>
      <c r="M22">
        <v>66000000</v>
      </c>
      <c r="N22">
        <v>66000000</v>
      </c>
      <c r="O22">
        <v>60500000</v>
      </c>
      <c r="P22">
        <v>60500000</v>
      </c>
      <c r="Q22">
        <v>60500000</v>
      </c>
      <c r="R22">
        <v>60500000</v>
      </c>
      <c r="S22">
        <v>31175000</v>
      </c>
      <c r="T22">
        <v>31175000</v>
      </c>
      <c r="U22">
        <v>31175000</v>
      </c>
    </row>
    <row r="23" spans="1:21" x14ac:dyDescent="0.25">
      <c r="A23" t="s">
        <v>28</v>
      </c>
      <c r="B23">
        <v>0</v>
      </c>
      <c r="C23">
        <v>0</v>
      </c>
      <c r="D23">
        <v>0</v>
      </c>
      <c r="E23">
        <v>0</v>
      </c>
      <c r="F23">
        <v>0</v>
      </c>
      <c r="G23">
        <v>0</v>
      </c>
      <c r="H23">
        <v>0</v>
      </c>
      <c r="I23">
        <v>0</v>
      </c>
      <c r="J23">
        <v>0</v>
      </c>
      <c r="K23">
        <v>0</v>
      </c>
      <c r="L23">
        <v>0</v>
      </c>
      <c r="M23">
        <v>0</v>
      </c>
      <c r="N23">
        <v>0</v>
      </c>
      <c r="O23">
        <v>0</v>
      </c>
      <c r="P23">
        <v>0</v>
      </c>
      <c r="Q23">
        <v>0</v>
      </c>
      <c r="R23">
        <v>0</v>
      </c>
      <c r="S23">
        <v>0</v>
      </c>
      <c r="T23">
        <v>0</v>
      </c>
      <c r="U23">
        <v>0</v>
      </c>
    </row>
    <row r="24" spans="1:21" x14ac:dyDescent="0.25">
      <c r="A24" t="s">
        <v>36</v>
      </c>
      <c r="B24">
        <v>15938000</v>
      </c>
      <c r="C24">
        <v>12229000</v>
      </c>
      <c r="D24">
        <v>13033000</v>
      </c>
      <c r="E24">
        <v>8838000</v>
      </c>
      <c r="F24">
        <v>5088000</v>
      </c>
      <c r="G24">
        <v>6469000</v>
      </c>
      <c r="H24">
        <v>7849000</v>
      </c>
      <c r="I24">
        <v>9229000</v>
      </c>
      <c r="J24">
        <v>9826000</v>
      </c>
      <c r="K24">
        <v>11147000</v>
      </c>
      <c r="L24">
        <v>12469000</v>
      </c>
      <c r="M24">
        <v>9425000</v>
      </c>
      <c r="N24">
        <v>10639000</v>
      </c>
      <c r="O24">
        <v>11728000</v>
      </c>
      <c r="P24">
        <v>12817000</v>
      </c>
      <c r="Q24">
        <v>13906000</v>
      </c>
      <c r="R24">
        <v>0</v>
      </c>
      <c r="S24">
        <v>0</v>
      </c>
      <c r="T24">
        <v>0</v>
      </c>
      <c r="U24">
        <v>0</v>
      </c>
    </row>
    <row r="25" spans="1:21" x14ac:dyDescent="0.25">
      <c r="A25" t="s">
        <v>37</v>
      </c>
      <c r="B25">
        <v>1740643000</v>
      </c>
      <c r="C25">
        <v>1774535000</v>
      </c>
      <c r="D25">
        <v>1808145000</v>
      </c>
      <c r="E25">
        <v>1823306000</v>
      </c>
      <c r="F25">
        <v>1903864000</v>
      </c>
      <c r="G25">
        <v>1935519000</v>
      </c>
      <c r="H25">
        <v>1974925000</v>
      </c>
      <c r="I25">
        <v>2035449000</v>
      </c>
      <c r="J25">
        <v>2037483000</v>
      </c>
      <c r="K25">
        <v>1980759000</v>
      </c>
      <c r="L25">
        <v>1997157000</v>
      </c>
      <c r="M25">
        <v>2035668000</v>
      </c>
      <c r="N25">
        <v>2112220000</v>
      </c>
      <c r="O25">
        <v>2152080000</v>
      </c>
      <c r="P25">
        <v>2211174000</v>
      </c>
      <c r="Q25">
        <v>2204753000</v>
      </c>
      <c r="R25">
        <v>2247601000</v>
      </c>
      <c r="S25">
        <v>2251383000</v>
      </c>
      <c r="T25">
        <v>2262291000</v>
      </c>
      <c r="U25">
        <v>2309859000</v>
      </c>
    </row>
    <row r="26" spans="1:21" x14ac:dyDescent="0.25">
      <c r="A26" t="s">
        <v>38</v>
      </c>
      <c r="B26">
        <v>0</v>
      </c>
      <c r="C26">
        <v>0</v>
      </c>
      <c r="D26">
        <v>0</v>
      </c>
      <c r="E26">
        <v>0</v>
      </c>
      <c r="F26">
        <v>0</v>
      </c>
      <c r="G26">
        <v>0</v>
      </c>
      <c r="H26">
        <v>0</v>
      </c>
      <c r="I26">
        <v>0</v>
      </c>
      <c r="J26">
        <v>0</v>
      </c>
      <c r="K26">
        <v>0</v>
      </c>
      <c r="L26">
        <v>0</v>
      </c>
      <c r="M26">
        <v>0</v>
      </c>
      <c r="N26">
        <v>0</v>
      </c>
      <c r="O26">
        <v>0</v>
      </c>
      <c r="P26">
        <v>0</v>
      </c>
      <c r="Q26">
        <v>0</v>
      </c>
      <c r="R26">
        <v>0</v>
      </c>
      <c r="S26">
        <v>0</v>
      </c>
      <c r="T26">
        <v>0</v>
      </c>
      <c r="U26">
        <v>0</v>
      </c>
    </row>
    <row r="27" spans="1:21" x14ac:dyDescent="0.25">
      <c r="A27" t="s">
        <v>39</v>
      </c>
      <c r="B27">
        <v>1512970000</v>
      </c>
      <c r="C27">
        <v>1637968000</v>
      </c>
      <c r="D27">
        <v>1769619000</v>
      </c>
      <c r="E27">
        <v>1893239000</v>
      </c>
      <c r="F27">
        <v>1920856000</v>
      </c>
      <c r="G27">
        <v>1963598000</v>
      </c>
      <c r="H27">
        <v>2006039000</v>
      </c>
      <c r="I27">
        <v>2019845000</v>
      </c>
      <c r="J27">
        <v>1880284000</v>
      </c>
      <c r="K27">
        <v>1831977000</v>
      </c>
      <c r="L27">
        <v>1711774000</v>
      </c>
      <c r="M27">
        <v>1706378000</v>
      </c>
      <c r="N27">
        <v>1658775000</v>
      </c>
      <c r="O27">
        <v>1516932000</v>
      </c>
      <c r="P27">
        <v>1497626000</v>
      </c>
      <c r="Q27">
        <v>1516968000</v>
      </c>
      <c r="R27">
        <v>1579461000</v>
      </c>
      <c r="S27">
        <v>1576363000</v>
      </c>
      <c r="T27">
        <v>1614320000</v>
      </c>
      <c r="U27">
        <v>1660039000</v>
      </c>
    </row>
    <row r="28" spans="1:21" x14ac:dyDescent="0.25">
      <c r="A28" t="s">
        <v>40</v>
      </c>
      <c r="B28">
        <v>1818545000</v>
      </c>
      <c r="C28">
        <v>1415117000</v>
      </c>
      <c r="D28">
        <v>1112808000</v>
      </c>
      <c r="E28">
        <v>1078789000</v>
      </c>
      <c r="F28">
        <v>1145803000</v>
      </c>
      <c r="G28">
        <v>1123783000</v>
      </c>
      <c r="H28">
        <v>1166548000</v>
      </c>
      <c r="I28">
        <v>1151442000</v>
      </c>
      <c r="J28">
        <v>1099727000</v>
      </c>
      <c r="K28">
        <v>1164106000</v>
      </c>
      <c r="L28">
        <v>1058310000</v>
      </c>
      <c r="M28">
        <v>1020885000</v>
      </c>
      <c r="N28">
        <v>989454000</v>
      </c>
      <c r="O28">
        <v>950203000</v>
      </c>
      <c r="P28">
        <v>962538000</v>
      </c>
      <c r="Q28">
        <v>961009000</v>
      </c>
      <c r="R28">
        <v>941603000</v>
      </c>
      <c r="S28">
        <v>1004852000</v>
      </c>
      <c r="T28">
        <v>858962000</v>
      </c>
      <c r="U28">
        <v>811608000</v>
      </c>
    </row>
    <row r="29" spans="1:21" x14ac:dyDescent="0.25">
      <c r="A29" t="s">
        <v>41</v>
      </c>
      <c r="B29">
        <v>28377000</v>
      </c>
      <c r="C29">
        <v>31507000</v>
      </c>
      <c r="D29">
        <v>35829000</v>
      </c>
      <c r="E29">
        <v>34939000</v>
      </c>
      <c r="F29">
        <v>22682000</v>
      </c>
      <c r="G29">
        <v>38431000</v>
      </c>
      <c r="H29">
        <v>61494000</v>
      </c>
      <c r="I29">
        <v>56046000</v>
      </c>
      <c r="J29">
        <v>78201000</v>
      </c>
      <c r="K29">
        <v>92069000</v>
      </c>
      <c r="L29">
        <v>90402000</v>
      </c>
      <c r="M29">
        <v>97536000</v>
      </c>
      <c r="N29">
        <v>73770000</v>
      </c>
      <c r="O29">
        <v>43907000</v>
      </c>
      <c r="P29">
        <v>40233000</v>
      </c>
      <c r="Q29">
        <v>51530000</v>
      </c>
      <c r="R29">
        <v>68334000</v>
      </c>
      <c r="S29">
        <v>81119000</v>
      </c>
      <c r="T29">
        <v>78989000</v>
      </c>
      <c r="U29">
        <v>80454000</v>
      </c>
    </row>
    <row r="30" spans="1:21" x14ac:dyDescent="0.25">
      <c r="A30" t="s">
        <v>42</v>
      </c>
      <c r="B30">
        <v>40375815000</v>
      </c>
      <c r="C30">
        <v>34399487000</v>
      </c>
      <c r="D30">
        <v>30503420000</v>
      </c>
      <c r="E30">
        <v>24339988000</v>
      </c>
      <c r="F30">
        <v>23473341000</v>
      </c>
      <c r="G30">
        <v>19698744000</v>
      </c>
      <c r="H30">
        <v>19534086000</v>
      </c>
      <c r="I30">
        <v>18918110000</v>
      </c>
      <c r="J30">
        <v>19475621000</v>
      </c>
      <c r="K30">
        <v>17447155000</v>
      </c>
      <c r="L30">
        <v>13946712000</v>
      </c>
      <c r="M30">
        <v>13291251000</v>
      </c>
      <c r="N30">
        <v>12809287000</v>
      </c>
      <c r="O30">
        <v>12089820000</v>
      </c>
      <c r="P30">
        <v>13347853000</v>
      </c>
      <c r="Q30">
        <v>12739396000</v>
      </c>
      <c r="R30">
        <v>13001799000</v>
      </c>
      <c r="S30">
        <v>14853584000</v>
      </c>
      <c r="T30">
        <v>13513336000</v>
      </c>
      <c r="U30">
        <v>13155852000</v>
      </c>
    </row>
    <row r="31" spans="1:21" x14ac:dyDescent="0.25">
      <c r="A31" t="s">
        <v>43</v>
      </c>
      <c r="B31">
        <v>0</v>
      </c>
      <c r="C31">
        <v>0</v>
      </c>
      <c r="D31">
        <v>0</v>
      </c>
      <c r="E31">
        <v>0</v>
      </c>
      <c r="F31">
        <v>0</v>
      </c>
      <c r="G31">
        <v>0</v>
      </c>
      <c r="H31">
        <v>0</v>
      </c>
      <c r="I31">
        <v>0</v>
      </c>
      <c r="J31">
        <v>0</v>
      </c>
      <c r="K31">
        <v>0</v>
      </c>
      <c r="L31">
        <v>0</v>
      </c>
      <c r="M31">
        <v>0</v>
      </c>
      <c r="N31">
        <v>0</v>
      </c>
      <c r="O31">
        <v>0</v>
      </c>
      <c r="P31">
        <v>0</v>
      </c>
      <c r="Q31">
        <v>0</v>
      </c>
      <c r="R31">
        <v>0</v>
      </c>
      <c r="S31">
        <v>0</v>
      </c>
      <c r="T31">
        <v>0</v>
      </c>
      <c r="U31">
        <v>0</v>
      </c>
    </row>
    <row r="32" spans="1:21" x14ac:dyDescent="0.25">
      <c r="A32" t="s">
        <v>44</v>
      </c>
      <c r="B32">
        <v>26069474000</v>
      </c>
      <c r="C32">
        <v>23392205000</v>
      </c>
      <c r="D32">
        <v>21335383000</v>
      </c>
      <c r="E32">
        <v>16560273000</v>
      </c>
      <c r="F32">
        <v>13757789000</v>
      </c>
      <c r="G32">
        <v>10395610000</v>
      </c>
      <c r="H32">
        <v>11246798000</v>
      </c>
      <c r="I32">
        <v>10937800000</v>
      </c>
      <c r="J32">
        <v>10880734000</v>
      </c>
      <c r="K32">
        <v>9267560000</v>
      </c>
      <c r="L32">
        <v>6494249000</v>
      </c>
      <c r="M32">
        <v>6290622000</v>
      </c>
      <c r="N32">
        <v>6126477000</v>
      </c>
      <c r="O32">
        <v>5624332000</v>
      </c>
      <c r="P32">
        <v>7204832000</v>
      </c>
      <c r="Q32">
        <v>6435428000</v>
      </c>
      <c r="R32">
        <v>6097705000</v>
      </c>
      <c r="S32">
        <v>8042918000</v>
      </c>
      <c r="T32">
        <v>6824113000</v>
      </c>
      <c r="U32">
        <v>6569124000</v>
      </c>
    </row>
    <row r="33" spans="1:21" x14ac:dyDescent="0.25">
      <c r="A33" t="s">
        <v>45</v>
      </c>
      <c r="B33">
        <v>5070816000</v>
      </c>
      <c r="C33">
        <v>5237598000</v>
      </c>
      <c r="D33">
        <v>5031419000</v>
      </c>
      <c r="E33">
        <v>5132045000</v>
      </c>
      <c r="F33">
        <v>4138262000</v>
      </c>
      <c r="G33">
        <v>3744506000</v>
      </c>
      <c r="H33">
        <v>3670735000</v>
      </c>
      <c r="I33">
        <v>3480422000</v>
      </c>
      <c r="J33">
        <v>2827079000</v>
      </c>
      <c r="K33">
        <v>2805207000</v>
      </c>
      <c r="L33">
        <v>2067178000</v>
      </c>
      <c r="M33">
        <v>2275730000</v>
      </c>
      <c r="N33">
        <v>1846507000</v>
      </c>
      <c r="O33">
        <v>2125264000</v>
      </c>
      <c r="P33">
        <v>2570182000</v>
      </c>
      <c r="Q33">
        <v>3000272000</v>
      </c>
      <c r="R33">
        <v>2460751000</v>
      </c>
      <c r="S33">
        <v>3151548000</v>
      </c>
      <c r="T33">
        <v>1954413000</v>
      </c>
      <c r="U33">
        <v>2011807000</v>
      </c>
    </row>
    <row r="34" spans="1:21" x14ac:dyDescent="0.25">
      <c r="A34" t="s">
        <v>46</v>
      </c>
      <c r="B34">
        <v>93818000</v>
      </c>
      <c r="C34">
        <v>0</v>
      </c>
      <c r="D34">
        <v>0</v>
      </c>
      <c r="E34">
        <v>0</v>
      </c>
      <c r="F34">
        <v>0</v>
      </c>
      <c r="G34">
        <v>0</v>
      </c>
      <c r="H34">
        <v>0</v>
      </c>
      <c r="I34">
        <v>0</v>
      </c>
      <c r="J34">
        <v>0</v>
      </c>
      <c r="K34">
        <v>0</v>
      </c>
      <c r="L34">
        <v>0</v>
      </c>
      <c r="M34">
        <v>0</v>
      </c>
      <c r="N34">
        <v>0</v>
      </c>
      <c r="O34">
        <v>0</v>
      </c>
      <c r="P34">
        <v>0</v>
      </c>
      <c r="Q34">
        <v>0</v>
      </c>
      <c r="R34">
        <v>0</v>
      </c>
      <c r="S34">
        <v>0</v>
      </c>
      <c r="T34">
        <v>0</v>
      </c>
      <c r="U34">
        <v>0</v>
      </c>
    </row>
    <row r="35" spans="1:21" x14ac:dyDescent="0.25">
      <c r="A35" t="s">
        <v>47</v>
      </c>
      <c r="B35">
        <v>19001732000</v>
      </c>
      <c r="C35">
        <v>16867615000</v>
      </c>
      <c r="D35">
        <v>15158246000</v>
      </c>
      <c r="E35">
        <v>10416513000</v>
      </c>
      <c r="F35">
        <v>8768386000</v>
      </c>
      <c r="G35">
        <v>5984019000</v>
      </c>
      <c r="H35">
        <v>6939011000</v>
      </c>
      <c r="I35">
        <v>6721068000</v>
      </c>
      <c r="J35">
        <v>7484095000</v>
      </c>
      <c r="K35">
        <v>5835884000</v>
      </c>
      <c r="L35">
        <v>3838905000</v>
      </c>
      <c r="M35">
        <v>3573933000</v>
      </c>
      <c r="N35">
        <v>3884834000</v>
      </c>
      <c r="O35">
        <v>3170186000</v>
      </c>
      <c r="P35">
        <v>4315960000</v>
      </c>
      <c r="Q35">
        <v>3040252000</v>
      </c>
      <c r="R35">
        <v>3293983000</v>
      </c>
      <c r="S35">
        <v>4497603000</v>
      </c>
      <c r="T35">
        <v>4500135000</v>
      </c>
      <c r="U35">
        <v>4010801000</v>
      </c>
    </row>
    <row r="36" spans="1:21" x14ac:dyDescent="0.25">
      <c r="A36" t="s">
        <v>48</v>
      </c>
      <c r="B36">
        <v>57031000</v>
      </c>
      <c r="C36">
        <v>13543000</v>
      </c>
      <c r="D36">
        <v>23836000</v>
      </c>
      <c r="E36">
        <v>195939000</v>
      </c>
      <c r="F36">
        <v>22921000</v>
      </c>
      <c r="G36">
        <v>9384000</v>
      </c>
      <c r="H36">
        <v>9412000</v>
      </c>
      <c r="I36">
        <v>149536000</v>
      </c>
      <c r="J36">
        <v>19006000</v>
      </c>
      <c r="K36">
        <v>155368000</v>
      </c>
      <c r="L36">
        <v>132767000</v>
      </c>
      <c r="M36">
        <v>106438000</v>
      </c>
      <c r="N36">
        <v>28021000</v>
      </c>
      <c r="O36">
        <v>6230000</v>
      </c>
      <c r="P36">
        <v>3966000</v>
      </c>
      <c r="Q36">
        <v>81124000</v>
      </c>
      <c r="R36">
        <v>16060000</v>
      </c>
      <c r="S36">
        <v>24351000</v>
      </c>
      <c r="T36">
        <v>15797000</v>
      </c>
      <c r="U36">
        <v>80538000</v>
      </c>
    </row>
    <row r="37" spans="1:21" x14ac:dyDescent="0.25">
      <c r="A37" t="s">
        <v>49</v>
      </c>
      <c r="B37">
        <v>53416000</v>
      </c>
      <c r="C37">
        <v>44191000</v>
      </c>
      <c r="D37">
        <v>43920000</v>
      </c>
      <c r="E37">
        <v>43057000</v>
      </c>
      <c r="F37">
        <v>44205000</v>
      </c>
      <c r="G37">
        <v>42864000</v>
      </c>
      <c r="H37">
        <v>41303000</v>
      </c>
      <c r="I37">
        <v>40046000</v>
      </c>
      <c r="J37">
        <v>36297000</v>
      </c>
      <c r="K37">
        <v>31679000</v>
      </c>
      <c r="L37">
        <v>29393000</v>
      </c>
      <c r="M37">
        <v>28403000</v>
      </c>
      <c r="N37">
        <v>27415000</v>
      </c>
      <c r="O37">
        <v>25192000</v>
      </c>
      <c r="P37">
        <v>22936000</v>
      </c>
      <c r="Q37">
        <v>0</v>
      </c>
      <c r="R37">
        <v>20189000</v>
      </c>
      <c r="S37">
        <v>0</v>
      </c>
      <c r="T37">
        <v>0</v>
      </c>
      <c r="U37">
        <v>0</v>
      </c>
    </row>
    <row r="38" spans="1:21" x14ac:dyDescent="0.25">
      <c r="A38" t="s">
        <v>50</v>
      </c>
      <c r="B38">
        <v>0</v>
      </c>
      <c r="C38">
        <v>0</v>
      </c>
      <c r="D38">
        <v>0</v>
      </c>
      <c r="E38">
        <v>0</v>
      </c>
      <c r="F38">
        <v>0</v>
      </c>
      <c r="G38">
        <v>0</v>
      </c>
      <c r="H38">
        <v>0</v>
      </c>
      <c r="I38">
        <v>0</v>
      </c>
      <c r="J38">
        <v>0</v>
      </c>
      <c r="K38">
        <v>0</v>
      </c>
      <c r="L38">
        <v>0</v>
      </c>
      <c r="M38">
        <v>0</v>
      </c>
      <c r="N38">
        <v>0</v>
      </c>
      <c r="O38">
        <v>0</v>
      </c>
      <c r="P38">
        <v>0</v>
      </c>
      <c r="Q38">
        <v>0</v>
      </c>
      <c r="R38">
        <v>0</v>
      </c>
      <c r="S38">
        <v>0</v>
      </c>
      <c r="T38">
        <v>0</v>
      </c>
      <c r="U38">
        <v>0</v>
      </c>
    </row>
    <row r="39" spans="1:21" x14ac:dyDescent="0.25">
      <c r="A39" t="s">
        <v>51</v>
      </c>
      <c r="B39">
        <v>1067000</v>
      </c>
      <c r="C39">
        <v>1929000</v>
      </c>
      <c r="D39">
        <v>2791000</v>
      </c>
      <c r="E39">
        <v>4516000</v>
      </c>
      <c r="F39">
        <v>4516000</v>
      </c>
      <c r="G39">
        <v>4516000</v>
      </c>
      <c r="H39">
        <v>2258000</v>
      </c>
      <c r="I39">
        <v>4516000</v>
      </c>
      <c r="J39">
        <v>4516000</v>
      </c>
      <c r="K39">
        <v>3387000</v>
      </c>
      <c r="L39">
        <v>2258000</v>
      </c>
      <c r="M39">
        <v>6241000</v>
      </c>
      <c r="N39">
        <v>6241000</v>
      </c>
      <c r="O39">
        <v>4681000</v>
      </c>
      <c r="P39">
        <v>3121000</v>
      </c>
      <c r="Q39">
        <v>8374000</v>
      </c>
      <c r="R39">
        <v>8374000</v>
      </c>
      <c r="S39">
        <v>8374000</v>
      </c>
      <c r="T39">
        <v>8374000</v>
      </c>
      <c r="U39">
        <v>8374000</v>
      </c>
    </row>
    <row r="40" spans="1:21" x14ac:dyDescent="0.25">
      <c r="A40" t="s">
        <v>52</v>
      </c>
      <c r="B40">
        <v>105673000</v>
      </c>
      <c r="C40">
        <v>121624000</v>
      </c>
      <c r="D40">
        <v>104622000</v>
      </c>
      <c r="E40">
        <v>107227000</v>
      </c>
      <c r="F40">
        <v>94784000</v>
      </c>
      <c r="G40">
        <v>87425000</v>
      </c>
      <c r="H40">
        <v>71114000</v>
      </c>
      <c r="I40">
        <v>60295000</v>
      </c>
      <c r="J40">
        <v>44789000</v>
      </c>
      <c r="K40">
        <v>44399000</v>
      </c>
      <c r="L40">
        <v>31456000</v>
      </c>
      <c r="M40">
        <v>32208000</v>
      </c>
      <c r="N40">
        <v>33100000</v>
      </c>
      <c r="O40">
        <v>29712000</v>
      </c>
      <c r="P40">
        <v>34199000</v>
      </c>
      <c r="Q40">
        <v>56323000</v>
      </c>
      <c r="R40">
        <v>36043000</v>
      </c>
      <c r="S40">
        <v>0</v>
      </c>
      <c r="T40">
        <v>0</v>
      </c>
      <c r="U40">
        <v>0</v>
      </c>
    </row>
    <row r="41" spans="1:21" x14ac:dyDescent="0.25">
      <c r="A41" t="s">
        <v>53</v>
      </c>
      <c r="B41">
        <v>437667000</v>
      </c>
      <c r="C41">
        <v>216495000</v>
      </c>
      <c r="D41">
        <v>79014000</v>
      </c>
      <c r="E41">
        <v>15890000</v>
      </c>
      <c r="F41">
        <v>50594000</v>
      </c>
      <c r="G41">
        <v>14921000</v>
      </c>
      <c r="H41">
        <v>15482000</v>
      </c>
      <c r="I41">
        <v>0</v>
      </c>
      <c r="J41">
        <v>0</v>
      </c>
      <c r="K41">
        <v>0</v>
      </c>
      <c r="L41">
        <v>0</v>
      </c>
      <c r="M41">
        <v>0</v>
      </c>
      <c r="N41">
        <v>0</v>
      </c>
      <c r="O41">
        <v>0</v>
      </c>
      <c r="P41">
        <v>0</v>
      </c>
      <c r="Q41">
        <v>0</v>
      </c>
      <c r="R41">
        <v>0</v>
      </c>
      <c r="S41">
        <v>3555000</v>
      </c>
      <c r="T41">
        <v>4074000</v>
      </c>
      <c r="U41">
        <v>4242000</v>
      </c>
    </row>
    <row r="42" spans="1:21" x14ac:dyDescent="0.25">
      <c r="A42" t="s">
        <v>54</v>
      </c>
      <c r="B42">
        <v>807450000</v>
      </c>
      <c r="C42">
        <v>603785000</v>
      </c>
      <c r="D42">
        <v>524905000</v>
      </c>
      <c r="E42">
        <v>464479000</v>
      </c>
      <c r="F42">
        <v>454575000</v>
      </c>
      <c r="G42">
        <v>356092000</v>
      </c>
      <c r="H42">
        <v>351999000</v>
      </c>
      <c r="I42">
        <v>334653000</v>
      </c>
      <c r="J42">
        <v>318239000</v>
      </c>
      <c r="K42">
        <v>229828000</v>
      </c>
      <c r="L42">
        <v>186597000</v>
      </c>
      <c r="M42">
        <v>164164000</v>
      </c>
      <c r="N42">
        <v>165659000</v>
      </c>
      <c r="O42">
        <v>151193000</v>
      </c>
      <c r="P42">
        <v>158292000</v>
      </c>
      <c r="Q42">
        <v>156432000</v>
      </c>
      <c r="R42">
        <v>156599000</v>
      </c>
      <c r="S42">
        <v>217539000</v>
      </c>
      <c r="T42">
        <v>199896000</v>
      </c>
      <c r="U42">
        <v>150068000</v>
      </c>
    </row>
    <row r="43" spans="1:21" x14ac:dyDescent="0.25">
      <c r="A43" t="s">
        <v>55</v>
      </c>
      <c r="B43">
        <v>440804000</v>
      </c>
      <c r="C43">
        <v>285425000</v>
      </c>
      <c r="D43">
        <v>366630000</v>
      </c>
      <c r="E43">
        <v>180607000</v>
      </c>
      <c r="F43">
        <v>179546000</v>
      </c>
      <c r="G43">
        <v>151883000</v>
      </c>
      <c r="H43">
        <v>145484000</v>
      </c>
      <c r="I43">
        <v>147264000</v>
      </c>
      <c r="J43">
        <v>146713000</v>
      </c>
      <c r="K43">
        <v>161808000</v>
      </c>
      <c r="L43">
        <v>205695000</v>
      </c>
      <c r="M43">
        <v>103505000</v>
      </c>
      <c r="N43">
        <v>134700000</v>
      </c>
      <c r="O43">
        <v>111874000</v>
      </c>
      <c r="P43">
        <v>96176000</v>
      </c>
      <c r="Q43">
        <v>92651000</v>
      </c>
      <c r="R43">
        <v>105706000</v>
      </c>
      <c r="S43">
        <v>139948000</v>
      </c>
      <c r="T43">
        <v>141424000</v>
      </c>
      <c r="U43">
        <v>303294000</v>
      </c>
    </row>
    <row r="44" spans="1:21" x14ac:dyDescent="0.25">
      <c r="A44" t="s">
        <v>31</v>
      </c>
      <c r="B44">
        <v>26069474000</v>
      </c>
      <c r="C44">
        <v>23392205000</v>
      </c>
      <c r="D44">
        <v>21335383000</v>
      </c>
      <c r="E44">
        <v>16560273000</v>
      </c>
      <c r="F44">
        <v>13757789000</v>
      </c>
      <c r="G44">
        <v>10395610000</v>
      </c>
      <c r="H44">
        <v>11246798000</v>
      </c>
      <c r="I44">
        <v>10937800000</v>
      </c>
      <c r="J44">
        <v>10880734000</v>
      </c>
      <c r="K44">
        <v>9267560000</v>
      </c>
      <c r="L44">
        <v>6494249000</v>
      </c>
      <c r="M44">
        <v>6290622000</v>
      </c>
      <c r="N44">
        <v>6126477000</v>
      </c>
      <c r="O44">
        <v>5624332000</v>
      </c>
      <c r="P44">
        <v>7204832000</v>
      </c>
      <c r="Q44">
        <v>6435428000</v>
      </c>
      <c r="R44">
        <v>6097705000</v>
      </c>
      <c r="S44">
        <v>8042918000</v>
      </c>
      <c r="T44">
        <v>6824113000</v>
      </c>
      <c r="U44">
        <v>6569124000</v>
      </c>
    </row>
    <row r="45" spans="1:21" x14ac:dyDescent="0.25">
      <c r="A45" t="s">
        <v>56</v>
      </c>
      <c r="B45">
        <v>0</v>
      </c>
      <c r="C45">
        <v>0</v>
      </c>
      <c r="D45">
        <v>0</v>
      </c>
      <c r="E45">
        <v>0</v>
      </c>
      <c r="F45">
        <v>0</v>
      </c>
      <c r="G45">
        <v>0</v>
      </c>
      <c r="H45">
        <v>0</v>
      </c>
      <c r="I45">
        <v>0</v>
      </c>
      <c r="J45">
        <v>0</v>
      </c>
      <c r="K45">
        <v>0</v>
      </c>
      <c r="L45">
        <v>0</v>
      </c>
      <c r="M45">
        <v>0</v>
      </c>
      <c r="N45">
        <v>0</v>
      </c>
      <c r="O45">
        <v>0</v>
      </c>
      <c r="P45">
        <v>0</v>
      </c>
      <c r="Q45">
        <v>0</v>
      </c>
      <c r="R45">
        <v>0</v>
      </c>
      <c r="S45">
        <v>0</v>
      </c>
      <c r="T45">
        <v>0</v>
      </c>
      <c r="U45">
        <v>0</v>
      </c>
    </row>
    <row r="46" spans="1:21" x14ac:dyDescent="0.25">
      <c r="A46" t="s">
        <v>57</v>
      </c>
      <c r="B46">
        <v>2992701000</v>
      </c>
      <c r="C46">
        <v>3030610000</v>
      </c>
      <c r="D46">
        <v>3519664000</v>
      </c>
      <c r="E46">
        <v>4124271000</v>
      </c>
      <c r="F46">
        <v>3972161000</v>
      </c>
      <c r="G46">
        <v>4301292000</v>
      </c>
      <c r="H46">
        <v>4011007000</v>
      </c>
      <c r="I46">
        <v>4543327000</v>
      </c>
      <c r="J46">
        <v>4126276000</v>
      </c>
      <c r="K46">
        <v>4625150000</v>
      </c>
      <c r="L46">
        <v>3899134000</v>
      </c>
      <c r="M46">
        <v>3613177000</v>
      </c>
      <c r="N46">
        <v>2353601000</v>
      </c>
      <c r="O46">
        <v>2477073000</v>
      </c>
      <c r="P46">
        <v>2630370000</v>
      </c>
      <c r="Q46">
        <v>3176234000</v>
      </c>
      <c r="R46">
        <v>3197539000</v>
      </c>
      <c r="S46">
        <v>3864486000</v>
      </c>
      <c r="T46">
        <v>3470623000</v>
      </c>
      <c r="U46">
        <v>3599115000</v>
      </c>
    </row>
    <row r="47" spans="1:21" x14ac:dyDescent="0.25">
      <c r="A47" t="s">
        <v>45</v>
      </c>
      <c r="B47">
        <v>1888939000</v>
      </c>
      <c r="C47">
        <v>2527571000</v>
      </c>
      <c r="D47">
        <v>3160922000</v>
      </c>
      <c r="E47">
        <v>3758597000</v>
      </c>
      <c r="F47">
        <v>3620796000</v>
      </c>
      <c r="G47">
        <v>4000040000</v>
      </c>
      <c r="H47">
        <v>3763276000</v>
      </c>
      <c r="I47">
        <v>4282351000</v>
      </c>
      <c r="J47">
        <v>3862706000</v>
      </c>
      <c r="K47">
        <v>4367631000</v>
      </c>
      <c r="L47">
        <v>3646348000</v>
      </c>
      <c r="M47">
        <v>3362786000</v>
      </c>
      <c r="N47">
        <v>2104213000</v>
      </c>
      <c r="O47">
        <v>2256033000</v>
      </c>
      <c r="P47">
        <v>2429105000</v>
      </c>
      <c r="Q47">
        <v>2945081000</v>
      </c>
      <c r="R47">
        <v>2971301000</v>
      </c>
      <c r="S47">
        <v>3639823000</v>
      </c>
      <c r="T47">
        <v>3259134000</v>
      </c>
      <c r="U47">
        <v>3386181000</v>
      </c>
    </row>
    <row r="48" spans="1:21" x14ac:dyDescent="0.25">
      <c r="A48" t="s">
        <v>46</v>
      </c>
      <c r="B48">
        <v>0</v>
      </c>
      <c r="C48">
        <v>0</v>
      </c>
      <c r="D48">
        <v>0</v>
      </c>
      <c r="E48">
        <v>0</v>
      </c>
      <c r="F48">
        <v>0</v>
      </c>
      <c r="G48">
        <v>0</v>
      </c>
      <c r="H48">
        <v>0</v>
      </c>
      <c r="I48">
        <v>0</v>
      </c>
      <c r="J48">
        <v>0</v>
      </c>
      <c r="K48">
        <v>0</v>
      </c>
      <c r="L48">
        <v>0</v>
      </c>
      <c r="M48">
        <v>0</v>
      </c>
      <c r="N48">
        <v>0</v>
      </c>
      <c r="O48">
        <v>0</v>
      </c>
      <c r="P48">
        <v>0</v>
      </c>
      <c r="Q48">
        <v>0</v>
      </c>
      <c r="R48">
        <v>0</v>
      </c>
      <c r="S48">
        <v>0</v>
      </c>
      <c r="T48">
        <v>0</v>
      </c>
      <c r="U48">
        <v>0</v>
      </c>
    </row>
    <row r="49" spans="1:21" x14ac:dyDescent="0.25">
      <c r="A49" t="s">
        <v>47</v>
      </c>
      <c r="B49">
        <v>0</v>
      </c>
      <c r="C49">
        <v>0</v>
      </c>
      <c r="D49">
        <v>0</v>
      </c>
      <c r="E49">
        <v>0</v>
      </c>
      <c r="F49">
        <v>0</v>
      </c>
      <c r="G49">
        <v>0</v>
      </c>
      <c r="H49">
        <v>0</v>
      </c>
      <c r="I49">
        <v>0</v>
      </c>
      <c r="J49">
        <v>0</v>
      </c>
      <c r="K49">
        <v>0</v>
      </c>
      <c r="L49">
        <v>0</v>
      </c>
      <c r="M49">
        <v>0</v>
      </c>
      <c r="N49">
        <v>0</v>
      </c>
      <c r="O49">
        <v>0</v>
      </c>
      <c r="P49">
        <v>0</v>
      </c>
      <c r="Q49">
        <v>0</v>
      </c>
      <c r="R49">
        <v>0</v>
      </c>
      <c r="S49">
        <v>0</v>
      </c>
      <c r="T49">
        <v>0</v>
      </c>
      <c r="U49">
        <v>0</v>
      </c>
    </row>
    <row r="50" spans="1:21" x14ac:dyDescent="0.25">
      <c r="A50" t="s">
        <v>48</v>
      </c>
      <c r="B50">
        <v>0</v>
      </c>
      <c r="C50">
        <v>0</v>
      </c>
      <c r="D50">
        <v>0</v>
      </c>
      <c r="E50">
        <v>0</v>
      </c>
      <c r="F50">
        <v>0</v>
      </c>
      <c r="G50">
        <v>0</v>
      </c>
      <c r="H50">
        <v>0</v>
      </c>
      <c r="I50">
        <v>0</v>
      </c>
      <c r="J50">
        <v>0</v>
      </c>
      <c r="K50">
        <v>0</v>
      </c>
      <c r="L50">
        <v>0</v>
      </c>
      <c r="M50">
        <v>0</v>
      </c>
      <c r="N50">
        <v>0</v>
      </c>
      <c r="O50">
        <v>0</v>
      </c>
      <c r="P50">
        <v>0</v>
      </c>
      <c r="Q50">
        <v>0</v>
      </c>
      <c r="R50">
        <v>0</v>
      </c>
      <c r="S50">
        <v>0</v>
      </c>
      <c r="T50">
        <v>0</v>
      </c>
      <c r="U50">
        <v>0</v>
      </c>
    </row>
    <row r="51" spans="1:21" x14ac:dyDescent="0.25">
      <c r="A51" t="s">
        <v>58</v>
      </c>
      <c r="B51">
        <v>0</v>
      </c>
      <c r="C51">
        <v>0</v>
      </c>
      <c r="D51">
        <v>0</v>
      </c>
      <c r="E51">
        <v>0</v>
      </c>
      <c r="F51">
        <v>0</v>
      </c>
      <c r="G51">
        <v>0</v>
      </c>
      <c r="H51">
        <v>0</v>
      </c>
      <c r="I51">
        <v>0</v>
      </c>
      <c r="J51">
        <v>0</v>
      </c>
      <c r="K51">
        <v>0</v>
      </c>
      <c r="L51">
        <v>0</v>
      </c>
      <c r="M51">
        <v>0</v>
      </c>
      <c r="N51">
        <v>0</v>
      </c>
      <c r="O51">
        <v>0</v>
      </c>
      <c r="P51">
        <v>0</v>
      </c>
      <c r="Q51">
        <v>0</v>
      </c>
      <c r="R51">
        <v>0</v>
      </c>
      <c r="S51">
        <v>0</v>
      </c>
      <c r="T51">
        <v>0</v>
      </c>
      <c r="U51">
        <v>0</v>
      </c>
    </row>
    <row r="52" spans="1:21" x14ac:dyDescent="0.25">
      <c r="A52" t="s">
        <v>50</v>
      </c>
      <c r="B52">
        <v>0</v>
      </c>
      <c r="C52">
        <v>0</v>
      </c>
      <c r="D52">
        <v>0</v>
      </c>
      <c r="E52">
        <v>0</v>
      </c>
      <c r="F52">
        <v>0</v>
      </c>
      <c r="G52">
        <v>0</v>
      </c>
      <c r="H52">
        <v>0</v>
      </c>
      <c r="I52">
        <v>0</v>
      </c>
      <c r="J52">
        <v>0</v>
      </c>
      <c r="K52">
        <v>0</v>
      </c>
      <c r="L52">
        <v>0</v>
      </c>
      <c r="M52">
        <v>0</v>
      </c>
      <c r="N52">
        <v>0</v>
      </c>
      <c r="O52">
        <v>0</v>
      </c>
      <c r="P52">
        <v>0</v>
      </c>
      <c r="Q52">
        <v>0</v>
      </c>
      <c r="R52">
        <v>0</v>
      </c>
      <c r="S52">
        <v>0</v>
      </c>
      <c r="T52">
        <v>0</v>
      </c>
      <c r="U52">
        <v>0</v>
      </c>
    </row>
    <row r="53" spans="1:21" x14ac:dyDescent="0.25">
      <c r="A53" t="s">
        <v>51</v>
      </c>
      <c r="B53">
        <v>1067000</v>
      </c>
      <c r="C53">
        <v>1334000</v>
      </c>
      <c r="D53">
        <v>1601000</v>
      </c>
      <c r="E53">
        <v>1005000</v>
      </c>
      <c r="F53">
        <v>2135000</v>
      </c>
      <c r="G53">
        <v>3264000</v>
      </c>
      <c r="H53">
        <v>6651000</v>
      </c>
      <c r="I53">
        <v>5522000</v>
      </c>
      <c r="J53">
        <v>6651000</v>
      </c>
      <c r="K53">
        <v>8909000</v>
      </c>
      <c r="L53">
        <v>11166000</v>
      </c>
      <c r="M53">
        <v>7881000</v>
      </c>
      <c r="N53">
        <v>9441000</v>
      </c>
      <c r="O53">
        <v>12562000</v>
      </c>
      <c r="P53">
        <v>15682000</v>
      </c>
      <c r="Q53">
        <v>11456000</v>
      </c>
      <c r="R53">
        <v>13550000</v>
      </c>
      <c r="S53">
        <v>15643000</v>
      </c>
      <c r="T53">
        <v>17737000</v>
      </c>
      <c r="U53">
        <v>19830000</v>
      </c>
    </row>
    <row r="54" spans="1:21" x14ac:dyDescent="0.25">
      <c r="A54" t="s">
        <v>59</v>
      </c>
      <c r="B54">
        <v>0</v>
      </c>
      <c r="C54">
        <v>0</v>
      </c>
      <c r="D54">
        <v>0</v>
      </c>
      <c r="E54">
        <v>0</v>
      </c>
      <c r="F54">
        <v>0</v>
      </c>
      <c r="G54">
        <v>0</v>
      </c>
      <c r="H54">
        <v>0</v>
      </c>
      <c r="I54">
        <v>0</v>
      </c>
      <c r="J54">
        <v>0</v>
      </c>
      <c r="K54">
        <v>0</v>
      </c>
      <c r="L54">
        <v>0</v>
      </c>
      <c r="M54">
        <v>0</v>
      </c>
      <c r="N54">
        <v>0</v>
      </c>
      <c r="O54">
        <v>0</v>
      </c>
      <c r="P54">
        <v>0</v>
      </c>
      <c r="Q54">
        <v>0</v>
      </c>
      <c r="R54">
        <v>0</v>
      </c>
      <c r="S54">
        <v>0</v>
      </c>
      <c r="T54">
        <v>0</v>
      </c>
      <c r="U54">
        <v>0</v>
      </c>
    </row>
    <row r="55" spans="1:21" x14ac:dyDescent="0.25">
      <c r="A55" t="s">
        <v>60</v>
      </c>
      <c r="B55">
        <v>1102695000</v>
      </c>
      <c r="C55">
        <v>500977000</v>
      </c>
      <c r="D55">
        <v>356428000</v>
      </c>
      <c r="E55">
        <v>362344000</v>
      </c>
      <c r="F55">
        <v>347106000</v>
      </c>
      <c r="G55">
        <v>294626000</v>
      </c>
      <c r="H55">
        <v>237706000</v>
      </c>
      <c r="I55">
        <v>249291000</v>
      </c>
      <c r="J55">
        <v>249643000</v>
      </c>
      <c r="K55">
        <v>233965000</v>
      </c>
      <c r="L55">
        <v>222724000</v>
      </c>
      <c r="M55">
        <v>219858000</v>
      </c>
      <c r="N55">
        <v>218499000</v>
      </c>
      <c r="O55">
        <v>185257000</v>
      </c>
      <c r="P55">
        <v>172669000</v>
      </c>
      <c r="Q55">
        <v>193611000</v>
      </c>
      <c r="R55">
        <v>195902000</v>
      </c>
      <c r="S55">
        <v>192095000</v>
      </c>
      <c r="T55">
        <v>178451000</v>
      </c>
      <c r="U55">
        <v>193104000</v>
      </c>
    </row>
    <row r="56" spans="1:21" x14ac:dyDescent="0.25">
      <c r="A56" t="s">
        <v>61</v>
      </c>
      <c r="B56">
        <v>0</v>
      </c>
      <c r="C56">
        <v>0</v>
      </c>
      <c r="D56">
        <v>0</v>
      </c>
      <c r="E56">
        <v>0</v>
      </c>
      <c r="F56">
        <v>0</v>
      </c>
      <c r="G56">
        <v>0</v>
      </c>
      <c r="H56">
        <v>0</v>
      </c>
      <c r="I56">
        <v>0</v>
      </c>
      <c r="J56">
        <v>0</v>
      </c>
      <c r="K56">
        <v>0</v>
      </c>
      <c r="L56">
        <v>0</v>
      </c>
      <c r="M56">
        <v>0</v>
      </c>
      <c r="N56">
        <v>0</v>
      </c>
      <c r="O56">
        <v>0</v>
      </c>
      <c r="P56">
        <v>0</v>
      </c>
      <c r="Q56">
        <v>0</v>
      </c>
      <c r="R56">
        <v>0</v>
      </c>
      <c r="S56">
        <v>0</v>
      </c>
      <c r="T56">
        <v>0</v>
      </c>
      <c r="U56">
        <v>0</v>
      </c>
    </row>
    <row r="57" spans="1:21" x14ac:dyDescent="0.25">
      <c r="A57" t="s">
        <v>62</v>
      </c>
      <c r="B57">
        <v>0</v>
      </c>
      <c r="C57">
        <v>0</v>
      </c>
      <c r="D57">
        <v>0</v>
      </c>
      <c r="E57">
        <v>0</v>
      </c>
      <c r="F57">
        <v>0</v>
      </c>
      <c r="G57">
        <v>0</v>
      </c>
      <c r="H57">
        <v>0</v>
      </c>
      <c r="I57">
        <v>0</v>
      </c>
      <c r="J57">
        <v>0</v>
      </c>
      <c r="K57">
        <v>0</v>
      </c>
      <c r="L57">
        <v>0</v>
      </c>
      <c r="M57">
        <v>0</v>
      </c>
      <c r="N57">
        <v>0</v>
      </c>
      <c r="O57">
        <v>0</v>
      </c>
      <c r="P57">
        <v>0</v>
      </c>
      <c r="Q57">
        <v>0</v>
      </c>
      <c r="R57">
        <v>0</v>
      </c>
      <c r="S57">
        <v>0</v>
      </c>
      <c r="T57">
        <v>0</v>
      </c>
      <c r="U57">
        <v>0</v>
      </c>
    </row>
    <row r="58" spans="1:21" x14ac:dyDescent="0.25">
      <c r="A58" t="s">
        <v>63</v>
      </c>
      <c r="B58">
        <v>0</v>
      </c>
      <c r="C58">
        <v>728000</v>
      </c>
      <c r="D58">
        <v>713000</v>
      </c>
      <c r="E58">
        <v>2325000</v>
      </c>
      <c r="F58">
        <v>2124000</v>
      </c>
      <c r="G58">
        <v>3362000</v>
      </c>
      <c r="H58">
        <v>3374000</v>
      </c>
      <c r="I58">
        <v>6163000</v>
      </c>
      <c r="J58">
        <v>7276000</v>
      </c>
      <c r="K58">
        <v>14645000</v>
      </c>
      <c r="L58">
        <v>18896000</v>
      </c>
      <c r="M58">
        <v>22652000</v>
      </c>
      <c r="N58">
        <v>21448000</v>
      </c>
      <c r="O58">
        <v>23221000</v>
      </c>
      <c r="P58">
        <v>12914000</v>
      </c>
      <c r="Q58">
        <v>26086000</v>
      </c>
      <c r="R58">
        <v>16786000</v>
      </c>
      <c r="S58">
        <v>16925000</v>
      </c>
      <c r="T58">
        <v>15301000</v>
      </c>
      <c r="U58">
        <v>0</v>
      </c>
    </row>
    <row r="59" spans="1:21" x14ac:dyDescent="0.25">
      <c r="A59" t="s">
        <v>64</v>
      </c>
      <c r="B59">
        <v>11313640000</v>
      </c>
      <c r="C59">
        <v>7976672000</v>
      </c>
      <c r="D59">
        <v>5648373000</v>
      </c>
      <c r="E59">
        <v>3655444000</v>
      </c>
      <c r="F59">
        <v>5743391000</v>
      </c>
      <c r="G59">
        <v>5001842000</v>
      </c>
      <c r="H59">
        <v>4276281000</v>
      </c>
      <c r="I59">
        <v>3436983000</v>
      </c>
      <c r="J59">
        <v>4468611000</v>
      </c>
      <c r="K59">
        <v>3554445000</v>
      </c>
      <c r="L59">
        <v>3553329000</v>
      </c>
      <c r="M59">
        <v>3387452000</v>
      </c>
      <c r="N59">
        <v>4329209000</v>
      </c>
      <c r="O59">
        <v>3988415000</v>
      </c>
      <c r="P59">
        <v>3512651000</v>
      </c>
      <c r="Q59">
        <v>3127734000</v>
      </c>
      <c r="R59">
        <v>3706555000</v>
      </c>
      <c r="S59">
        <v>2946180000</v>
      </c>
      <c r="T59">
        <v>3218600000</v>
      </c>
      <c r="U59">
        <v>2987613000</v>
      </c>
    </row>
    <row r="60" spans="1:21" x14ac:dyDescent="0.25">
      <c r="A60" t="s">
        <v>65</v>
      </c>
      <c r="B60">
        <v>11313640000</v>
      </c>
      <c r="C60">
        <v>7976672000</v>
      </c>
      <c r="D60">
        <v>5648373000</v>
      </c>
      <c r="E60">
        <v>3655444000</v>
      </c>
      <c r="F60">
        <v>5743391000</v>
      </c>
      <c r="G60">
        <v>5001842000</v>
      </c>
      <c r="H60">
        <v>4276281000</v>
      </c>
      <c r="I60">
        <v>3436983000</v>
      </c>
      <c r="J60">
        <v>4468611000</v>
      </c>
      <c r="K60">
        <v>3554445000</v>
      </c>
      <c r="L60">
        <v>3553329000</v>
      </c>
      <c r="M60">
        <v>3387452000</v>
      </c>
      <c r="N60">
        <v>4329209000</v>
      </c>
      <c r="O60">
        <v>3988415000</v>
      </c>
      <c r="P60">
        <v>3512651000</v>
      </c>
      <c r="Q60">
        <v>3127734000</v>
      </c>
      <c r="R60">
        <v>3706555000</v>
      </c>
      <c r="S60">
        <v>2946180000</v>
      </c>
      <c r="T60">
        <v>3218600000</v>
      </c>
      <c r="U60">
        <v>2987613000</v>
      </c>
    </row>
    <row r="61" spans="1:21" x14ac:dyDescent="0.25">
      <c r="A61" t="s">
        <v>66</v>
      </c>
      <c r="B61">
        <v>500000000</v>
      </c>
      <c r="C61">
        <v>500000000</v>
      </c>
      <c r="D61">
        <v>500000000</v>
      </c>
      <c r="E61">
        <v>500000000</v>
      </c>
      <c r="F61">
        <v>500000000</v>
      </c>
      <c r="G61">
        <v>500000000</v>
      </c>
      <c r="H61">
        <v>500000000</v>
      </c>
      <c r="I61">
        <v>500000000</v>
      </c>
      <c r="J61">
        <v>500000000</v>
      </c>
      <c r="K61">
        <v>500000000</v>
      </c>
      <c r="L61">
        <v>500000000</v>
      </c>
      <c r="M61">
        <v>500000000</v>
      </c>
      <c r="N61">
        <v>500000000</v>
      </c>
      <c r="O61">
        <v>500000000</v>
      </c>
      <c r="P61">
        <v>500000000</v>
      </c>
      <c r="Q61">
        <v>500000000</v>
      </c>
      <c r="R61">
        <v>500000000</v>
      </c>
      <c r="S61">
        <v>500000000</v>
      </c>
      <c r="T61">
        <v>500000000</v>
      </c>
      <c r="U61">
        <v>500000000</v>
      </c>
    </row>
    <row r="62" spans="1:21" x14ac:dyDescent="0.25">
      <c r="A62" t="s">
        <v>67</v>
      </c>
      <c r="B62">
        <v>0</v>
      </c>
      <c r="C62">
        <v>0</v>
      </c>
      <c r="D62">
        <v>0</v>
      </c>
      <c r="E62">
        <v>0</v>
      </c>
      <c r="F62">
        <v>0</v>
      </c>
      <c r="G62">
        <v>0</v>
      </c>
      <c r="H62">
        <v>0</v>
      </c>
      <c r="I62">
        <v>0</v>
      </c>
      <c r="J62">
        <v>0</v>
      </c>
      <c r="K62">
        <v>0</v>
      </c>
      <c r="L62">
        <v>0</v>
      </c>
      <c r="M62">
        <v>0</v>
      </c>
      <c r="N62">
        <v>0</v>
      </c>
      <c r="O62">
        <v>0</v>
      </c>
      <c r="P62">
        <v>0</v>
      </c>
      <c r="Q62">
        <v>0</v>
      </c>
      <c r="R62">
        <v>0</v>
      </c>
      <c r="S62">
        <v>0</v>
      </c>
      <c r="T62">
        <v>0</v>
      </c>
      <c r="U62">
        <v>0</v>
      </c>
    </row>
    <row r="63" spans="1:21" x14ac:dyDescent="0.25">
      <c r="A63" t="s">
        <v>68</v>
      </c>
      <c r="B63">
        <v>0</v>
      </c>
      <c r="C63">
        <v>0</v>
      </c>
      <c r="D63">
        <v>0</v>
      </c>
      <c r="E63">
        <v>0</v>
      </c>
      <c r="F63">
        <v>0</v>
      </c>
      <c r="G63">
        <v>0</v>
      </c>
      <c r="H63">
        <v>0</v>
      </c>
      <c r="I63">
        <v>0</v>
      </c>
      <c r="J63">
        <v>0</v>
      </c>
      <c r="K63">
        <v>0</v>
      </c>
      <c r="L63">
        <v>0</v>
      </c>
      <c r="M63">
        <v>0</v>
      </c>
      <c r="N63">
        <v>0</v>
      </c>
      <c r="O63">
        <v>0</v>
      </c>
      <c r="P63">
        <v>0</v>
      </c>
      <c r="Q63">
        <v>0</v>
      </c>
      <c r="R63">
        <v>0</v>
      </c>
      <c r="S63">
        <v>0</v>
      </c>
      <c r="T63">
        <v>0</v>
      </c>
      <c r="U63">
        <v>0</v>
      </c>
    </row>
    <row r="64" spans="1:21" x14ac:dyDescent="0.25">
      <c r="A64" t="s">
        <v>69</v>
      </c>
      <c r="B64">
        <v>0</v>
      </c>
      <c r="C64">
        <v>0</v>
      </c>
      <c r="D64">
        <v>0</v>
      </c>
      <c r="E64">
        <v>0</v>
      </c>
      <c r="F64">
        <v>0</v>
      </c>
      <c r="G64">
        <v>0</v>
      </c>
      <c r="H64">
        <v>0</v>
      </c>
      <c r="I64">
        <v>0</v>
      </c>
      <c r="J64">
        <v>0</v>
      </c>
      <c r="K64">
        <v>0</v>
      </c>
      <c r="L64">
        <v>0</v>
      </c>
      <c r="M64">
        <v>0</v>
      </c>
      <c r="N64">
        <v>0</v>
      </c>
      <c r="O64">
        <v>0</v>
      </c>
      <c r="P64">
        <v>0</v>
      </c>
      <c r="Q64">
        <v>0</v>
      </c>
      <c r="R64">
        <v>0</v>
      </c>
      <c r="S64">
        <v>0</v>
      </c>
      <c r="T64">
        <v>0</v>
      </c>
      <c r="U64">
        <v>0</v>
      </c>
    </row>
    <row r="65" spans="1:21" x14ac:dyDescent="0.25">
      <c r="A65" t="s">
        <v>70</v>
      </c>
      <c r="B65">
        <v>0</v>
      </c>
      <c r="C65">
        <v>0</v>
      </c>
      <c r="D65">
        <v>0</v>
      </c>
      <c r="E65">
        <v>0</v>
      </c>
      <c r="F65">
        <v>0</v>
      </c>
      <c r="G65">
        <v>0</v>
      </c>
      <c r="H65">
        <v>0</v>
      </c>
      <c r="I65">
        <v>0</v>
      </c>
      <c r="J65">
        <v>0</v>
      </c>
      <c r="K65">
        <v>0</v>
      </c>
      <c r="L65">
        <v>0</v>
      </c>
      <c r="M65">
        <v>0</v>
      </c>
      <c r="N65">
        <v>0</v>
      </c>
      <c r="O65">
        <v>0</v>
      </c>
      <c r="P65">
        <v>0</v>
      </c>
      <c r="Q65">
        <v>0</v>
      </c>
      <c r="R65">
        <v>0</v>
      </c>
      <c r="S65">
        <v>0</v>
      </c>
      <c r="T65">
        <v>0</v>
      </c>
      <c r="U65">
        <v>0</v>
      </c>
    </row>
    <row r="66" spans="1:21" x14ac:dyDescent="0.25">
      <c r="A66" t="s">
        <v>71</v>
      </c>
      <c r="B66">
        <v>715678000</v>
      </c>
      <c r="C66">
        <v>715678000</v>
      </c>
      <c r="D66">
        <v>715678000</v>
      </c>
      <c r="E66">
        <v>715678000</v>
      </c>
      <c r="F66">
        <v>398178000</v>
      </c>
      <c r="G66">
        <v>398178000</v>
      </c>
      <c r="H66">
        <v>398178000</v>
      </c>
      <c r="I66">
        <v>398178000</v>
      </c>
      <c r="J66">
        <v>0</v>
      </c>
      <c r="K66">
        <v>369326000</v>
      </c>
      <c r="L66">
        <v>369326000</v>
      </c>
      <c r="M66">
        <v>369326000</v>
      </c>
      <c r="N66">
        <v>366881000</v>
      </c>
      <c r="O66">
        <v>366881000</v>
      </c>
      <c r="P66">
        <v>366881000</v>
      </c>
      <c r="Q66">
        <v>366881000</v>
      </c>
      <c r="R66">
        <v>387363000</v>
      </c>
      <c r="S66">
        <v>387363000</v>
      </c>
      <c r="T66">
        <v>387363000</v>
      </c>
      <c r="U66">
        <v>387363000</v>
      </c>
    </row>
    <row r="67" spans="1:21" x14ac:dyDescent="0.25">
      <c r="A67" t="s">
        <v>72</v>
      </c>
      <c r="B67">
        <v>3023235000</v>
      </c>
      <c r="C67">
        <v>3023235000</v>
      </c>
      <c r="D67">
        <v>3023235000</v>
      </c>
      <c r="E67">
        <v>3023235000</v>
      </c>
      <c r="F67">
        <v>3259419000</v>
      </c>
      <c r="G67">
        <v>3259419000</v>
      </c>
      <c r="H67">
        <v>3259419000</v>
      </c>
      <c r="I67">
        <v>3259419000</v>
      </c>
      <c r="J67">
        <v>3004101000</v>
      </c>
      <c r="K67">
        <v>3004101000</v>
      </c>
      <c r="L67">
        <v>3004101000</v>
      </c>
      <c r="M67">
        <v>3004101000</v>
      </c>
      <c r="N67">
        <v>2724907000</v>
      </c>
      <c r="O67">
        <v>2724907000</v>
      </c>
      <c r="P67">
        <v>2724907000</v>
      </c>
      <c r="Q67">
        <v>2724907000</v>
      </c>
      <c r="R67">
        <v>2254002000</v>
      </c>
      <c r="S67">
        <v>2254002000</v>
      </c>
      <c r="T67">
        <v>2254002000</v>
      </c>
      <c r="U67">
        <v>2254002000</v>
      </c>
    </row>
    <row r="68" spans="1:21" x14ac:dyDescent="0.25">
      <c r="A68" t="s">
        <v>73</v>
      </c>
      <c r="B68">
        <v>8562191000</v>
      </c>
      <c r="C68">
        <v>5064329000</v>
      </c>
      <c r="D68">
        <v>3005429000</v>
      </c>
      <c r="E68">
        <v>1129119000</v>
      </c>
      <c r="F68">
        <v>3281316000</v>
      </c>
      <c r="G68">
        <v>2064430000</v>
      </c>
      <c r="H68">
        <v>1483844000</v>
      </c>
      <c r="I68">
        <v>616664000</v>
      </c>
      <c r="J68">
        <v>1784170000</v>
      </c>
      <c r="K68">
        <v>1144966000</v>
      </c>
      <c r="L68">
        <v>634642000</v>
      </c>
      <c r="M68">
        <v>346175000</v>
      </c>
      <c r="N68">
        <v>1481639000</v>
      </c>
      <c r="O68">
        <v>1031147000</v>
      </c>
      <c r="P68">
        <v>733203000</v>
      </c>
      <c r="Q68">
        <v>324741000</v>
      </c>
      <c r="R68">
        <v>1330423000</v>
      </c>
      <c r="S68">
        <v>1003884000</v>
      </c>
      <c r="T68">
        <v>692974000</v>
      </c>
      <c r="U68">
        <v>324993000</v>
      </c>
    </row>
    <row r="69" spans="1:21" x14ac:dyDescent="0.25">
      <c r="A69" t="s">
        <v>74</v>
      </c>
      <c r="B69">
        <v>-1487464000</v>
      </c>
      <c r="C69">
        <v>-1326570000</v>
      </c>
      <c r="D69">
        <v>-1595969000</v>
      </c>
      <c r="E69">
        <v>-1712588000</v>
      </c>
      <c r="F69">
        <v>-1695522000</v>
      </c>
      <c r="G69">
        <v>-1220185000</v>
      </c>
      <c r="H69">
        <v>-1365160000</v>
      </c>
      <c r="I69">
        <v>-1337278000</v>
      </c>
      <c r="J69">
        <v>-819660000</v>
      </c>
      <c r="K69">
        <v>-1463948000</v>
      </c>
      <c r="L69">
        <v>-954740000</v>
      </c>
      <c r="M69">
        <v>-832150000</v>
      </c>
      <c r="N69">
        <v>-744218000</v>
      </c>
      <c r="O69">
        <v>-634520000</v>
      </c>
      <c r="P69">
        <v>-812340000</v>
      </c>
      <c r="Q69">
        <v>-788795000</v>
      </c>
      <c r="R69">
        <v>-765233000</v>
      </c>
      <c r="S69">
        <v>-1199069000</v>
      </c>
      <c r="T69">
        <v>-615739000</v>
      </c>
      <c r="U69">
        <v>-478745000</v>
      </c>
    </row>
    <row r="70" spans="1:21" x14ac:dyDescent="0.25">
      <c r="A70" t="s">
        <v>75</v>
      </c>
      <c r="B70">
        <v>0</v>
      </c>
      <c r="C70">
        <v>0</v>
      </c>
      <c r="D70">
        <v>0</v>
      </c>
      <c r="E70">
        <v>0</v>
      </c>
      <c r="F70">
        <v>0</v>
      </c>
      <c r="G70">
        <v>0</v>
      </c>
      <c r="H70">
        <v>0</v>
      </c>
      <c r="I70">
        <v>0</v>
      </c>
      <c r="J70">
        <v>0</v>
      </c>
      <c r="K70">
        <v>0</v>
      </c>
      <c r="L70">
        <v>0</v>
      </c>
      <c r="M70">
        <v>0</v>
      </c>
      <c r="N70">
        <v>0</v>
      </c>
      <c r="O70">
        <v>0</v>
      </c>
      <c r="P70">
        <v>0</v>
      </c>
      <c r="Q70">
        <v>0</v>
      </c>
      <c r="R70">
        <v>0</v>
      </c>
      <c r="S70">
        <v>0</v>
      </c>
      <c r="T70">
        <v>0</v>
      </c>
      <c r="U70">
        <v>0</v>
      </c>
    </row>
    <row r="71" spans="1:21" x14ac:dyDescent="0.25">
      <c r="A71" t="s">
        <v>76</v>
      </c>
      <c r="B71">
        <v>40375815000</v>
      </c>
      <c r="C71">
        <v>34399487000</v>
      </c>
      <c r="D71">
        <v>30503420000</v>
      </c>
      <c r="E71">
        <v>24339988000</v>
      </c>
      <c r="F71">
        <v>23473341000</v>
      </c>
      <c r="G71">
        <v>19698744000</v>
      </c>
      <c r="H71">
        <v>19534086000</v>
      </c>
      <c r="I71">
        <v>18918110000</v>
      </c>
      <c r="J71">
        <v>19475621000</v>
      </c>
      <c r="K71">
        <v>17447155000</v>
      </c>
      <c r="L71">
        <v>13946712000</v>
      </c>
      <c r="M71">
        <v>13291251000</v>
      </c>
      <c r="N71">
        <v>12809287000</v>
      </c>
      <c r="O71">
        <v>12089820000</v>
      </c>
      <c r="P71">
        <v>13347853000</v>
      </c>
      <c r="Q71">
        <v>12739396000</v>
      </c>
      <c r="R71">
        <v>13001799000</v>
      </c>
      <c r="S71">
        <v>14853584000</v>
      </c>
      <c r="T71">
        <v>13513336000</v>
      </c>
      <c r="U71">
        <v>13155852000</v>
      </c>
    </row>
    <row r="72" spans="1:21" x14ac:dyDescent="0.25">
      <c r="A72" t="s">
        <v>77</v>
      </c>
      <c r="B72">
        <v>0</v>
      </c>
      <c r="C72">
        <v>0</v>
      </c>
      <c r="D72">
        <v>0</v>
      </c>
      <c r="E72">
        <v>0</v>
      </c>
      <c r="F72">
        <v>0</v>
      </c>
      <c r="G72">
        <v>0</v>
      </c>
      <c r="H72">
        <v>0</v>
      </c>
      <c r="I72">
        <v>0</v>
      </c>
      <c r="J72">
        <v>0</v>
      </c>
      <c r="K72">
        <v>0</v>
      </c>
      <c r="L72">
        <v>0</v>
      </c>
      <c r="M72">
        <v>0</v>
      </c>
      <c r="N72">
        <v>0</v>
      </c>
      <c r="O72">
        <v>0</v>
      </c>
      <c r="P72">
        <v>0</v>
      </c>
      <c r="Q72">
        <v>0</v>
      </c>
      <c r="R72">
        <v>0</v>
      </c>
      <c r="S72">
        <v>0</v>
      </c>
      <c r="T72">
        <v>0</v>
      </c>
      <c r="U72">
        <v>0</v>
      </c>
    </row>
    <row r="73" spans="1:21" s="4" customFormat="1" x14ac:dyDescent="0.25">
      <c r="A73" s="3" t="s">
        <v>154</v>
      </c>
    </row>
    <row r="74" spans="1:21" x14ac:dyDescent="0.25">
      <c r="A74" t="s">
        <v>78</v>
      </c>
      <c r="B74">
        <v>65545354000</v>
      </c>
      <c r="C74">
        <v>42071432000</v>
      </c>
      <c r="D74">
        <v>26049505000</v>
      </c>
      <c r="E74">
        <v>10634319000</v>
      </c>
      <c r="F74">
        <v>29684305000</v>
      </c>
      <c r="G74">
        <v>19606071000</v>
      </c>
      <c r="H74">
        <v>14011205000</v>
      </c>
      <c r="I74">
        <v>6446996000</v>
      </c>
      <c r="J74">
        <v>23556747000</v>
      </c>
      <c r="K74">
        <v>14359100000</v>
      </c>
      <c r="L74">
        <v>7498824000</v>
      </c>
      <c r="M74">
        <v>4447343000</v>
      </c>
      <c r="N74">
        <v>18896914000</v>
      </c>
      <c r="O74">
        <v>13429087000</v>
      </c>
      <c r="P74">
        <v>9270476000</v>
      </c>
      <c r="Q74">
        <v>3981450000</v>
      </c>
      <c r="R74">
        <v>18603331000</v>
      </c>
      <c r="S74">
        <v>13824345000</v>
      </c>
      <c r="T74">
        <v>9491563000</v>
      </c>
      <c r="U74">
        <v>4441125000</v>
      </c>
    </row>
    <row r="75" spans="1:21" x14ac:dyDescent="0.25">
      <c r="A75" t="s">
        <v>79</v>
      </c>
      <c r="B75">
        <v>-53536714000</v>
      </c>
      <c r="C75">
        <v>-34771450000</v>
      </c>
      <c r="D75">
        <v>-21662561000</v>
      </c>
      <c r="E75">
        <v>-8929821000</v>
      </c>
      <c r="F75">
        <v>-24065233000</v>
      </c>
      <c r="G75">
        <v>-16706115000</v>
      </c>
      <c r="H75">
        <v>-12003521000</v>
      </c>
      <c r="I75">
        <v>-5619389000</v>
      </c>
      <c r="J75">
        <v>-20439545000</v>
      </c>
      <c r="K75">
        <v>-12442606000</v>
      </c>
      <c r="L75">
        <v>-6445513000</v>
      </c>
      <c r="M75">
        <v>-3879065000</v>
      </c>
      <c r="N75">
        <v>-16510459000</v>
      </c>
      <c r="O75">
        <v>-11714760000</v>
      </c>
      <c r="P75">
        <v>-8085918000</v>
      </c>
      <c r="Q75">
        <v>-3436632000</v>
      </c>
      <c r="R75">
        <v>-16190143000</v>
      </c>
      <c r="S75">
        <v>-12045556000</v>
      </c>
      <c r="T75">
        <v>-8405033000</v>
      </c>
      <c r="U75">
        <v>-3977633000</v>
      </c>
    </row>
    <row r="76" spans="1:21" x14ac:dyDescent="0.25">
      <c r="A76" t="s">
        <v>80</v>
      </c>
      <c r="B76">
        <v>0</v>
      </c>
      <c r="C76">
        <v>0</v>
      </c>
      <c r="D76">
        <v>0</v>
      </c>
      <c r="E76">
        <v>0</v>
      </c>
      <c r="F76">
        <v>0</v>
      </c>
      <c r="G76">
        <v>0</v>
      </c>
      <c r="H76">
        <v>0</v>
      </c>
      <c r="I76">
        <v>0</v>
      </c>
      <c r="J76">
        <v>0</v>
      </c>
      <c r="K76">
        <v>0</v>
      </c>
      <c r="L76">
        <v>0</v>
      </c>
      <c r="M76">
        <v>0</v>
      </c>
      <c r="N76">
        <v>0</v>
      </c>
      <c r="O76">
        <v>0</v>
      </c>
      <c r="P76">
        <v>0</v>
      </c>
      <c r="Q76">
        <v>0</v>
      </c>
      <c r="R76">
        <v>0</v>
      </c>
      <c r="S76">
        <v>0</v>
      </c>
      <c r="T76">
        <v>0</v>
      </c>
      <c r="U76">
        <v>0</v>
      </c>
    </row>
    <row r="77" spans="1:21" x14ac:dyDescent="0.25">
      <c r="A77" t="s">
        <v>81</v>
      </c>
      <c r="B77">
        <v>12008640000</v>
      </c>
      <c r="C77">
        <v>7299982000</v>
      </c>
      <c r="D77">
        <v>4386944000</v>
      </c>
      <c r="E77">
        <v>1704498000</v>
      </c>
      <c r="F77">
        <v>5619072000</v>
      </c>
      <c r="G77">
        <v>2899956000</v>
      </c>
      <c r="H77">
        <v>2007684000</v>
      </c>
      <c r="I77">
        <v>827607000</v>
      </c>
      <c r="J77">
        <v>3117202000</v>
      </c>
      <c r="K77">
        <v>1916494000</v>
      </c>
      <c r="L77">
        <v>1053311000</v>
      </c>
      <c r="M77">
        <v>568278000</v>
      </c>
      <c r="N77">
        <v>2386455000</v>
      </c>
      <c r="O77">
        <v>1714327000</v>
      </c>
      <c r="P77">
        <v>1184558000</v>
      </c>
      <c r="Q77">
        <v>544818000</v>
      </c>
      <c r="R77">
        <v>2413188000</v>
      </c>
      <c r="S77">
        <v>1778789000</v>
      </c>
      <c r="T77">
        <v>1086530000</v>
      </c>
      <c r="U77">
        <v>463492000</v>
      </c>
    </row>
    <row r="78" spans="1:21" x14ac:dyDescent="0.25">
      <c r="A78" t="s">
        <v>82</v>
      </c>
      <c r="B78">
        <v>1247529000</v>
      </c>
      <c r="C78">
        <v>905138000</v>
      </c>
      <c r="D78">
        <v>575993000</v>
      </c>
      <c r="E78">
        <v>267950000</v>
      </c>
      <c r="F78">
        <v>828704000</v>
      </c>
      <c r="G78">
        <v>580542000</v>
      </c>
      <c r="H78">
        <v>351919000</v>
      </c>
      <c r="I78">
        <v>156183000</v>
      </c>
      <c r="J78">
        <v>425585000</v>
      </c>
      <c r="K78">
        <v>301208000</v>
      </c>
      <c r="L78">
        <v>197350000</v>
      </c>
      <c r="M78">
        <v>101645000</v>
      </c>
      <c r="N78">
        <v>465762000</v>
      </c>
      <c r="O78">
        <v>363018000</v>
      </c>
      <c r="P78">
        <v>249411000</v>
      </c>
      <c r="Q78">
        <v>126634000</v>
      </c>
      <c r="R78">
        <v>495590000</v>
      </c>
      <c r="S78">
        <v>364218000</v>
      </c>
      <c r="T78">
        <v>237356000</v>
      </c>
      <c r="U78">
        <v>117491000</v>
      </c>
    </row>
    <row r="79" spans="1:21" x14ac:dyDescent="0.25">
      <c r="A79" t="s">
        <v>83</v>
      </c>
      <c r="B79">
        <v>-937114000</v>
      </c>
      <c r="C79">
        <v>-697928000</v>
      </c>
      <c r="D79">
        <v>-446563000</v>
      </c>
      <c r="E79">
        <v>-206979000</v>
      </c>
      <c r="F79">
        <v>-619313000</v>
      </c>
      <c r="G79">
        <v>-431934000</v>
      </c>
      <c r="H79">
        <v>-261423000</v>
      </c>
      <c r="I79">
        <v>-117754000</v>
      </c>
      <c r="J79">
        <v>-329179000</v>
      </c>
      <c r="K79">
        <v>-240625000</v>
      </c>
      <c r="L79">
        <v>-163981000</v>
      </c>
      <c r="M79">
        <v>-78360000</v>
      </c>
      <c r="N79">
        <v>-353606000</v>
      </c>
      <c r="O79">
        <v>-272925000</v>
      </c>
      <c r="P79">
        <v>-179982000</v>
      </c>
      <c r="Q79">
        <v>-89195000</v>
      </c>
      <c r="R79">
        <v>-392632000</v>
      </c>
      <c r="S79">
        <v>-280926000</v>
      </c>
      <c r="T79">
        <v>-185173000</v>
      </c>
      <c r="U79">
        <v>-89270000</v>
      </c>
    </row>
    <row r="80" spans="1:21" x14ac:dyDescent="0.25">
      <c r="A80" t="s">
        <v>84</v>
      </c>
      <c r="B80">
        <v>0</v>
      </c>
      <c r="C80">
        <v>0</v>
      </c>
      <c r="D80">
        <v>0</v>
      </c>
      <c r="E80">
        <v>0</v>
      </c>
      <c r="F80">
        <v>0</v>
      </c>
      <c r="G80">
        <v>0</v>
      </c>
      <c r="H80">
        <v>0</v>
      </c>
      <c r="I80">
        <v>0</v>
      </c>
      <c r="J80">
        <v>0</v>
      </c>
      <c r="K80">
        <v>0</v>
      </c>
      <c r="L80">
        <v>0</v>
      </c>
      <c r="M80">
        <v>0</v>
      </c>
      <c r="N80">
        <v>0</v>
      </c>
      <c r="O80">
        <v>0</v>
      </c>
      <c r="P80">
        <v>0</v>
      </c>
      <c r="Q80">
        <v>0</v>
      </c>
      <c r="R80">
        <v>0</v>
      </c>
      <c r="S80">
        <v>0</v>
      </c>
      <c r="T80">
        <v>0</v>
      </c>
      <c r="U80">
        <v>0</v>
      </c>
    </row>
    <row r="81" spans="1:21" x14ac:dyDescent="0.25">
      <c r="A81" t="s">
        <v>85</v>
      </c>
      <c r="B81">
        <v>310415000</v>
      </c>
      <c r="C81">
        <v>207210000</v>
      </c>
      <c r="D81">
        <v>129430000</v>
      </c>
      <c r="E81">
        <v>60971000</v>
      </c>
      <c r="F81">
        <v>209391000</v>
      </c>
      <c r="G81">
        <v>148608000</v>
      </c>
      <c r="H81">
        <v>90496000</v>
      </c>
      <c r="I81">
        <v>38429000</v>
      </c>
      <c r="J81">
        <v>96406000</v>
      </c>
      <c r="K81">
        <v>60583000</v>
      </c>
      <c r="L81">
        <v>33369000</v>
      </c>
      <c r="M81">
        <v>23285000</v>
      </c>
      <c r="N81">
        <v>112156000</v>
      </c>
      <c r="O81">
        <v>90093000</v>
      </c>
      <c r="P81">
        <v>69429000</v>
      </c>
      <c r="Q81">
        <v>37439000</v>
      </c>
      <c r="R81">
        <v>102958000</v>
      </c>
      <c r="S81">
        <v>83292000</v>
      </c>
      <c r="T81">
        <v>52183000</v>
      </c>
      <c r="U81">
        <v>28221000</v>
      </c>
    </row>
    <row r="82" spans="1:21" x14ac:dyDescent="0.25">
      <c r="A82" t="s">
        <v>86</v>
      </c>
      <c r="B82">
        <v>0</v>
      </c>
      <c r="C82">
        <v>0</v>
      </c>
      <c r="D82">
        <v>0</v>
      </c>
      <c r="E82">
        <v>0</v>
      </c>
      <c r="F82">
        <v>0</v>
      </c>
      <c r="G82">
        <v>0</v>
      </c>
      <c r="H82">
        <v>0</v>
      </c>
      <c r="I82">
        <v>0</v>
      </c>
      <c r="J82">
        <v>0</v>
      </c>
      <c r="K82">
        <v>0</v>
      </c>
      <c r="L82">
        <v>0</v>
      </c>
      <c r="M82">
        <v>0</v>
      </c>
      <c r="N82">
        <v>0</v>
      </c>
      <c r="O82">
        <v>0</v>
      </c>
      <c r="P82">
        <v>0</v>
      </c>
      <c r="Q82">
        <v>0</v>
      </c>
      <c r="R82">
        <v>0</v>
      </c>
      <c r="S82">
        <v>0</v>
      </c>
      <c r="T82">
        <v>0</v>
      </c>
      <c r="U82">
        <v>0</v>
      </c>
    </row>
    <row r="83" spans="1:21" x14ac:dyDescent="0.25">
      <c r="A83" t="s">
        <v>87</v>
      </c>
      <c r="B83">
        <v>12319055000</v>
      </c>
      <c r="C83">
        <v>7507192000</v>
      </c>
      <c r="D83">
        <v>4516374000</v>
      </c>
      <c r="E83">
        <v>1765469000</v>
      </c>
      <c r="F83">
        <v>5828463000</v>
      </c>
      <c r="G83">
        <v>3048564000</v>
      </c>
      <c r="H83">
        <v>2098180000</v>
      </c>
      <c r="I83">
        <v>866036000</v>
      </c>
      <c r="J83">
        <v>3213608000</v>
      </c>
      <c r="K83">
        <v>1977077000</v>
      </c>
      <c r="L83">
        <v>1086680000</v>
      </c>
      <c r="M83">
        <v>591563000</v>
      </c>
      <c r="N83">
        <v>2498611000</v>
      </c>
      <c r="O83">
        <v>1804420000</v>
      </c>
      <c r="P83">
        <v>1253987000</v>
      </c>
      <c r="Q83">
        <v>582257000</v>
      </c>
      <c r="R83">
        <v>2516146000</v>
      </c>
      <c r="S83">
        <v>1862081000</v>
      </c>
      <c r="T83">
        <v>1138713000</v>
      </c>
      <c r="U83">
        <v>491713000</v>
      </c>
    </row>
    <row r="84" spans="1:21" x14ac:dyDescent="0.25">
      <c r="A84" t="s">
        <v>88</v>
      </c>
      <c r="B84">
        <v>-1386214000</v>
      </c>
      <c r="C84">
        <v>-857984000</v>
      </c>
      <c r="D84">
        <v>-492602000</v>
      </c>
      <c r="E84">
        <v>-187168000</v>
      </c>
      <c r="F84">
        <v>-596791000</v>
      </c>
      <c r="G84">
        <v>-372773000</v>
      </c>
      <c r="H84">
        <v>-245647000</v>
      </c>
      <c r="I84">
        <v>-103260000</v>
      </c>
      <c r="J84">
        <v>-480225000</v>
      </c>
      <c r="K84">
        <v>-292296000</v>
      </c>
      <c r="L84">
        <v>-161527000</v>
      </c>
      <c r="M84">
        <v>-90623000</v>
      </c>
      <c r="N84">
        <v>-337093000</v>
      </c>
      <c r="O84">
        <v>-227412000</v>
      </c>
      <c r="P84">
        <v>-162366000</v>
      </c>
      <c r="Q84">
        <v>-79305000</v>
      </c>
      <c r="R84">
        <v>-362325000</v>
      </c>
      <c r="S84">
        <v>-263093000</v>
      </c>
      <c r="T84">
        <v>-172322000</v>
      </c>
      <c r="U84">
        <v>-74504000</v>
      </c>
    </row>
    <row r="85" spans="1:21" x14ac:dyDescent="0.25">
      <c r="A85" t="s">
        <v>89</v>
      </c>
      <c r="B85">
        <v>-813298000</v>
      </c>
      <c r="C85">
        <v>-505378000</v>
      </c>
      <c r="D85">
        <v>-308433000</v>
      </c>
      <c r="E85">
        <v>-132934000</v>
      </c>
      <c r="F85">
        <v>-510139000</v>
      </c>
      <c r="G85">
        <v>-326638000</v>
      </c>
      <c r="H85">
        <v>-212071000</v>
      </c>
      <c r="I85">
        <v>-104487000</v>
      </c>
      <c r="J85">
        <v>-390629000</v>
      </c>
      <c r="K85">
        <v>-264316000</v>
      </c>
      <c r="L85">
        <v>-171593000</v>
      </c>
      <c r="M85">
        <v>-93972000</v>
      </c>
      <c r="N85">
        <v>-373358000</v>
      </c>
      <c r="O85">
        <v>-262998000</v>
      </c>
      <c r="P85">
        <v>-173815000</v>
      </c>
      <c r="Q85">
        <v>-88500000</v>
      </c>
      <c r="R85">
        <v>-329856000</v>
      </c>
      <c r="S85">
        <v>-230190000</v>
      </c>
      <c r="T85">
        <v>-148814000</v>
      </c>
      <c r="U85">
        <v>-71528000</v>
      </c>
    </row>
    <row r="86" spans="1:21" x14ac:dyDescent="0.25">
      <c r="A86" t="s">
        <v>90</v>
      </c>
      <c r="B86">
        <v>-368513000</v>
      </c>
      <c r="C86">
        <v>-239181000</v>
      </c>
      <c r="D86">
        <v>-132238000</v>
      </c>
      <c r="E86">
        <v>-57005000</v>
      </c>
      <c r="F86">
        <v>-126527000</v>
      </c>
      <c r="G86">
        <v>-93944000</v>
      </c>
      <c r="H86">
        <v>-64969000</v>
      </c>
      <c r="I86">
        <v>-30341000</v>
      </c>
      <c r="J86">
        <v>-75997000</v>
      </c>
      <c r="K86">
        <v>-48854000</v>
      </c>
      <c r="L86">
        <v>-30134000</v>
      </c>
      <c r="M86">
        <v>-15857000</v>
      </c>
      <c r="N86">
        <v>-68651000</v>
      </c>
      <c r="O86">
        <v>-57372000</v>
      </c>
      <c r="P86">
        <v>-41958000</v>
      </c>
      <c r="Q86">
        <v>-22376000</v>
      </c>
      <c r="R86">
        <v>-66441000</v>
      </c>
      <c r="S86">
        <v>-55182000</v>
      </c>
      <c r="T86">
        <v>-37414000</v>
      </c>
      <c r="U86">
        <v>-19443000</v>
      </c>
    </row>
    <row r="87" spans="1:21" x14ac:dyDescent="0.25">
      <c r="A87" t="s">
        <v>91</v>
      </c>
      <c r="B87">
        <v>5567413000</v>
      </c>
      <c r="C87">
        <v>3511020000</v>
      </c>
      <c r="D87">
        <v>2261900000</v>
      </c>
      <c r="E87">
        <v>802772000</v>
      </c>
      <c r="F87">
        <v>2918260000</v>
      </c>
      <c r="G87">
        <v>1492084000</v>
      </c>
      <c r="H87">
        <v>1061835000</v>
      </c>
      <c r="I87">
        <v>640935000</v>
      </c>
      <c r="J87">
        <v>1381427000</v>
      </c>
      <c r="K87">
        <v>826216000</v>
      </c>
      <c r="L87">
        <v>404846000</v>
      </c>
      <c r="M87">
        <v>280962000</v>
      </c>
      <c r="N87">
        <v>958748000</v>
      </c>
      <c r="O87">
        <v>741984000</v>
      </c>
      <c r="P87">
        <v>533472000</v>
      </c>
      <c r="Q87">
        <v>231554000</v>
      </c>
      <c r="R87">
        <v>3315185000</v>
      </c>
      <c r="S87">
        <v>2875338000</v>
      </c>
      <c r="T87">
        <v>807842000</v>
      </c>
      <c r="U87">
        <v>259777000</v>
      </c>
    </row>
    <row r="88" spans="1:21" x14ac:dyDescent="0.25">
      <c r="A88" t="s">
        <v>92</v>
      </c>
      <c r="B88">
        <v>-6388577000</v>
      </c>
      <c r="C88">
        <v>-3908189000</v>
      </c>
      <c r="D88">
        <v>-2570180000</v>
      </c>
      <c r="E88">
        <v>-903353000</v>
      </c>
      <c r="F88">
        <v>-3417547000</v>
      </c>
      <c r="G88">
        <v>-1437875000</v>
      </c>
      <c r="H88">
        <v>-1087897000</v>
      </c>
      <c r="I88">
        <v>-654994000</v>
      </c>
      <c r="J88">
        <v>-1582021000</v>
      </c>
      <c r="K88">
        <v>-1056885000</v>
      </c>
      <c r="L88">
        <v>-505951000</v>
      </c>
      <c r="M88">
        <v>-356211000</v>
      </c>
      <c r="N88">
        <v>-1018154000</v>
      </c>
      <c r="O88">
        <v>-763997000</v>
      </c>
      <c r="P88">
        <v>-580125000</v>
      </c>
      <c r="Q88">
        <v>-257006000</v>
      </c>
      <c r="R88">
        <v>-3892403000</v>
      </c>
      <c r="S88">
        <v>-3579637000</v>
      </c>
      <c r="T88">
        <v>-940349000</v>
      </c>
      <c r="U88">
        <v>-319386000</v>
      </c>
    </row>
    <row r="89" spans="1:21" x14ac:dyDescent="0.25">
      <c r="A89" t="s">
        <v>93</v>
      </c>
      <c r="B89">
        <v>0</v>
      </c>
      <c r="C89">
        <v>0</v>
      </c>
      <c r="D89">
        <v>0</v>
      </c>
      <c r="E89">
        <v>0</v>
      </c>
      <c r="F89">
        <v>0</v>
      </c>
      <c r="G89">
        <v>0</v>
      </c>
      <c r="H89">
        <v>0</v>
      </c>
      <c r="I89">
        <v>0</v>
      </c>
      <c r="J89">
        <v>0</v>
      </c>
      <c r="K89">
        <v>0</v>
      </c>
      <c r="L89">
        <v>0</v>
      </c>
      <c r="M89">
        <v>0</v>
      </c>
      <c r="N89">
        <v>0</v>
      </c>
      <c r="O89">
        <v>0</v>
      </c>
      <c r="P89">
        <v>0</v>
      </c>
      <c r="Q89">
        <v>0</v>
      </c>
      <c r="R89">
        <v>0</v>
      </c>
      <c r="S89">
        <v>0</v>
      </c>
      <c r="T89">
        <v>0</v>
      </c>
      <c r="U89">
        <v>0</v>
      </c>
    </row>
    <row r="90" spans="1:21" x14ac:dyDescent="0.25">
      <c r="A90" t="s">
        <v>94</v>
      </c>
      <c r="B90">
        <v>8929866000</v>
      </c>
      <c r="C90">
        <v>5507480000</v>
      </c>
      <c r="D90">
        <v>3274821000</v>
      </c>
      <c r="E90">
        <v>1287781000</v>
      </c>
      <c r="F90">
        <v>4095719000</v>
      </c>
      <c r="G90">
        <v>2309418000</v>
      </c>
      <c r="H90">
        <v>1549431000</v>
      </c>
      <c r="I90">
        <v>613889000</v>
      </c>
      <c r="J90">
        <v>2066163000</v>
      </c>
      <c r="K90">
        <v>1140942000</v>
      </c>
      <c r="L90">
        <v>622321000</v>
      </c>
      <c r="M90">
        <v>315862000</v>
      </c>
      <c r="N90">
        <v>1660103000</v>
      </c>
      <c r="O90">
        <v>1234625000</v>
      </c>
      <c r="P90">
        <v>829195000</v>
      </c>
      <c r="Q90">
        <v>366624000</v>
      </c>
      <c r="R90">
        <v>1180306000</v>
      </c>
      <c r="S90">
        <v>609317000</v>
      </c>
      <c r="T90">
        <v>647656000</v>
      </c>
      <c r="U90">
        <v>266629000</v>
      </c>
    </row>
    <row r="91" spans="1:21" x14ac:dyDescent="0.25">
      <c r="A91" t="s">
        <v>95</v>
      </c>
      <c r="B91">
        <v>9751030000</v>
      </c>
      <c r="C91">
        <v>5904649000</v>
      </c>
      <c r="D91">
        <v>3583101000</v>
      </c>
      <c r="E91">
        <v>1388362000</v>
      </c>
      <c r="F91">
        <v>4595006000</v>
      </c>
      <c r="G91">
        <v>2255209000</v>
      </c>
      <c r="H91">
        <v>1575493000</v>
      </c>
      <c r="I91">
        <v>627948000</v>
      </c>
      <c r="J91">
        <v>2266757000</v>
      </c>
      <c r="K91">
        <v>1371611000</v>
      </c>
      <c r="L91">
        <v>723426000</v>
      </c>
      <c r="M91">
        <v>391111000</v>
      </c>
      <c r="N91">
        <v>1719509000</v>
      </c>
      <c r="O91">
        <v>1256638000</v>
      </c>
      <c r="P91">
        <v>875848000</v>
      </c>
      <c r="Q91">
        <v>392076000</v>
      </c>
      <c r="R91">
        <v>1757524000</v>
      </c>
      <c r="S91">
        <v>1313616000</v>
      </c>
      <c r="T91">
        <v>780163000</v>
      </c>
      <c r="U91">
        <v>326238000</v>
      </c>
    </row>
    <row r="92" spans="1:21" x14ac:dyDescent="0.25">
      <c r="A92" t="s">
        <v>96</v>
      </c>
      <c r="B92">
        <v>84346000</v>
      </c>
      <c r="C92">
        <v>46948000</v>
      </c>
      <c r="D92">
        <v>33536000</v>
      </c>
      <c r="E92">
        <v>4771000</v>
      </c>
      <c r="F92">
        <v>38455000</v>
      </c>
      <c r="G92">
        <v>27683000</v>
      </c>
      <c r="H92">
        <v>24069000</v>
      </c>
      <c r="I92">
        <v>3688000</v>
      </c>
      <c r="J92">
        <v>10558000</v>
      </c>
      <c r="K92">
        <v>6608000</v>
      </c>
      <c r="L92">
        <v>2644000</v>
      </c>
      <c r="M92">
        <v>810000</v>
      </c>
      <c r="N92">
        <v>12658000</v>
      </c>
      <c r="O92">
        <v>5406000</v>
      </c>
      <c r="P92">
        <v>4645000</v>
      </c>
      <c r="Q92">
        <v>602000</v>
      </c>
      <c r="R92">
        <v>34681000</v>
      </c>
      <c r="S92">
        <v>4180000</v>
      </c>
      <c r="T92">
        <v>3205000</v>
      </c>
      <c r="U92">
        <v>133000</v>
      </c>
    </row>
    <row r="93" spans="1:21" x14ac:dyDescent="0.25">
      <c r="A93" t="s">
        <v>97</v>
      </c>
      <c r="B93">
        <v>0</v>
      </c>
      <c r="C93">
        <v>0</v>
      </c>
      <c r="D93">
        <v>0</v>
      </c>
      <c r="E93">
        <v>0</v>
      </c>
      <c r="F93">
        <v>0</v>
      </c>
      <c r="G93">
        <v>0</v>
      </c>
      <c r="H93">
        <v>0</v>
      </c>
      <c r="I93">
        <v>0</v>
      </c>
      <c r="J93">
        <v>0</v>
      </c>
      <c r="K93">
        <v>0</v>
      </c>
      <c r="L93">
        <v>0</v>
      </c>
      <c r="M93">
        <v>0</v>
      </c>
      <c r="N93">
        <v>0</v>
      </c>
      <c r="O93">
        <v>0</v>
      </c>
      <c r="P93">
        <v>0</v>
      </c>
      <c r="Q93">
        <v>0</v>
      </c>
      <c r="R93">
        <v>0</v>
      </c>
      <c r="S93">
        <v>0</v>
      </c>
      <c r="T93">
        <v>0</v>
      </c>
      <c r="U93">
        <v>0</v>
      </c>
    </row>
    <row r="94" spans="1:21" x14ac:dyDescent="0.25">
      <c r="A94" t="s">
        <v>98</v>
      </c>
      <c r="B94">
        <v>0</v>
      </c>
      <c r="C94">
        <v>0</v>
      </c>
      <c r="D94">
        <v>0</v>
      </c>
      <c r="E94">
        <v>0</v>
      </c>
      <c r="F94">
        <v>0</v>
      </c>
      <c r="G94">
        <v>0</v>
      </c>
      <c r="H94">
        <v>0</v>
      </c>
      <c r="I94">
        <v>0</v>
      </c>
      <c r="J94">
        <v>0</v>
      </c>
      <c r="K94">
        <v>0</v>
      </c>
      <c r="L94">
        <v>0</v>
      </c>
      <c r="M94">
        <v>0</v>
      </c>
      <c r="N94">
        <v>0</v>
      </c>
      <c r="O94">
        <v>0</v>
      </c>
      <c r="P94">
        <v>0</v>
      </c>
      <c r="Q94">
        <v>0</v>
      </c>
      <c r="R94">
        <v>0</v>
      </c>
      <c r="S94">
        <v>0</v>
      </c>
      <c r="T94">
        <v>0</v>
      </c>
      <c r="U94">
        <v>0</v>
      </c>
    </row>
    <row r="95" spans="1:21" x14ac:dyDescent="0.25">
      <c r="A95" t="s">
        <v>99</v>
      </c>
      <c r="B95">
        <v>0</v>
      </c>
      <c r="C95">
        <v>0</v>
      </c>
      <c r="D95">
        <v>0</v>
      </c>
      <c r="E95">
        <v>0</v>
      </c>
      <c r="F95">
        <v>0</v>
      </c>
      <c r="G95">
        <v>0</v>
      </c>
      <c r="H95">
        <v>0</v>
      </c>
      <c r="I95">
        <v>0</v>
      </c>
      <c r="J95">
        <v>0</v>
      </c>
      <c r="K95">
        <v>0</v>
      </c>
      <c r="L95">
        <v>0</v>
      </c>
      <c r="M95">
        <v>0</v>
      </c>
      <c r="N95">
        <v>0</v>
      </c>
      <c r="O95">
        <v>0</v>
      </c>
      <c r="P95">
        <v>0</v>
      </c>
      <c r="Q95">
        <v>0</v>
      </c>
      <c r="R95">
        <v>0</v>
      </c>
      <c r="S95">
        <v>0</v>
      </c>
      <c r="T95">
        <v>0</v>
      </c>
      <c r="U95">
        <v>0</v>
      </c>
    </row>
    <row r="96" spans="1:21" x14ac:dyDescent="0.25">
      <c r="A96" t="s">
        <v>100</v>
      </c>
      <c r="B96">
        <v>9014212000</v>
      </c>
      <c r="C96">
        <v>5554428000</v>
      </c>
      <c r="D96">
        <v>3308357000</v>
      </c>
      <c r="E96">
        <v>1292552000</v>
      </c>
      <c r="F96">
        <v>4134174000</v>
      </c>
      <c r="G96">
        <v>2337101000</v>
      </c>
      <c r="H96">
        <v>1573500000</v>
      </c>
      <c r="I96">
        <v>617577000</v>
      </c>
      <c r="J96">
        <v>2076721000</v>
      </c>
      <c r="K96">
        <v>1147550000</v>
      </c>
      <c r="L96">
        <v>624965000</v>
      </c>
      <c r="M96">
        <v>316672000</v>
      </c>
      <c r="N96">
        <v>1672761000</v>
      </c>
      <c r="O96">
        <v>1240031000</v>
      </c>
      <c r="P96">
        <v>833840000</v>
      </c>
      <c r="Q96">
        <v>367226000</v>
      </c>
      <c r="R96">
        <v>1214987000</v>
      </c>
      <c r="S96">
        <v>613497000</v>
      </c>
      <c r="T96">
        <v>650861000</v>
      </c>
      <c r="U96">
        <v>266762000</v>
      </c>
    </row>
    <row r="97" spans="1:21" x14ac:dyDescent="0.25">
      <c r="A97" t="s">
        <v>101</v>
      </c>
      <c r="B97">
        <v>3544616000</v>
      </c>
      <c r="C97">
        <v>2394205000</v>
      </c>
      <c r="D97">
        <v>1581353000</v>
      </c>
      <c r="E97">
        <v>468849000</v>
      </c>
      <c r="F97">
        <v>3331176000</v>
      </c>
      <c r="G97">
        <v>1380562000</v>
      </c>
      <c r="H97">
        <v>945000000</v>
      </c>
      <c r="I97">
        <v>550848000</v>
      </c>
      <c r="J97">
        <v>1545965000</v>
      </c>
      <c r="K97">
        <v>813502000</v>
      </c>
      <c r="L97">
        <v>625174000</v>
      </c>
      <c r="M97">
        <v>390683000</v>
      </c>
      <c r="N97">
        <v>1146066000</v>
      </c>
      <c r="O97">
        <v>937962000</v>
      </c>
      <c r="P97">
        <v>466240000</v>
      </c>
      <c r="Q97">
        <v>196011000</v>
      </c>
      <c r="R97">
        <v>2249772000</v>
      </c>
      <c r="S97">
        <v>1412450000</v>
      </c>
      <c r="T97">
        <v>304524000</v>
      </c>
      <c r="U97">
        <v>161670000</v>
      </c>
    </row>
    <row r="98" spans="1:21" x14ac:dyDescent="0.25">
      <c r="A98" t="s">
        <v>102</v>
      </c>
      <c r="B98">
        <v>-3996597000</v>
      </c>
      <c r="C98">
        <v>-2912744000</v>
      </c>
      <c r="D98">
        <v>-1761320000</v>
      </c>
      <c r="E98">
        <v>-534905000</v>
      </c>
      <c r="F98">
        <v>-3953134000</v>
      </c>
      <c r="G98">
        <v>-1610625000</v>
      </c>
      <c r="H98">
        <v>-1006364000</v>
      </c>
      <c r="I98">
        <v>-555420000</v>
      </c>
      <c r="J98">
        <v>-1791910000</v>
      </c>
      <c r="K98">
        <v>-774322000</v>
      </c>
      <c r="L98">
        <v>-613436000</v>
      </c>
      <c r="M98">
        <v>-361362000</v>
      </c>
      <c r="N98">
        <v>-1362272000</v>
      </c>
      <c r="O98">
        <v>-1170212000</v>
      </c>
      <c r="P98">
        <v>-560662000</v>
      </c>
      <c r="Q98">
        <v>-242462000</v>
      </c>
      <c r="R98">
        <v>-2173865000</v>
      </c>
      <c r="S98">
        <v>-1013057000</v>
      </c>
      <c r="T98">
        <v>-269621000</v>
      </c>
      <c r="U98">
        <v>-107479000</v>
      </c>
    </row>
    <row r="99" spans="1:21" x14ac:dyDescent="0.25">
      <c r="A99" t="s">
        <v>103</v>
      </c>
      <c r="B99">
        <v>84346000</v>
      </c>
      <c r="C99">
        <v>46948000</v>
      </c>
      <c r="D99">
        <v>33536000</v>
      </c>
      <c r="E99">
        <v>4771000</v>
      </c>
      <c r="F99">
        <v>38455000</v>
      </c>
      <c r="G99">
        <v>27683000</v>
      </c>
      <c r="H99">
        <v>24069000</v>
      </c>
      <c r="I99">
        <v>3688000</v>
      </c>
      <c r="J99">
        <v>10558000</v>
      </c>
      <c r="K99">
        <v>6608000</v>
      </c>
      <c r="L99">
        <v>2644000</v>
      </c>
      <c r="M99">
        <v>810000</v>
      </c>
      <c r="N99">
        <v>12658000</v>
      </c>
      <c r="O99">
        <v>5406000</v>
      </c>
      <c r="P99">
        <v>4645000</v>
      </c>
      <c r="Q99">
        <v>602000</v>
      </c>
      <c r="R99">
        <v>34681000</v>
      </c>
      <c r="S99">
        <v>4180000</v>
      </c>
      <c r="T99">
        <v>3205000</v>
      </c>
      <c r="U99">
        <v>133000</v>
      </c>
    </row>
    <row r="100" spans="1:21" x14ac:dyDescent="0.25">
      <c r="A100" t="s">
        <v>104</v>
      </c>
      <c r="B100">
        <v>8562231000</v>
      </c>
      <c r="C100">
        <v>5035889000</v>
      </c>
      <c r="D100">
        <v>3128390000</v>
      </c>
      <c r="E100">
        <v>1226496000</v>
      </c>
      <c r="F100">
        <v>3512216000</v>
      </c>
      <c r="G100">
        <v>2107038000</v>
      </c>
      <c r="H100">
        <v>1512136000</v>
      </c>
      <c r="I100">
        <v>613005000</v>
      </c>
      <c r="J100">
        <v>1830776000</v>
      </c>
      <c r="K100">
        <v>1186730000</v>
      </c>
      <c r="L100">
        <v>636703000</v>
      </c>
      <c r="M100">
        <v>345993000</v>
      </c>
      <c r="N100">
        <v>1456555000</v>
      </c>
      <c r="O100">
        <v>1007781000</v>
      </c>
      <c r="P100">
        <v>739418000</v>
      </c>
      <c r="Q100">
        <v>320775000</v>
      </c>
      <c r="R100">
        <v>1290894000</v>
      </c>
      <c r="S100">
        <v>1012890000</v>
      </c>
      <c r="T100">
        <v>685764000</v>
      </c>
      <c r="U100">
        <v>320953000</v>
      </c>
    </row>
    <row r="101" spans="1:21" x14ac:dyDescent="0.25">
      <c r="A101" t="s">
        <v>105</v>
      </c>
      <c r="B101">
        <v>-40000</v>
      </c>
      <c r="C101">
        <v>28440000</v>
      </c>
      <c r="D101">
        <v>-122961000</v>
      </c>
      <c r="E101">
        <v>-97377000</v>
      </c>
      <c r="F101">
        <v>-230900000</v>
      </c>
      <c r="G101">
        <v>-42608000</v>
      </c>
      <c r="H101">
        <v>-28292000</v>
      </c>
      <c r="I101">
        <v>3659000</v>
      </c>
      <c r="J101">
        <v>-46606000</v>
      </c>
      <c r="K101">
        <v>-41764000</v>
      </c>
      <c r="L101">
        <v>-2061000</v>
      </c>
      <c r="M101">
        <v>182000</v>
      </c>
      <c r="N101">
        <v>25084000</v>
      </c>
      <c r="O101">
        <v>23366000</v>
      </c>
      <c r="P101">
        <v>-6215000</v>
      </c>
      <c r="Q101">
        <v>3966000</v>
      </c>
      <c r="R101">
        <v>39529000</v>
      </c>
      <c r="S101">
        <v>-9006000</v>
      </c>
      <c r="T101">
        <v>7210000</v>
      </c>
      <c r="U101">
        <v>4040000</v>
      </c>
    </row>
    <row r="102" spans="1:21" x14ac:dyDescent="0.25">
      <c r="A102" t="s">
        <v>106</v>
      </c>
      <c r="B102">
        <v>-761698000</v>
      </c>
      <c r="C102">
        <v>-355553000</v>
      </c>
      <c r="D102">
        <v>-119209000</v>
      </c>
      <c r="E102">
        <v>-26151000</v>
      </c>
      <c r="F102">
        <v>-113178000</v>
      </c>
      <c r="G102">
        <v>-56729000</v>
      </c>
      <c r="H102">
        <v>-35771000</v>
      </c>
      <c r="I102">
        <v>-11145000</v>
      </c>
      <c r="J102">
        <v>-31884000</v>
      </c>
      <c r="K102">
        <v>-13561000</v>
      </c>
      <c r="L102">
        <v>-11529000</v>
      </c>
      <c r="M102">
        <v>-6288000</v>
      </c>
      <c r="N102">
        <v>-29383000</v>
      </c>
      <c r="O102">
        <v>-22315000</v>
      </c>
      <c r="P102">
        <v>-13926000</v>
      </c>
      <c r="Q102">
        <v>-8777000</v>
      </c>
      <c r="R102">
        <v>-25887000</v>
      </c>
      <c r="S102">
        <v>-16490000</v>
      </c>
      <c r="T102">
        <v>-12787000</v>
      </c>
      <c r="U102">
        <v>-6007000</v>
      </c>
    </row>
    <row r="103" spans="1:21" x14ac:dyDescent="0.25">
      <c r="A103" t="s">
        <v>107</v>
      </c>
      <c r="B103">
        <v>761658000</v>
      </c>
      <c r="C103">
        <v>383993000</v>
      </c>
      <c r="D103">
        <v>-3752000</v>
      </c>
      <c r="E103">
        <v>-71226000</v>
      </c>
      <c r="F103">
        <v>-117722000</v>
      </c>
      <c r="G103">
        <v>14121000</v>
      </c>
      <c r="H103">
        <v>7479000</v>
      </c>
      <c r="I103">
        <v>14804000</v>
      </c>
      <c r="J103">
        <v>-14722000</v>
      </c>
      <c r="K103">
        <v>-28203000</v>
      </c>
      <c r="L103">
        <v>9468000</v>
      </c>
      <c r="M103">
        <v>6470000</v>
      </c>
      <c r="N103">
        <v>54467000</v>
      </c>
      <c r="O103">
        <v>45681000</v>
      </c>
      <c r="P103">
        <v>7711000</v>
      </c>
      <c r="Q103">
        <v>12743000</v>
      </c>
      <c r="R103">
        <v>65416000</v>
      </c>
      <c r="S103">
        <v>7484000</v>
      </c>
      <c r="T103">
        <v>19997000</v>
      </c>
      <c r="U103">
        <v>10047000</v>
      </c>
    </row>
    <row r="104" spans="1:21" x14ac:dyDescent="0.25">
      <c r="A104" t="s">
        <v>108</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row>
    <row r="105" spans="1:21" x14ac:dyDescent="0.25">
      <c r="A105" t="s">
        <v>109</v>
      </c>
      <c r="B105">
        <v>8562191000</v>
      </c>
      <c r="C105">
        <v>5064329000</v>
      </c>
      <c r="D105">
        <v>3005429000</v>
      </c>
      <c r="E105">
        <v>1129119000</v>
      </c>
      <c r="F105">
        <v>3281316000</v>
      </c>
      <c r="G105">
        <v>2064430000</v>
      </c>
      <c r="H105">
        <v>1483844000</v>
      </c>
      <c r="I105">
        <v>616664000</v>
      </c>
      <c r="J105">
        <v>1784170000</v>
      </c>
      <c r="K105">
        <v>1144966000</v>
      </c>
      <c r="L105">
        <v>634642000</v>
      </c>
      <c r="M105">
        <v>346175000</v>
      </c>
      <c r="N105">
        <v>1481639000</v>
      </c>
      <c r="O105">
        <v>1031147000</v>
      </c>
      <c r="P105">
        <v>733203000</v>
      </c>
      <c r="Q105">
        <v>324741000</v>
      </c>
      <c r="R105">
        <v>1330423000</v>
      </c>
      <c r="S105">
        <v>1003884000</v>
      </c>
      <c r="T105">
        <v>692974000</v>
      </c>
      <c r="U105">
        <v>324993000</v>
      </c>
    </row>
    <row r="106" spans="1:21" x14ac:dyDescent="0.25">
      <c r="A106" t="s">
        <v>110</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row>
    <row r="107" spans="1:21" x14ac:dyDescent="0.25">
      <c r="A107" t="s">
        <v>111</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row>
    <row r="108" spans="1:21" x14ac:dyDescent="0.25">
      <c r="A108" t="s">
        <v>112</v>
      </c>
      <c r="B108">
        <v>8562191000</v>
      </c>
      <c r="C108">
        <v>5064329000</v>
      </c>
      <c r="D108">
        <v>3005429000</v>
      </c>
      <c r="E108">
        <v>1129119000</v>
      </c>
      <c r="F108">
        <v>3281316000</v>
      </c>
      <c r="G108">
        <v>2064430000</v>
      </c>
      <c r="H108">
        <v>1483844000</v>
      </c>
      <c r="I108">
        <v>616664000</v>
      </c>
      <c r="J108">
        <v>1784170000</v>
      </c>
      <c r="K108">
        <v>1144966000</v>
      </c>
      <c r="L108">
        <v>634642000</v>
      </c>
      <c r="M108">
        <v>346175000</v>
      </c>
      <c r="N108">
        <v>1481639000</v>
      </c>
      <c r="O108">
        <v>1031147000</v>
      </c>
      <c r="P108">
        <v>733203000</v>
      </c>
      <c r="Q108">
        <v>324741000</v>
      </c>
      <c r="R108">
        <v>1330423000</v>
      </c>
      <c r="S108">
        <v>1003884000</v>
      </c>
      <c r="T108">
        <v>692974000</v>
      </c>
      <c r="U108">
        <v>324993000</v>
      </c>
    </row>
    <row r="109" spans="1:21" x14ac:dyDescent="0.25">
      <c r="A109" t="s">
        <v>113</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row>
    <row r="110" spans="1:21" x14ac:dyDescent="0.25">
      <c r="A110" t="s">
        <v>114</v>
      </c>
      <c r="B110">
        <v>0</v>
      </c>
      <c r="C110">
        <v>0</v>
      </c>
      <c r="D110">
        <v>0</v>
      </c>
      <c r="E110">
        <v>0</v>
      </c>
      <c r="F110">
        <v>0</v>
      </c>
      <c r="G110">
        <v>0</v>
      </c>
      <c r="H110">
        <v>0</v>
      </c>
      <c r="I110">
        <v>0</v>
      </c>
      <c r="J110">
        <v>0</v>
      </c>
      <c r="K110">
        <v>0</v>
      </c>
      <c r="L110">
        <v>0</v>
      </c>
      <c r="M110">
        <v>0</v>
      </c>
      <c r="N110">
        <v>0</v>
      </c>
      <c r="O110">
        <v>0</v>
      </c>
      <c r="P110">
        <v>0</v>
      </c>
      <c r="Q110">
        <v>0</v>
      </c>
      <c r="R110">
        <v>0</v>
      </c>
      <c r="S110">
        <v>0</v>
      </c>
      <c r="T110">
        <v>0</v>
      </c>
      <c r="U110">
        <v>0</v>
      </c>
    </row>
    <row r="111" spans="1:21" x14ac:dyDescent="0.25">
      <c r="A111" t="s">
        <v>115</v>
      </c>
      <c r="B111">
        <v>8562191000</v>
      </c>
      <c r="C111">
        <v>5064329000</v>
      </c>
      <c r="D111">
        <v>3005429000</v>
      </c>
      <c r="E111">
        <v>1129119000</v>
      </c>
      <c r="F111">
        <v>3281316000</v>
      </c>
      <c r="G111">
        <v>2064430000</v>
      </c>
      <c r="H111">
        <v>1483844000</v>
      </c>
      <c r="I111">
        <v>616664000</v>
      </c>
      <c r="J111">
        <v>1784170000</v>
      </c>
      <c r="K111">
        <v>1144966000</v>
      </c>
      <c r="L111">
        <v>634642000</v>
      </c>
      <c r="M111">
        <v>346175000</v>
      </c>
      <c r="N111">
        <v>1481639000</v>
      </c>
      <c r="O111">
        <v>1031147000</v>
      </c>
      <c r="P111">
        <v>733203000</v>
      </c>
      <c r="Q111">
        <v>324741000</v>
      </c>
      <c r="R111">
        <v>1330423000</v>
      </c>
      <c r="S111">
        <v>1003884000</v>
      </c>
      <c r="T111">
        <v>692974000</v>
      </c>
      <c r="U111">
        <v>324993000</v>
      </c>
    </row>
    <row r="112" spans="1:21" x14ac:dyDescent="0.25">
      <c r="A112" t="s">
        <v>116</v>
      </c>
      <c r="B112">
        <v>17</v>
      </c>
      <c r="C112">
        <v>10</v>
      </c>
      <c r="D112">
        <v>6</v>
      </c>
      <c r="E112">
        <v>0</v>
      </c>
      <c r="F112">
        <v>7</v>
      </c>
      <c r="G112">
        <v>4</v>
      </c>
      <c r="H112">
        <v>3</v>
      </c>
      <c r="I112">
        <v>0</v>
      </c>
      <c r="J112">
        <v>4</v>
      </c>
      <c r="K112">
        <v>0</v>
      </c>
      <c r="L112">
        <v>0</v>
      </c>
      <c r="M112">
        <v>0</v>
      </c>
      <c r="N112">
        <v>3</v>
      </c>
      <c r="O112">
        <v>2</v>
      </c>
      <c r="P112">
        <v>1</v>
      </c>
      <c r="Q112">
        <v>1</v>
      </c>
      <c r="R112">
        <v>3</v>
      </c>
      <c r="S112">
        <v>2</v>
      </c>
      <c r="T112">
        <v>1</v>
      </c>
      <c r="U112">
        <v>1</v>
      </c>
    </row>
    <row r="113" spans="1:21" x14ac:dyDescent="0.25">
      <c r="A113" t="s">
        <v>117</v>
      </c>
      <c r="B113">
        <v>17</v>
      </c>
      <c r="C113">
        <v>10</v>
      </c>
      <c r="D113">
        <v>0</v>
      </c>
      <c r="E113">
        <v>2</v>
      </c>
      <c r="F113">
        <v>7</v>
      </c>
      <c r="G113">
        <v>4</v>
      </c>
      <c r="H113">
        <v>0</v>
      </c>
      <c r="I113">
        <v>1</v>
      </c>
      <c r="J113">
        <v>4</v>
      </c>
      <c r="K113">
        <v>2</v>
      </c>
      <c r="L113">
        <v>1</v>
      </c>
      <c r="M113">
        <v>1</v>
      </c>
      <c r="N113">
        <v>3</v>
      </c>
      <c r="O113">
        <v>2</v>
      </c>
      <c r="P113">
        <v>0</v>
      </c>
      <c r="Q113">
        <v>0</v>
      </c>
      <c r="R113">
        <v>0</v>
      </c>
      <c r="S113">
        <v>2</v>
      </c>
      <c r="T113">
        <v>0</v>
      </c>
      <c r="U113">
        <v>0</v>
      </c>
    </row>
    <row r="114" spans="1:21" x14ac:dyDescent="0.25">
      <c r="A114" t="s">
        <v>118</v>
      </c>
      <c r="B114">
        <v>17</v>
      </c>
      <c r="C114">
        <v>10</v>
      </c>
      <c r="D114">
        <v>0</v>
      </c>
      <c r="E114">
        <v>0</v>
      </c>
      <c r="F114">
        <v>7</v>
      </c>
      <c r="G114">
        <v>4</v>
      </c>
      <c r="H114">
        <v>0</v>
      </c>
      <c r="I114">
        <v>0</v>
      </c>
      <c r="J114">
        <v>4</v>
      </c>
      <c r="K114">
        <v>0</v>
      </c>
      <c r="L114">
        <v>0</v>
      </c>
      <c r="M114">
        <v>0</v>
      </c>
      <c r="N114">
        <v>3</v>
      </c>
      <c r="O114">
        <v>2</v>
      </c>
      <c r="P114">
        <v>0</v>
      </c>
      <c r="Q114">
        <v>0</v>
      </c>
      <c r="R114">
        <v>0</v>
      </c>
      <c r="S114">
        <v>2</v>
      </c>
      <c r="T114">
        <v>0</v>
      </c>
      <c r="U114">
        <v>0</v>
      </c>
    </row>
    <row r="115" spans="1:21" x14ac:dyDescent="0.25">
      <c r="A115" t="s">
        <v>119</v>
      </c>
      <c r="B115">
        <v>17</v>
      </c>
      <c r="C115">
        <v>10</v>
      </c>
      <c r="D115">
        <v>0</v>
      </c>
      <c r="E115">
        <v>2</v>
      </c>
      <c r="F115">
        <v>7</v>
      </c>
      <c r="G115">
        <v>4</v>
      </c>
      <c r="H115">
        <v>0</v>
      </c>
      <c r="I115">
        <v>1</v>
      </c>
      <c r="J115">
        <v>4</v>
      </c>
      <c r="K115">
        <v>2</v>
      </c>
      <c r="L115">
        <v>1</v>
      </c>
      <c r="M115">
        <v>1</v>
      </c>
      <c r="N115">
        <v>3</v>
      </c>
      <c r="O115">
        <v>2</v>
      </c>
      <c r="P115">
        <v>0</v>
      </c>
      <c r="Q115">
        <v>0</v>
      </c>
      <c r="R115">
        <v>0</v>
      </c>
      <c r="S115">
        <v>2</v>
      </c>
      <c r="T115">
        <v>0</v>
      </c>
      <c r="U115">
        <v>0</v>
      </c>
    </row>
    <row r="116" spans="1:21" x14ac:dyDescent="0.25">
      <c r="A116" t="s">
        <v>120</v>
      </c>
      <c r="B116">
        <v>1518821000</v>
      </c>
      <c r="C116">
        <v>1087436000</v>
      </c>
      <c r="D116">
        <v>726603000</v>
      </c>
      <c r="E116">
        <v>349850000</v>
      </c>
      <c r="F116">
        <v>1199120000</v>
      </c>
      <c r="G116">
        <v>807417000</v>
      </c>
      <c r="H116">
        <v>511776000</v>
      </c>
      <c r="I116">
        <v>247241000</v>
      </c>
      <c r="J116">
        <v>758755000</v>
      </c>
      <c r="K116">
        <v>542989000</v>
      </c>
      <c r="L116">
        <v>417719000</v>
      </c>
      <c r="M116">
        <v>207942000</v>
      </c>
      <c r="N116">
        <v>760248000</v>
      </c>
      <c r="O116">
        <v>558480000</v>
      </c>
      <c r="P116">
        <v>369356000</v>
      </c>
      <c r="Q116">
        <v>216551000</v>
      </c>
      <c r="R116">
        <v>775054000</v>
      </c>
      <c r="S116">
        <v>578042000</v>
      </c>
      <c r="T116">
        <v>380726000</v>
      </c>
      <c r="U116">
        <v>188456000</v>
      </c>
    </row>
    <row r="117" spans="1:21" x14ac:dyDescent="0.25">
      <c r="A117" t="s">
        <v>121</v>
      </c>
      <c r="B117">
        <v>67888000</v>
      </c>
      <c r="C117">
        <v>107892000</v>
      </c>
      <c r="D117">
        <v>72316000</v>
      </c>
      <c r="E117">
        <v>38109000</v>
      </c>
      <c r="F117">
        <v>18823000</v>
      </c>
      <c r="G117">
        <v>64594000</v>
      </c>
      <c r="H117">
        <v>13594000</v>
      </c>
      <c r="I117">
        <v>13914000</v>
      </c>
      <c r="J117">
        <v>14447000</v>
      </c>
      <c r="K117">
        <v>32090000</v>
      </c>
      <c r="L117">
        <v>21505000</v>
      </c>
      <c r="M117">
        <v>23123000</v>
      </c>
      <c r="N117">
        <v>14453000</v>
      </c>
      <c r="O117">
        <v>35364000</v>
      </c>
      <c r="P117">
        <v>23689000</v>
      </c>
      <c r="Q117">
        <v>11528000</v>
      </c>
      <c r="R117">
        <v>18534000</v>
      </c>
      <c r="S117">
        <v>39321000</v>
      </c>
      <c r="T117">
        <v>17239000</v>
      </c>
      <c r="U117">
        <v>11357000</v>
      </c>
    </row>
    <row r="118" spans="1:21" x14ac:dyDescent="0.25">
      <c r="A118" t="s">
        <v>122</v>
      </c>
      <c r="B118">
        <v>-3996597000</v>
      </c>
      <c r="C118">
        <v>-2912744000</v>
      </c>
      <c r="D118">
        <v>-1761320000</v>
      </c>
      <c r="E118">
        <v>-534905000</v>
      </c>
      <c r="F118">
        <v>-3953134000</v>
      </c>
      <c r="G118">
        <v>-1610625000</v>
      </c>
      <c r="H118">
        <v>-1006364000</v>
      </c>
      <c r="I118">
        <v>-555420000</v>
      </c>
      <c r="J118">
        <v>-1791910000</v>
      </c>
      <c r="K118">
        <v>-774322000</v>
      </c>
      <c r="L118">
        <v>-613436000</v>
      </c>
      <c r="M118">
        <v>-361362000</v>
      </c>
      <c r="N118">
        <v>-1362272000</v>
      </c>
      <c r="O118">
        <v>-1170212000</v>
      </c>
      <c r="P118">
        <v>-560662000</v>
      </c>
      <c r="Q118">
        <v>-242462000</v>
      </c>
      <c r="R118">
        <v>-2173865000</v>
      </c>
      <c r="S118">
        <v>-1013057000</v>
      </c>
      <c r="T118">
        <v>-269621000</v>
      </c>
      <c r="U118">
        <v>-107479000</v>
      </c>
    </row>
    <row r="119" spans="1:21" x14ac:dyDescent="0.25">
      <c r="A119" t="s">
        <v>123</v>
      </c>
      <c r="B119">
        <v>34038696000</v>
      </c>
      <c r="C119">
        <v>21080230000</v>
      </c>
      <c r="D119">
        <v>12663960000</v>
      </c>
      <c r="E119">
        <v>4507647000</v>
      </c>
      <c r="F119">
        <v>14264210000</v>
      </c>
      <c r="G119">
        <v>9519025000</v>
      </c>
      <c r="H119">
        <v>6668682000</v>
      </c>
      <c r="I119">
        <v>2790636000</v>
      </c>
      <c r="J119">
        <v>12441509000</v>
      </c>
      <c r="K119">
        <v>7475094000</v>
      </c>
      <c r="L119">
        <v>3231784000</v>
      </c>
      <c r="M119">
        <v>1348465000</v>
      </c>
      <c r="N119">
        <v>5355308000</v>
      </c>
      <c r="O119">
        <v>3054596000</v>
      </c>
      <c r="P119">
        <v>2118502000</v>
      </c>
      <c r="Q119">
        <v>919263000</v>
      </c>
      <c r="R119">
        <v>3934701000</v>
      </c>
      <c r="S119">
        <v>2684248000</v>
      </c>
      <c r="T119">
        <v>2113984000</v>
      </c>
      <c r="U119">
        <v>961347000</v>
      </c>
    </row>
    <row r="120" spans="1:21" x14ac:dyDescent="0.25">
      <c r="A120" t="s">
        <v>124</v>
      </c>
      <c r="B120">
        <v>29903470000</v>
      </c>
      <c r="C120">
        <v>20237116000</v>
      </c>
      <c r="D120">
        <v>13005073000</v>
      </c>
      <c r="E120">
        <v>5912523000</v>
      </c>
      <c r="F120">
        <v>14643275000</v>
      </c>
      <c r="G120">
        <v>9666127000</v>
      </c>
      <c r="H120">
        <v>7033769000</v>
      </c>
      <c r="I120">
        <v>3527468000</v>
      </c>
      <c r="J120">
        <v>10821043000</v>
      </c>
      <c r="K120">
        <v>6720678000</v>
      </c>
      <c r="L120">
        <v>4183098000</v>
      </c>
      <c r="M120">
        <v>3040772000</v>
      </c>
      <c r="N120">
        <v>13301313000</v>
      </c>
      <c r="O120">
        <v>10224586000</v>
      </c>
      <c r="P120">
        <v>7053249000</v>
      </c>
      <c r="Q120">
        <v>3018910000</v>
      </c>
      <c r="R120">
        <v>14455023000</v>
      </c>
      <c r="S120">
        <v>10976765000</v>
      </c>
      <c r="T120">
        <v>7285657000</v>
      </c>
      <c r="U120">
        <v>3439723000</v>
      </c>
    </row>
    <row r="121" spans="1:21" x14ac:dyDescent="0.25">
      <c r="A121" t="s">
        <v>125</v>
      </c>
      <c r="B121">
        <v>-648198000</v>
      </c>
      <c r="C121">
        <v>-471950000</v>
      </c>
      <c r="D121">
        <v>-2658065000</v>
      </c>
      <c r="E121">
        <v>-2650367000</v>
      </c>
      <c r="F121">
        <v>-2735213000</v>
      </c>
      <c r="G121">
        <v>-2756102000</v>
      </c>
      <c r="H121">
        <v>-3144676000</v>
      </c>
      <c r="I121">
        <v>-3229659000</v>
      </c>
      <c r="J121">
        <v>-3450254000</v>
      </c>
      <c r="K121">
        <v>-4510172000</v>
      </c>
      <c r="L121">
        <v>-3136086000</v>
      </c>
      <c r="M121">
        <v>-2716074000</v>
      </c>
      <c r="N121">
        <v>-1825016000</v>
      </c>
      <c r="O121">
        <v>-1839121000</v>
      </c>
      <c r="P121">
        <v>-2095108000</v>
      </c>
      <c r="Q121">
        <v>-2239253000</v>
      </c>
      <c r="R121">
        <v>-2342485000</v>
      </c>
      <c r="S121">
        <v>-3006030000</v>
      </c>
      <c r="T121">
        <v>-2668374000</v>
      </c>
      <c r="U121">
        <v>-2490534000</v>
      </c>
    </row>
    <row r="122" spans="1:21" x14ac:dyDescent="0.25">
      <c r="A122" t="s">
        <v>126</v>
      </c>
      <c r="B122">
        <v>-1167511000</v>
      </c>
      <c r="C122">
        <v>-2030081000</v>
      </c>
      <c r="D122">
        <v>-3420027000</v>
      </c>
      <c r="E122">
        <v>-3658430000</v>
      </c>
      <c r="F122">
        <v>-3507178000</v>
      </c>
      <c r="G122">
        <v>-3201593000</v>
      </c>
      <c r="H122">
        <v>-3601512000</v>
      </c>
      <c r="I122">
        <v>-3992802000</v>
      </c>
      <c r="J122">
        <v>-3881805000</v>
      </c>
      <c r="K122">
        <v>-5155036000</v>
      </c>
      <c r="L122">
        <v>-3519916000</v>
      </c>
      <c r="M122">
        <v>-3027473000</v>
      </c>
      <c r="N122">
        <v>-1982058000</v>
      </c>
      <c r="O122">
        <v>-2087626000</v>
      </c>
      <c r="P122">
        <v>-2171005000</v>
      </c>
      <c r="Q122">
        <v>-2274278000</v>
      </c>
      <c r="R122">
        <v>-2538346000</v>
      </c>
      <c r="S122">
        <v>-2980498000</v>
      </c>
      <c r="T122">
        <v>-3081666000</v>
      </c>
      <c r="U122">
        <v>-2864687000</v>
      </c>
    </row>
    <row r="123" spans="1:21" x14ac:dyDescent="0.25">
      <c r="A123" t="s">
        <v>127</v>
      </c>
      <c r="B123">
        <v>-648198000</v>
      </c>
      <c r="C123">
        <v>-471950000</v>
      </c>
      <c r="D123">
        <v>-2658065000</v>
      </c>
      <c r="E123">
        <v>-2650367000</v>
      </c>
      <c r="F123">
        <v>-2735213000</v>
      </c>
      <c r="G123">
        <v>-2756102000</v>
      </c>
      <c r="H123">
        <v>-3144676000</v>
      </c>
      <c r="I123">
        <v>-3229659000</v>
      </c>
      <c r="J123">
        <v>-3450254000</v>
      </c>
      <c r="K123">
        <v>-4510172000</v>
      </c>
      <c r="L123">
        <v>-3136086000</v>
      </c>
      <c r="M123">
        <v>-2716074000</v>
      </c>
      <c r="N123">
        <v>-1825016000</v>
      </c>
      <c r="O123">
        <v>-1839121000</v>
      </c>
      <c r="P123">
        <v>-2095108000</v>
      </c>
      <c r="Q123">
        <v>-2239253000</v>
      </c>
      <c r="R123">
        <v>-2342485000</v>
      </c>
      <c r="S123">
        <v>-3006030000</v>
      </c>
      <c r="T123">
        <v>-2668374000</v>
      </c>
      <c r="U123">
        <v>-2451045000</v>
      </c>
    </row>
    <row r="124" spans="1:21" x14ac:dyDescent="0.25">
      <c r="A124" t="s">
        <v>128</v>
      </c>
      <c r="B124">
        <v>12151544000</v>
      </c>
      <c r="C124">
        <v>8044993000</v>
      </c>
      <c r="D124">
        <v>5501267000</v>
      </c>
      <c r="E124">
        <v>2479560000</v>
      </c>
      <c r="F124">
        <v>2679899000</v>
      </c>
      <c r="G124">
        <v>790665000</v>
      </c>
      <c r="H124">
        <v>-221433000</v>
      </c>
      <c r="I124">
        <v>-242714000</v>
      </c>
      <c r="J124">
        <v>1584410000</v>
      </c>
      <c r="K124">
        <v>637336000</v>
      </c>
      <c r="L124">
        <v>-701743000</v>
      </c>
      <c r="M124">
        <v>-251675000</v>
      </c>
      <c r="N124">
        <v>3656536000</v>
      </c>
      <c r="O124">
        <v>2260947000</v>
      </c>
      <c r="P124">
        <v>2441442000</v>
      </c>
      <c r="Q124">
        <v>1219867000</v>
      </c>
      <c r="R124">
        <v>1336612000</v>
      </c>
      <c r="S124">
        <v>185985000</v>
      </c>
      <c r="T124">
        <v>969444000</v>
      </c>
      <c r="U124">
        <v>821999000</v>
      </c>
    </row>
    <row r="125" spans="1:21" x14ac:dyDescent="0.25">
      <c r="A125" t="s">
        <v>129</v>
      </c>
      <c r="B125">
        <v>8562191000</v>
      </c>
      <c r="C125">
        <v>5064329000</v>
      </c>
      <c r="D125">
        <v>3005429000</v>
      </c>
      <c r="E125">
        <v>1129119000</v>
      </c>
      <c r="F125">
        <v>3281316000</v>
      </c>
      <c r="G125">
        <v>2064430000</v>
      </c>
      <c r="H125">
        <v>1483844000</v>
      </c>
      <c r="I125">
        <v>616664000</v>
      </c>
      <c r="J125">
        <v>1784170000</v>
      </c>
      <c r="K125">
        <v>1144966000</v>
      </c>
      <c r="L125">
        <v>634642000</v>
      </c>
      <c r="M125">
        <v>346175000</v>
      </c>
      <c r="N125">
        <v>1481639000</v>
      </c>
      <c r="O125">
        <v>1031147000</v>
      </c>
      <c r="P125">
        <v>733203000</v>
      </c>
      <c r="Q125">
        <v>324741000</v>
      </c>
      <c r="R125">
        <v>1330423000</v>
      </c>
      <c r="S125">
        <v>1003884000</v>
      </c>
      <c r="T125">
        <v>692974000</v>
      </c>
      <c r="U125">
        <v>324993000</v>
      </c>
    </row>
    <row r="126" spans="1:21" x14ac:dyDescent="0.25">
      <c r="A126" t="s">
        <v>130</v>
      </c>
      <c r="B126">
        <v>2551060000</v>
      </c>
      <c r="C126">
        <v>1844565000</v>
      </c>
      <c r="D126">
        <v>1197773000</v>
      </c>
      <c r="E126">
        <v>595013000</v>
      </c>
      <c r="F126">
        <v>2329659000</v>
      </c>
      <c r="G126">
        <v>1125019000</v>
      </c>
      <c r="H126">
        <v>711347000</v>
      </c>
      <c r="I126">
        <v>334767000</v>
      </c>
      <c r="J126">
        <v>1354390000</v>
      </c>
      <c r="K126">
        <v>727436000</v>
      </c>
      <c r="L126">
        <v>499594000</v>
      </c>
      <c r="M126">
        <v>244447000</v>
      </c>
      <c r="N126">
        <v>1172500000</v>
      </c>
      <c r="O126">
        <v>925281000</v>
      </c>
      <c r="P126">
        <v>587149000</v>
      </c>
      <c r="Q126">
        <v>304421000</v>
      </c>
      <c r="R126">
        <v>880231000</v>
      </c>
      <c r="S126">
        <v>254419000</v>
      </c>
      <c r="T126">
        <v>355264000</v>
      </c>
      <c r="U126">
        <v>221477000</v>
      </c>
    </row>
    <row r="127" spans="1:21" x14ac:dyDescent="0.25">
      <c r="A127" t="s">
        <v>131</v>
      </c>
      <c r="B127">
        <v>1518821000</v>
      </c>
      <c r="C127">
        <v>1087436000</v>
      </c>
      <c r="D127">
        <v>726603000</v>
      </c>
      <c r="E127">
        <v>349850000</v>
      </c>
      <c r="F127">
        <v>1199120000</v>
      </c>
      <c r="G127">
        <v>807417000</v>
      </c>
      <c r="H127">
        <v>511776000</v>
      </c>
      <c r="I127">
        <v>247241000</v>
      </c>
      <c r="J127">
        <v>758755000</v>
      </c>
      <c r="K127">
        <v>542989000</v>
      </c>
      <c r="L127">
        <v>417719000</v>
      </c>
      <c r="M127">
        <v>207942000</v>
      </c>
      <c r="N127">
        <v>760248000</v>
      </c>
      <c r="O127">
        <v>558480000</v>
      </c>
      <c r="P127">
        <v>369356000</v>
      </c>
      <c r="Q127">
        <v>216551000</v>
      </c>
      <c r="R127">
        <v>775054000</v>
      </c>
      <c r="S127">
        <v>578042000</v>
      </c>
      <c r="T127">
        <v>380726000</v>
      </c>
      <c r="U127">
        <v>188456000</v>
      </c>
    </row>
    <row r="128" spans="1:21" x14ac:dyDescent="0.25">
      <c r="A128" t="s">
        <v>132</v>
      </c>
      <c r="B128">
        <v>700896000</v>
      </c>
      <c r="C128">
        <v>405164000</v>
      </c>
      <c r="D128">
        <v>248600000</v>
      </c>
      <c r="E128">
        <v>97140000</v>
      </c>
      <c r="F128">
        <v>320529000</v>
      </c>
      <c r="G128">
        <v>205868000</v>
      </c>
      <c r="H128">
        <v>110172000</v>
      </c>
      <c r="I128">
        <v>49277000</v>
      </c>
      <c r="J128">
        <v>284710000</v>
      </c>
      <c r="K128">
        <v>157641000</v>
      </c>
      <c r="L128">
        <v>79084000</v>
      </c>
      <c r="M128">
        <v>48976000</v>
      </c>
      <c r="N128">
        <v>124406000</v>
      </c>
      <c r="O128">
        <v>80165000</v>
      </c>
      <c r="P128">
        <v>58482000</v>
      </c>
      <c r="Q128">
        <v>26386000</v>
      </c>
      <c r="R128">
        <v>151934000</v>
      </c>
      <c r="S128">
        <v>126428000</v>
      </c>
      <c r="T128">
        <v>68881000</v>
      </c>
      <c r="U128">
        <v>33501000</v>
      </c>
    </row>
    <row r="129" spans="1:21" x14ac:dyDescent="0.25">
      <c r="A129" t="s">
        <v>133</v>
      </c>
      <c r="B129">
        <v>331343000</v>
      </c>
      <c r="C129">
        <v>351965000</v>
      </c>
      <c r="D129">
        <v>222570000</v>
      </c>
      <c r="E129">
        <v>148023000</v>
      </c>
      <c r="F129">
        <v>810010000</v>
      </c>
      <c r="G129">
        <v>111734000</v>
      </c>
      <c r="H129">
        <v>89399000</v>
      </c>
      <c r="I129">
        <v>38249000</v>
      </c>
      <c r="J129">
        <v>310925000</v>
      </c>
      <c r="K129">
        <v>26806000</v>
      </c>
      <c r="L129">
        <v>2791000</v>
      </c>
      <c r="M129">
        <v>-12471000</v>
      </c>
      <c r="N129">
        <v>287846000</v>
      </c>
      <c r="O129">
        <v>286636000</v>
      </c>
      <c r="P129">
        <v>159311000</v>
      </c>
      <c r="Q129">
        <v>61484000</v>
      </c>
      <c r="R129">
        <v>-46757000</v>
      </c>
      <c r="S129">
        <v>-450051000</v>
      </c>
      <c r="T129">
        <v>-94343000</v>
      </c>
      <c r="U129">
        <v>-480000</v>
      </c>
    </row>
    <row r="130" spans="1:21" x14ac:dyDescent="0.25">
      <c r="A130" t="s">
        <v>134</v>
      </c>
      <c r="B130">
        <v>11113251000</v>
      </c>
      <c r="C130">
        <v>6908894000</v>
      </c>
      <c r="D130">
        <v>4203202000</v>
      </c>
      <c r="E130">
        <v>1724132000</v>
      </c>
      <c r="F130">
        <v>5610975000</v>
      </c>
      <c r="G130">
        <v>3189449000</v>
      </c>
      <c r="H130">
        <v>2195191000</v>
      </c>
      <c r="I130">
        <v>951431000</v>
      </c>
      <c r="J130">
        <v>3138560000</v>
      </c>
      <c r="K130">
        <v>1872402000</v>
      </c>
      <c r="L130">
        <v>1134236000</v>
      </c>
      <c r="M130">
        <v>590622000</v>
      </c>
      <c r="N130">
        <v>2654139000</v>
      </c>
      <c r="O130">
        <v>1956428000</v>
      </c>
      <c r="P130">
        <v>1320352000</v>
      </c>
      <c r="Q130">
        <v>629162000</v>
      </c>
      <c r="R130">
        <v>2210654000</v>
      </c>
      <c r="S130">
        <v>1258303000</v>
      </c>
      <c r="T130">
        <v>1048238000</v>
      </c>
      <c r="U130">
        <v>546470000</v>
      </c>
    </row>
    <row r="131" spans="1:21" x14ac:dyDescent="0.25">
      <c r="A131" t="s">
        <v>135</v>
      </c>
      <c r="B131">
        <v>1693482000</v>
      </c>
      <c r="C131">
        <v>1547121000</v>
      </c>
      <c r="D131">
        <v>1544455000</v>
      </c>
      <c r="E131">
        <v>887009000</v>
      </c>
      <c r="F131">
        <v>-2700119000</v>
      </c>
      <c r="G131">
        <v>-2237186000</v>
      </c>
      <c r="H131">
        <v>-2322388000</v>
      </c>
      <c r="I131">
        <v>-1132591000</v>
      </c>
      <c r="J131">
        <v>-1402820000</v>
      </c>
      <c r="K131">
        <v>-1139595000</v>
      </c>
      <c r="L131">
        <v>-1773026000</v>
      </c>
      <c r="M131">
        <v>-801658000</v>
      </c>
      <c r="N131">
        <v>1171727000</v>
      </c>
      <c r="O131">
        <v>438677000</v>
      </c>
      <c r="P131">
        <v>1219312000</v>
      </c>
      <c r="Q131">
        <v>630182000</v>
      </c>
      <c r="R131">
        <v>-661798000</v>
      </c>
      <c r="S131">
        <v>-903726000</v>
      </c>
      <c r="T131">
        <v>-4613000</v>
      </c>
      <c r="U131">
        <v>372692000</v>
      </c>
    </row>
    <row r="132" spans="1:21" x14ac:dyDescent="0.25">
      <c r="A132" t="s">
        <v>136</v>
      </c>
      <c r="B132">
        <v>12806733000</v>
      </c>
      <c r="C132">
        <v>8456015000</v>
      </c>
      <c r="D132">
        <v>5747657000</v>
      </c>
      <c r="E132">
        <v>2611141000</v>
      </c>
      <c r="F132">
        <v>2910856000</v>
      </c>
      <c r="G132">
        <v>952263000</v>
      </c>
      <c r="H132">
        <v>-127197000</v>
      </c>
      <c r="I132">
        <v>-181160000</v>
      </c>
      <c r="J132">
        <v>1735740000</v>
      </c>
      <c r="K132">
        <v>732807000</v>
      </c>
      <c r="L132">
        <v>-638790000</v>
      </c>
      <c r="M132">
        <v>-211036000</v>
      </c>
      <c r="N132">
        <v>3825866000</v>
      </c>
      <c r="O132">
        <v>2395105000</v>
      </c>
      <c r="P132">
        <v>2539664000</v>
      </c>
      <c r="Q132">
        <v>1259344000</v>
      </c>
      <c r="R132">
        <v>1548856000</v>
      </c>
      <c r="S132">
        <v>354577000</v>
      </c>
      <c r="T132">
        <v>1043625000</v>
      </c>
      <c r="U132">
        <v>919162000</v>
      </c>
    </row>
    <row r="133" spans="1:21" x14ac:dyDescent="0.25">
      <c r="A133" t="s">
        <v>137</v>
      </c>
      <c r="B133">
        <v>-655189000</v>
      </c>
      <c r="C133">
        <v>-411022000</v>
      </c>
      <c r="D133">
        <v>-246390000</v>
      </c>
      <c r="E133">
        <v>-131581000</v>
      </c>
      <c r="F133">
        <v>-230957000</v>
      </c>
      <c r="G133">
        <v>-161598000</v>
      </c>
      <c r="H133">
        <v>-94236000</v>
      </c>
      <c r="I133">
        <v>-61554000</v>
      </c>
      <c r="J133">
        <v>-151330000</v>
      </c>
      <c r="K133">
        <v>-95471000</v>
      </c>
      <c r="L133">
        <v>-62953000</v>
      </c>
      <c r="M133">
        <v>-40639000</v>
      </c>
      <c r="N133">
        <v>-169330000</v>
      </c>
      <c r="O133">
        <v>-134158000</v>
      </c>
      <c r="P133">
        <v>-98222000</v>
      </c>
      <c r="Q133">
        <v>-39477000</v>
      </c>
      <c r="R133">
        <v>-212244000</v>
      </c>
      <c r="S133">
        <v>-168592000</v>
      </c>
      <c r="T133">
        <v>-74181000</v>
      </c>
      <c r="U133">
        <v>-97163000</v>
      </c>
    </row>
    <row r="134" spans="1:21" x14ac:dyDescent="0.25">
      <c r="A134" t="s">
        <v>138</v>
      </c>
      <c r="B134">
        <v>-888660000</v>
      </c>
      <c r="C134">
        <v>-625833000</v>
      </c>
      <c r="D134">
        <v>-439479000</v>
      </c>
      <c r="E134">
        <v>-236131000</v>
      </c>
      <c r="F134">
        <v>-1062382000</v>
      </c>
      <c r="G134">
        <v>-756943000</v>
      </c>
      <c r="H134">
        <v>-548144000</v>
      </c>
      <c r="I134">
        <v>-379700000</v>
      </c>
      <c r="J134">
        <v>-892790000</v>
      </c>
      <c r="K134">
        <v>-574266000</v>
      </c>
      <c r="L134">
        <v>-350476000</v>
      </c>
      <c r="M134">
        <v>-176969000</v>
      </c>
      <c r="N134">
        <v>-692667000</v>
      </c>
      <c r="O134">
        <v>-391758000</v>
      </c>
      <c r="P134">
        <v>-244272000</v>
      </c>
      <c r="Q134">
        <v>-109519000</v>
      </c>
      <c r="R134">
        <v>-542876000</v>
      </c>
      <c r="S134">
        <v>-347725000</v>
      </c>
      <c r="T134">
        <v>-200247000</v>
      </c>
      <c r="U134">
        <v>-104337000</v>
      </c>
    </row>
    <row r="135" spans="1:21" x14ac:dyDescent="0.25">
      <c r="A135" t="s">
        <v>139</v>
      </c>
      <c r="B135">
        <v>734789000</v>
      </c>
      <c r="C135">
        <v>492041000</v>
      </c>
      <c r="D135">
        <v>264338000</v>
      </c>
      <c r="E135">
        <v>185772000</v>
      </c>
      <c r="F135">
        <v>301603000</v>
      </c>
      <c r="G135">
        <v>214132000</v>
      </c>
      <c r="H135">
        <v>166709000</v>
      </c>
      <c r="I135">
        <v>117470000</v>
      </c>
      <c r="J135">
        <v>195791000</v>
      </c>
      <c r="K135">
        <v>97996000</v>
      </c>
      <c r="L135">
        <v>53193000</v>
      </c>
      <c r="M135">
        <v>28104000</v>
      </c>
      <c r="N135">
        <v>522482000</v>
      </c>
      <c r="O135">
        <v>253620000</v>
      </c>
      <c r="P135">
        <v>72986000</v>
      </c>
      <c r="Q135">
        <v>-338830000</v>
      </c>
      <c r="R135">
        <v>336448000</v>
      </c>
      <c r="S135">
        <v>-46595000</v>
      </c>
      <c r="T135">
        <v>682556000</v>
      </c>
      <c r="U135">
        <v>662040000</v>
      </c>
    </row>
    <row r="136" spans="1:21" x14ac:dyDescent="0.25">
      <c r="A136" t="s">
        <v>140</v>
      </c>
      <c r="B136">
        <v>-153871000</v>
      </c>
      <c r="C136">
        <v>-133792000</v>
      </c>
      <c r="D136">
        <v>-175141000</v>
      </c>
      <c r="E136">
        <v>-50359000</v>
      </c>
      <c r="F136">
        <v>-760779000</v>
      </c>
      <c r="G136">
        <v>-542811000</v>
      </c>
      <c r="H136">
        <v>-381435000</v>
      </c>
      <c r="I136">
        <v>-262230000</v>
      </c>
      <c r="J136">
        <v>-696999000</v>
      </c>
      <c r="K136">
        <v>-476270000</v>
      </c>
      <c r="L136">
        <v>-297283000</v>
      </c>
      <c r="M136">
        <v>-148865000</v>
      </c>
      <c r="N136">
        <v>-170185000</v>
      </c>
      <c r="O136">
        <v>-138138000</v>
      </c>
      <c r="P136">
        <v>-171286000</v>
      </c>
      <c r="Q136">
        <v>-448349000</v>
      </c>
      <c r="R136">
        <v>-206428000</v>
      </c>
      <c r="S136">
        <v>-394320000</v>
      </c>
      <c r="T136">
        <v>482309000</v>
      </c>
      <c r="U136">
        <v>557703000</v>
      </c>
    </row>
    <row r="137" spans="1:21" x14ac:dyDescent="0.25">
      <c r="A137" t="s">
        <v>141</v>
      </c>
      <c r="B137">
        <v>11997673000</v>
      </c>
      <c r="C137">
        <v>7911201000</v>
      </c>
      <c r="D137">
        <v>5326126000</v>
      </c>
      <c r="E137">
        <v>2429201000</v>
      </c>
      <c r="F137">
        <v>1919120000</v>
      </c>
      <c r="G137">
        <v>247854000</v>
      </c>
      <c r="H137">
        <v>-602868000</v>
      </c>
      <c r="I137">
        <v>-504944000</v>
      </c>
      <c r="J137">
        <v>887411000</v>
      </c>
      <c r="K137">
        <v>161066000</v>
      </c>
      <c r="L137">
        <v>-999026000</v>
      </c>
      <c r="M137">
        <v>-400540000</v>
      </c>
      <c r="N137">
        <v>3486351000</v>
      </c>
      <c r="O137">
        <v>2122809000</v>
      </c>
      <c r="P137">
        <v>2270156000</v>
      </c>
      <c r="Q137">
        <v>771518000</v>
      </c>
      <c r="R137">
        <v>1130184000</v>
      </c>
      <c r="S137">
        <v>-208335000</v>
      </c>
      <c r="T137">
        <v>1451753000</v>
      </c>
      <c r="U137">
        <v>1379702000</v>
      </c>
    </row>
    <row r="138" spans="1:21" x14ac:dyDescent="0.25">
      <c r="A138" t="s">
        <v>142</v>
      </c>
      <c r="B138">
        <v>-1986823000</v>
      </c>
      <c r="C138">
        <v>-832798000</v>
      </c>
      <c r="D138">
        <v>-315778000</v>
      </c>
      <c r="E138">
        <v>719515000</v>
      </c>
      <c r="F138">
        <v>-1124044000</v>
      </c>
      <c r="G138">
        <v>597038000</v>
      </c>
      <c r="H138">
        <v>156210000</v>
      </c>
      <c r="I138">
        <v>714922000</v>
      </c>
      <c r="J138">
        <v>1562760000</v>
      </c>
      <c r="K138">
        <v>1971485000</v>
      </c>
      <c r="L138">
        <v>1262273000</v>
      </c>
      <c r="M138">
        <v>1426601000</v>
      </c>
      <c r="N138">
        <v>-1816720000</v>
      </c>
      <c r="O138">
        <v>-1219822000</v>
      </c>
      <c r="P138">
        <v>-743427000</v>
      </c>
      <c r="Q138">
        <v>318980000</v>
      </c>
      <c r="R138">
        <v>-1231761000</v>
      </c>
      <c r="S138">
        <v>-361540000</v>
      </c>
      <c r="T138">
        <v>-1045778000</v>
      </c>
      <c r="U138">
        <v>-680236000</v>
      </c>
    </row>
    <row r="139" spans="1:21" x14ac:dyDescent="0.25">
      <c r="A139" t="s">
        <v>143</v>
      </c>
      <c r="B139">
        <v>-3200000000</v>
      </c>
      <c r="C139">
        <v>-3200000000</v>
      </c>
      <c r="D139">
        <v>-3200000000</v>
      </c>
      <c r="E139">
        <v>-3200000000</v>
      </c>
      <c r="F139">
        <v>-1500000000</v>
      </c>
      <c r="G139">
        <v>-1500000000</v>
      </c>
      <c r="H139">
        <v>-1500000000</v>
      </c>
      <c r="I139">
        <v>-1500000000</v>
      </c>
      <c r="J139">
        <v>-1200000000</v>
      </c>
      <c r="K139">
        <v>-1200000000</v>
      </c>
      <c r="L139">
        <v>-1200000000</v>
      </c>
      <c r="M139">
        <v>-1200000000</v>
      </c>
      <c r="N139">
        <v>-880000000</v>
      </c>
      <c r="O139">
        <v>-880000000</v>
      </c>
      <c r="P139">
        <v>-880000000</v>
      </c>
      <c r="Q139">
        <v>-880000000</v>
      </c>
      <c r="R139">
        <v>-800000000</v>
      </c>
      <c r="S139">
        <v>-800000000</v>
      </c>
      <c r="T139">
        <v>-800000000</v>
      </c>
      <c r="U139">
        <v>-800000000</v>
      </c>
    </row>
    <row r="140" spans="1:21" x14ac:dyDescent="0.25">
      <c r="A140" t="s">
        <v>144</v>
      </c>
      <c r="B140">
        <v>0</v>
      </c>
      <c r="C140">
        <v>0</v>
      </c>
      <c r="D140">
        <v>0</v>
      </c>
      <c r="E140">
        <v>0</v>
      </c>
      <c r="F140">
        <v>0</v>
      </c>
      <c r="G140">
        <v>0</v>
      </c>
      <c r="H140">
        <v>0</v>
      </c>
      <c r="I140">
        <v>0</v>
      </c>
      <c r="J140">
        <v>0</v>
      </c>
      <c r="K140">
        <v>0</v>
      </c>
      <c r="L140">
        <v>0</v>
      </c>
      <c r="M140">
        <v>0</v>
      </c>
      <c r="N140">
        <v>0</v>
      </c>
      <c r="O140">
        <v>0</v>
      </c>
      <c r="P140">
        <v>0</v>
      </c>
      <c r="Q140">
        <v>0</v>
      </c>
      <c r="R140">
        <v>0</v>
      </c>
      <c r="S140">
        <v>0</v>
      </c>
      <c r="T140">
        <v>0</v>
      </c>
      <c r="U140">
        <v>0</v>
      </c>
    </row>
    <row r="141" spans="1:21" x14ac:dyDescent="0.25">
      <c r="A141" t="s">
        <v>145</v>
      </c>
      <c r="B141">
        <v>-190408000</v>
      </c>
      <c r="C141">
        <v>-137181000</v>
      </c>
      <c r="D141">
        <v>-118657000</v>
      </c>
      <c r="E141">
        <v>-26203000</v>
      </c>
      <c r="F141">
        <v>-117574000</v>
      </c>
      <c r="G141">
        <v>-56157000</v>
      </c>
      <c r="H141">
        <v>-52457000</v>
      </c>
      <c r="I141">
        <v>-9710000</v>
      </c>
      <c r="J141">
        <v>-108808000</v>
      </c>
      <c r="K141">
        <v>-55705000</v>
      </c>
      <c r="L141">
        <v>-51414000</v>
      </c>
      <c r="M141">
        <v>-10290000</v>
      </c>
      <c r="N141">
        <v>-61208000</v>
      </c>
      <c r="O141">
        <v>-28431000</v>
      </c>
      <c r="P141">
        <v>-33649000</v>
      </c>
      <c r="Q141">
        <v>4673000</v>
      </c>
      <c r="R141">
        <v>-76172000</v>
      </c>
      <c r="S141">
        <v>-44238000</v>
      </c>
      <c r="T141">
        <v>-17762000</v>
      </c>
      <c r="U141">
        <v>866000</v>
      </c>
    </row>
    <row r="142" spans="1:21" x14ac:dyDescent="0.25">
      <c r="A142" t="s">
        <v>146</v>
      </c>
      <c r="B142">
        <v>-5377231000</v>
      </c>
      <c r="C142">
        <v>-4169979000</v>
      </c>
      <c r="D142">
        <v>-3634435000</v>
      </c>
      <c r="E142">
        <v>-2506688000</v>
      </c>
      <c r="F142">
        <v>-2741618000</v>
      </c>
      <c r="G142">
        <v>-959119000</v>
      </c>
      <c r="H142">
        <v>-1396247000</v>
      </c>
      <c r="I142">
        <v>-794788000</v>
      </c>
      <c r="J142">
        <v>253952000</v>
      </c>
      <c r="K142">
        <v>715780000</v>
      </c>
      <c r="L142">
        <v>10859000</v>
      </c>
      <c r="M142">
        <v>216311000</v>
      </c>
      <c r="N142">
        <v>-2757928000</v>
      </c>
      <c r="O142">
        <v>-2128253000</v>
      </c>
      <c r="P142">
        <v>-1657076000</v>
      </c>
      <c r="Q142">
        <v>-556347000</v>
      </c>
      <c r="R142">
        <v>-2107933000</v>
      </c>
      <c r="S142">
        <v>-1205778000</v>
      </c>
      <c r="T142">
        <v>-1863540000</v>
      </c>
      <c r="U142">
        <v>-1479370000</v>
      </c>
    </row>
    <row r="143" spans="1:21" x14ac:dyDescent="0.25">
      <c r="A143" t="s">
        <v>147</v>
      </c>
      <c r="B143">
        <v>6620442000</v>
      </c>
      <c r="C143">
        <v>3741222000</v>
      </c>
      <c r="D143">
        <v>1691691000</v>
      </c>
      <c r="E143">
        <v>-77487000</v>
      </c>
      <c r="F143">
        <v>-822498000</v>
      </c>
      <c r="G143">
        <v>-711265000</v>
      </c>
      <c r="H143">
        <v>-1999115000</v>
      </c>
      <c r="I143">
        <v>-1299732000</v>
      </c>
      <c r="J143">
        <v>1141363000</v>
      </c>
      <c r="K143">
        <v>876846000</v>
      </c>
      <c r="L143">
        <v>-988167000</v>
      </c>
      <c r="M143">
        <v>-184229000</v>
      </c>
      <c r="N143">
        <v>728423000</v>
      </c>
      <c r="O143">
        <v>-5444000</v>
      </c>
      <c r="P143">
        <v>613080000</v>
      </c>
      <c r="Q143">
        <v>215171000</v>
      </c>
      <c r="R143">
        <v>-977749000</v>
      </c>
      <c r="S143">
        <v>-1414113000</v>
      </c>
      <c r="T143">
        <v>-411787000</v>
      </c>
      <c r="U143">
        <v>-99668000</v>
      </c>
    </row>
    <row r="144" spans="1:21" x14ac:dyDescent="0.25">
      <c r="A144" t="s">
        <v>148</v>
      </c>
      <c r="B144">
        <v>1055114000</v>
      </c>
      <c r="C144">
        <v>550709000</v>
      </c>
      <c r="D144">
        <v>480268000</v>
      </c>
      <c r="E144">
        <v>181283000</v>
      </c>
      <c r="F144">
        <v>791215000</v>
      </c>
      <c r="G144">
        <v>186194000</v>
      </c>
      <c r="H144">
        <v>182363000</v>
      </c>
      <c r="I144">
        <v>77596000</v>
      </c>
      <c r="J144">
        <v>266884000</v>
      </c>
      <c r="K144">
        <v>305856000</v>
      </c>
      <c r="L144">
        <v>249996000</v>
      </c>
      <c r="M144">
        <v>160690000</v>
      </c>
      <c r="N144">
        <v>130390000</v>
      </c>
      <c r="O144">
        <v>64176000</v>
      </c>
      <c r="P144">
        <v>125802000</v>
      </c>
      <c r="Q144">
        <v>86859000</v>
      </c>
      <c r="R144">
        <v>355857000</v>
      </c>
      <c r="S144">
        <v>715738000</v>
      </c>
      <c r="T144">
        <v>176393000</v>
      </c>
      <c r="U144">
        <v>97378000</v>
      </c>
    </row>
    <row r="145" spans="1:21" x14ac:dyDescent="0.25">
      <c r="A145" t="s">
        <v>149</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row>
    <row r="146" spans="1:21" x14ac:dyDescent="0.25">
      <c r="A146" t="s">
        <v>150</v>
      </c>
      <c r="B146">
        <v>7675556000</v>
      </c>
      <c r="C146">
        <v>4291931000</v>
      </c>
      <c r="D146">
        <v>2171959000</v>
      </c>
      <c r="E146">
        <v>103796000</v>
      </c>
      <c r="F146">
        <v>-31283000</v>
      </c>
      <c r="G146">
        <v>-525071000</v>
      </c>
      <c r="H146">
        <v>-1816752000</v>
      </c>
      <c r="I146">
        <v>-1222136000</v>
      </c>
      <c r="J146">
        <v>1408247000</v>
      </c>
      <c r="K146">
        <v>1182702000</v>
      </c>
      <c r="L146">
        <v>-738171000</v>
      </c>
      <c r="M146">
        <v>-23539000</v>
      </c>
      <c r="N146">
        <v>858813000</v>
      </c>
      <c r="O146">
        <v>58732000</v>
      </c>
      <c r="P146">
        <v>738882000</v>
      </c>
      <c r="Q146">
        <v>302030000</v>
      </c>
      <c r="R146">
        <v>-621892000</v>
      </c>
      <c r="S146">
        <v>-698375000</v>
      </c>
      <c r="T146">
        <v>-235394000</v>
      </c>
      <c r="U146">
        <v>-2290000</v>
      </c>
    </row>
    <row r="147" spans="1:21" x14ac:dyDescent="0.25">
      <c r="A147" t="s">
        <v>151</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row>
    <row r="148" spans="1:21" x14ac:dyDescent="0.25">
      <c r="A148" t="s">
        <v>152</v>
      </c>
      <c r="B148">
        <v>4195952000</v>
      </c>
      <c r="C148">
        <v>4195952000</v>
      </c>
      <c r="D148">
        <v>4195952000</v>
      </c>
      <c r="E148">
        <v>4195952000</v>
      </c>
      <c r="F148">
        <v>4227235000</v>
      </c>
      <c r="G148">
        <v>4227235000</v>
      </c>
      <c r="H148">
        <v>4227235000</v>
      </c>
      <c r="I148">
        <v>4227235000</v>
      </c>
      <c r="J148">
        <v>2818988000</v>
      </c>
      <c r="K148">
        <v>2818988000</v>
      </c>
      <c r="L148">
        <v>2818988000</v>
      </c>
      <c r="M148">
        <v>2818988000</v>
      </c>
      <c r="N148">
        <v>1960175000</v>
      </c>
      <c r="O148">
        <v>1960175000</v>
      </c>
      <c r="P148">
        <v>1960175000</v>
      </c>
      <c r="Q148">
        <v>1960175000</v>
      </c>
      <c r="R148">
        <v>2582067000</v>
      </c>
      <c r="S148">
        <v>2582067000</v>
      </c>
      <c r="T148">
        <v>2582067000</v>
      </c>
      <c r="U148">
        <v>2582067000</v>
      </c>
    </row>
    <row r="149" spans="1:21" x14ac:dyDescent="0.25">
      <c r="A149" t="s">
        <v>153</v>
      </c>
      <c r="B149">
        <v>11871508000</v>
      </c>
      <c r="C149">
        <v>8487883000</v>
      </c>
      <c r="D149">
        <v>6367911000</v>
      </c>
      <c r="E149">
        <v>4299748000</v>
      </c>
      <c r="F149">
        <v>4195952000</v>
      </c>
      <c r="G149">
        <v>3702164000</v>
      </c>
      <c r="H149">
        <v>2410483000</v>
      </c>
      <c r="I149">
        <v>3005099000</v>
      </c>
      <c r="J149">
        <v>4227235000</v>
      </c>
      <c r="K149">
        <v>4001690000</v>
      </c>
      <c r="L149">
        <v>2080817000</v>
      </c>
      <c r="M149">
        <v>2795449000</v>
      </c>
      <c r="N149">
        <v>2818988000</v>
      </c>
      <c r="O149">
        <v>2018907000</v>
      </c>
      <c r="P149">
        <v>2699057000</v>
      </c>
      <c r="Q149">
        <v>2262205000</v>
      </c>
      <c r="R149">
        <v>1960175000</v>
      </c>
      <c r="S149">
        <v>1883692000</v>
      </c>
      <c r="T149">
        <v>2346673000</v>
      </c>
      <c r="U149">
        <v>2579777000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31FB5-0ECD-440B-981E-464B22E0BA4D}">
  <dimension ref="A1:M72"/>
  <sheetViews>
    <sheetView workbookViewId="0">
      <selection activeCell="J8" sqref="J8"/>
    </sheetView>
  </sheetViews>
  <sheetFormatPr defaultRowHeight="15" x14ac:dyDescent="0.25"/>
  <cols>
    <col min="1" max="1" width="58.7109375" bestFit="1" customWidth="1"/>
    <col min="2" max="2" width="13.85546875" bestFit="1" customWidth="1"/>
    <col min="4" max="4" width="9.5703125" bestFit="1" customWidth="1"/>
    <col min="5" max="5" width="13.85546875" bestFit="1" customWidth="1"/>
    <col min="9" max="9" width="65" bestFit="1" customWidth="1"/>
    <col min="10" max="10" width="15.5703125" bestFit="1" customWidth="1"/>
    <col min="12" max="12" width="14.5703125" bestFit="1" customWidth="1"/>
    <col min="13" max="13" width="8.7109375" bestFit="1" customWidth="1"/>
  </cols>
  <sheetData>
    <row r="1" spans="1:13" x14ac:dyDescent="0.25">
      <c r="B1" s="48" t="s">
        <v>156</v>
      </c>
      <c r="C1" s="48"/>
      <c r="D1" s="48"/>
      <c r="E1" s="48" t="s">
        <v>157</v>
      </c>
      <c r="F1" s="48"/>
      <c r="G1" s="48"/>
      <c r="J1" s="48" t="s">
        <v>156</v>
      </c>
      <c r="K1" s="48"/>
      <c r="L1" s="48" t="s">
        <v>157</v>
      </c>
      <c r="M1" s="48"/>
    </row>
    <row r="2" spans="1:13" ht="45" x14ac:dyDescent="0.25">
      <c r="A2" s="12" t="s">
        <v>0</v>
      </c>
      <c r="B2" s="5" t="s">
        <v>160</v>
      </c>
      <c r="C2" s="5" t="s">
        <v>158</v>
      </c>
      <c r="D2" s="5" t="s">
        <v>159</v>
      </c>
      <c r="E2" s="5" t="s">
        <v>160</v>
      </c>
      <c r="F2" s="5" t="s">
        <v>158</v>
      </c>
      <c r="G2" s="5" t="s">
        <v>159</v>
      </c>
      <c r="I2" s="12" t="s">
        <v>161</v>
      </c>
      <c r="J2" s="5" t="s">
        <v>160</v>
      </c>
      <c r="K2" s="5" t="s">
        <v>162</v>
      </c>
      <c r="L2" s="5" t="s">
        <v>160</v>
      </c>
      <c r="M2" s="5" t="s">
        <v>162</v>
      </c>
    </row>
    <row r="3" spans="1:13" x14ac:dyDescent="0.25">
      <c r="A3" s="2" t="s">
        <v>21</v>
      </c>
      <c r="B3" s="7">
        <f>Froto!B2</f>
        <v>55124518000</v>
      </c>
      <c r="C3" s="8">
        <f>B3/$B$3*100</f>
        <v>100</v>
      </c>
      <c r="D3" s="8">
        <f>B3/$B$31*100</f>
        <v>57.390138931367218</v>
      </c>
      <c r="E3" s="7">
        <f>Toaso!B2</f>
        <v>33385203000</v>
      </c>
      <c r="F3" s="8">
        <f>E3/$E$3*100</f>
        <v>100</v>
      </c>
      <c r="G3" s="8">
        <f>E3/$E$31*100</f>
        <v>82.686140205467069</v>
      </c>
      <c r="I3" s="2" t="s">
        <v>78</v>
      </c>
      <c r="J3" s="7">
        <f>Froto!B74</f>
        <v>171796902000</v>
      </c>
      <c r="K3" s="8">
        <f>IF(J3&gt;=0,J3/$J$3*100,-J3/$J$3*100)</f>
        <v>100</v>
      </c>
      <c r="L3" s="7">
        <f>Toaso!B74</f>
        <v>65545354000</v>
      </c>
      <c r="M3" s="8">
        <f>IF(L3&gt;=0,L3/$L$3*100,-L3/$L$3*100)</f>
        <v>100</v>
      </c>
    </row>
    <row r="4" spans="1:13" x14ac:dyDescent="0.25">
      <c r="A4" t="s">
        <v>22</v>
      </c>
      <c r="B4" s="10">
        <f>Froto!B3</f>
        <v>10114706000</v>
      </c>
      <c r="C4" s="9">
        <f t="shared" ref="C4:C14" si="0">B4/$B$3*100</f>
        <v>18.348833453745574</v>
      </c>
      <c r="D4" s="9">
        <f t="shared" ref="D4:D31" si="1">B4/$B$31*100</f>
        <v>10.530421011389771</v>
      </c>
      <c r="E4" s="10">
        <f>Toaso!B3</f>
        <v>12019197000</v>
      </c>
      <c r="F4" s="9">
        <f t="shared" ref="F4:F14" si="2">E4/$E$3*100</f>
        <v>36.001569317999952</v>
      </c>
      <c r="G4" s="9">
        <f t="shared" ref="G4:G31" si="3">E4/$E$31*100</f>
        <v>29.768308082449852</v>
      </c>
      <c r="I4" t="s">
        <v>79</v>
      </c>
      <c r="J4" s="10">
        <f>Froto!B75</f>
        <v>-147855658000</v>
      </c>
      <c r="K4" s="13">
        <f t="shared" ref="K4:K37" si="4">IF(J4&gt;=0,J4/$J$3*100,-J4/$J$3*100)</f>
        <v>86.064216687679277</v>
      </c>
      <c r="L4" s="10">
        <f>Toaso!B75</f>
        <v>-53536714000</v>
      </c>
      <c r="M4" s="9">
        <f t="shared" ref="M4:M37" si="5">IF(L4&gt;=0,L4/$L$3*100,-L4/$L$3*100)</f>
        <v>81.678884517123819</v>
      </c>
    </row>
    <row r="5" spans="1:13" x14ac:dyDescent="0.25">
      <c r="A5" t="s">
        <v>23</v>
      </c>
      <c r="B5" s="10">
        <f>Froto!B4</f>
        <v>0</v>
      </c>
      <c r="C5" s="9">
        <f t="shared" si="0"/>
        <v>0</v>
      </c>
      <c r="D5" s="9">
        <f t="shared" si="1"/>
        <v>0</v>
      </c>
      <c r="E5" s="10">
        <f>Toaso!B4</f>
        <v>0</v>
      </c>
      <c r="F5" s="9">
        <f t="shared" si="2"/>
        <v>0</v>
      </c>
      <c r="G5" s="9">
        <f t="shared" si="3"/>
        <v>0</v>
      </c>
      <c r="I5" t="s">
        <v>80</v>
      </c>
      <c r="J5" s="10">
        <f>Froto!B76</f>
        <v>0</v>
      </c>
      <c r="K5" s="13">
        <f t="shared" si="4"/>
        <v>0</v>
      </c>
      <c r="L5" s="10">
        <f>Toaso!B76</f>
        <v>0</v>
      </c>
      <c r="M5" s="9">
        <f t="shared" si="5"/>
        <v>0</v>
      </c>
    </row>
    <row r="6" spans="1:13" x14ac:dyDescent="0.25">
      <c r="A6" t="s">
        <v>24</v>
      </c>
      <c r="B6" s="10">
        <f>Froto!B5</f>
        <v>25850944000</v>
      </c>
      <c r="C6" s="9">
        <f t="shared" si="0"/>
        <v>46.895546551536285</v>
      </c>
      <c r="D6" s="9">
        <f t="shared" si="1"/>
        <v>26.913419318550662</v>
      </c>
      <c r="E6" s="10">
        <f>Toaso!B5</f>
        <v>14955752000</v>
      </c>
      <c r="F6" s="9">
        <f t="shared" si="2"/>
        <v>44.797546985111936</v>
      </c>
      <c r="G6" s="9">
        <f t="shared" si="3"/>
        <v>37.041362508719637</v>
      </c>
      <c r="I6" t="s">
        <v>81</v>
      </c>
      <c r="J6" s="10">
        <f>Froto!B77</f>
        <v>23941244000</v>
      </c>
      <c r="K6" s="13">
        <f t="shared" si="4"/>
        <v>13.935783312320732</v>
      </c>
      <c r="L6" s="10">
        <f>Toaso!B77</f>
        <v>12008640000</v>
      </c>
      <c r="M6" s="9">
        <f t="shared" si="5"/>
        <v>18.321115482876177</v>
      </c>
    </row>
    <row r="7" spans="1:13" x14ac:dyDescent="0.25">
      <c r="A7" t="s">
        <v>25</v>
      </c>
      <c r="B7" s="10">
        <f>Froto!B6</f>
        <v>0</v>
      </c>
      <c r="C7" s="9">
        <f t="shared" si="0"/>
        <v>0</v>
      </c>
      <c r="D7" s="9">
        <f t="shared" si="1"/>
        <v>0</v>
      </c>
      <c r="E7" s="10">
        <f>Toaso!B6</f>
        <v>3033002000</v>
      </c>
      <c r="F7" s="9">
        <f t="shared" si="2"/>
        <v>9.0848691260017205</v>
      </c>
      <c r="G7" s="9">
        <f t="shared" si="3"/>
        <v>7.5119276230089724</v>
      </c>
      <c r="I7" t="s">
        <v>82</v>
      </c>
      <c r="J7" s="10">
        <f>Froto!B78</f>
        <v>0</v>
      </c>
      <c r="K7" s="13">
        <f t="shared" si="4"/>
        <v>0</v>
      </c>
      <c r="L7" s="10">
        <f>Toaso!B78</f>
        <v>1247529000</v>
      </c>
      <c r="M7" s="9">
        <f t="shared" si="5"/>
        <v>1.9033065257378885</v>
      </c>
    </row>
    <row r="8" spans="1:13" x14ac:dyDescent="0.25">
      <c r="A8" t="s">
        <v>26</v>
      </c>
      <c r="B8" s="10">
        <f>Froto!B7</f>
        <v>283518000</v>
      </c>
      <c r="C8" s="9">
        <f t="shared" si="0"/>
        <v>0.51432286446477415</v>
      </c>
      <c r="D8" s="9">
        <f t="shared" si="1"/>
        <v>0.2951706064721214</v>
      </c>
      <c r="E8" s="10">
        <f>Toaso!B7</f>
        <v>285000</v>
      </c>
      <c r="F8" s="9">
        <f t="shared" si="2"/>
        <v>8.5367161014417072E-4</v>
      </c>
      <c r="G8" s="9">
        <f t="shared" si="3"/>
        <v>7.0586810445807718E-4</v>
      </c>
      <c r="I8" t="s">
        <v>83</v>
      </c>
      <c r="J8" s="10">
        <f>Froto!B79</f>
        <v>0</v>
      </c>
      <c r="K8" s="13">
        <f t="shared" si="4"/>
        <v>0</v>
      </c>
      <c r="L8" s="10">
        <f>Toaso!B79</f>
        <v>-937114000</v>
      </c>
      <c r="M8" s="9">
        <f t="shared" si="5"/>
        <v>1.4297184206221543</v>
      </c>
    </row>
    <row r="9" spans="1:13" x14ac:dyDescent="0.25">
      <c r="A9" t="s">
        <v>27</v>
      </c>
      <c r="B9" s="10">
        <f>Froto!B8</f>
        <v>0</v>
      </c>
      <c r="C9" s="9">
        <f t="shared" si="0"/>
        <v>0</v>
      </c>
      <c r="D9" s="9">
        <f t="shared" si="1"/>
        <v>0</v>
      </c>
      <c r="E9" s="10">
        <f>Toaso!B8</f>
        <v>0</v>
      </c>
      <c r="F9" s="9">
        <f t="shared" si="2"/>
        <v>0</v>
      </c>
      <c r="G9" s="9">
        <f t="shared" si="3"/>
        <v>0</v>
      </c>
      <c r="I9" t="s">
        <v>84</v>
      </c>
      <c r="J9" s="10">
        <f>Froto!B80</f>
        <v>0</v>
      </c>
      <c r="K9" s="13">
        <f t="shared" si="4"/>
        <v>0</v>
      </c>
      <c r="L9" s="10">
        <f>Toaso!B80</f>
        <v>0</v>
      </c>
      <c r="M9" s="9">
        <f t="shared" si="5"/>
        <v>0</v>
      </c>
    </row>
    <row r="10" spans="1:13" x14ac:dyDescent="0.25">
      <c r="A10" t="s">
        <v>28</v>
      </c>
      <c r="B10" s="10">
        <f>Froto!B9</f>
        <v>13854008000</v>
      </c>
      <c r="C10" s="9">
        <f t="shared" si="0"/>
        <v>25.13220705167889</v>
      </c>
      <c r="D10" s="9">
        <f t="shared" si="1"/>
        <v>14.423408543477384</v>
      </c>
      <c r="E10" s="10">
        <f>Toaso!B9</f>
        <v>3260010000</v>
      </c>
      <c r="F10" s="9">
        <f t="shared" si="2"/>
        <v>9.7648350378459572</v>
      </c>
      <c r="G10" s="9">
        <f t="shared" si="3"/>
        <v>8.074165190225882</v>
      </c>
      <c r="I10" t="s">
        <v>85</v>
      </c>
      <c r="J10" s="10">
        <f>Froto!B81</f>
        <v>0</v>
      </c>
      <c r="K10" s="13">
        <f t="shared" si="4"/>
        <v>0</v>
      </c>
      <c r="L10" s="10">
        <f>Toaso!B81</f>
        <v>310415000</v>
      </c>
      <c r="M10" s="9">
        <f t="shared" si="5"/>
        <v>0.47358810511573407</v>
      </c>
    </row>
    <row r="11" spans="1:13" x14ac:dyDescent="0.25">
      <c r="A11" t="s">
        <v>29</v>
      </c>
      <c r="B11" s="10">
        <f>Froto!B10</f>
        <v>0</v>
      </c>
      <c r="C11" s="9">
        <f t="shared" si="0"/>
        <v>0</v>
      </c>
      <c r="D11" s="9">
        <f t="shared" si="1"/>
        <v>0</v>
      </c>
      <c r="E11" s="10">
        <f>Toaso!B10</f>
        <v>0</v>
      </c>
      <c r="F11" s="9">
        <f t="shared" si="2"/>
        <v>0</v>
      </c>
      <c r="G11" s="9">
        <f t="shared" si="3"/>
        <v>0</v>
      </c>
      <c r="I11" t="s">
        <v>86</v>
      </c>
      <c r="J11" s="10">
        <f>Froto!B82</f>
        <v>0</v>
      </c>
      <c r="K11" s="13">
        <f t="shared" si="4"/>
        <v>0</v>
      </c>
      <c r="L11" s="10">
        <f>Toaso!B82</f>
        <v>0</v>
      </c>
      <c r="M11" s="9">
        <f t="shared" si="5"/>
        <v>0</v>
      </c>
    </row>
    <row r="12" spans="1:13" x14ac:dyDescent="0.25">
      <c r="A12" t="s">
        <v>30</v>
      </c>
      <c r="B12" s="10">
        <f>Froto!B11</f>
        <v>5021342000</v>
      </c>
      <c r="C12" s="9">
        <f t="shared" si="0"/>
        <v>9.1090900785744733</v>
      </c>
      <c r="D12" s="9">
        <f t="shared" si="1"/>
        <v>5.2277194514772782</v>
      </c>
      <c r="E12" s="10">
        <f>Toaso!B11</f>
        <v>116957000</v>
      </c>
      <c r="F12" s="9">
        <f t="shared" si="2"/>
        <v>0.35032586143028693</v>
      </c>
      <c r="G12" s="9">
        <f t="shared" si="3"/>
        <v>0.2896709329582573</v>
      </c>
      <c r="I12" s="2" t="s">
        <v>87</v>
      </c>
      <c r="J12" s="7">
        <f>Froto!B83</f>
        <v>23941244000</v>
      </c>
      <c r="K12" s="8">
        <f t="shared" si="4"/>
        <v>13.935783312320732</v>
      </c>
      <c r="L12" s="7">
        <f>Toaso!B83</f>
        <v>12319055000</v>
      </c>
      <c r="M12" s="8">
        <f t="shared" si="5"/>
        <v>18.794703587991911</v>
      </c>
    </row>
    <row r="13" spans="1:13" x14ac:dyDescent="0.25">
      <c r="A13" t="s">
        <v>31</v>
      </c>
      <c r="B13" s="10">
        <f>Froto!B12</f>
        <v>55124518000</v>
      </c>
      <c r="C13" s="9">
        <f t="shared" si="0"/>
        <v>100</v>
      </c>
      <c r="D13" s="9">
        <f t="shared" si="1"/>
        <v>57.390138931367218</v>
      </c>
      <c r="E13" s="10">
        <f>Toaso!B12</f>
        <v>33385203000</v>
      </c>
      <c r="F13" s="9">
        <f t="shared" si="2"/>
        <v>100</v>
      </c>
      <c r="G13" s="9">
        <f t="shared" si="3"/>
        <v>82.686140205467069</v>
      </c>
      <c r="I13" t="s">
        <v>88</v>
      </c>
      <c r="J13" s="10">
        <f>Froto!B84</f>
        <v>-2756024000</v>
      </c>
      <c r="K13" s="13">
        <f t="shared" si="4"/>
        <v>1.6042338179066813</v>
      </c>
      <c r="L13" s="10">
        <f>Toaso!B84</f>
        <v>-1386214000</v>
      </c>
      <c r="M13" s="9">
        <f t="shared" si="5"/>
        <v>2.1148928419854136</v>
      </c>
    </row>
    <row r="14" spans="1:13" x14ac:dyDescent="0.25">
      <c r="A14" t="s">
        <v>32</v>
      </c>
      <c r="B14" s="10">
        <f>Froto!B13</f>
        <v>0</v>
      </c>
      <c r="C14" s="9">
        <f t="shared" si="0"/>
        <v>0</v>
      </c>
      <c r="D14" s="9">
        <f t="shared" si="1"/>
        <v>0</v>
      </c>
      <c r="E14" s="10">
        <f>Toaso!B13</f>
        <v>0</v>
      </c>
      <c r="F14" s="9">
        <f t="shared" si="2"/>
        <v>0</v>
      </c>
      <c r="G14" s="9">
        <f t="shared" si="3"/>
        <v>0</v>
      </c>
      <c r="I14" t="s">
        <v>89</v>
      </c>
      <c r="J14" s="10">
        <f>Froto!B85</f>
        <v>-1903866000</v>
      </c>
      <c r="K14" s="13">
        <f t="shared" si="4"/>
        <v>1.1082074110975528</v>
      </c>
      <c r="L14" s="10">
        <f>Toaso!B85</f>
        <v>-813298000</v>
      </c>
      <c r="M14" s="9">
        <f t="shared" si="5"/>
        <v>1.240817159977502</v>
      </c>
    </row>
    <row r="15" spans="1:13" x14ac:dyDescent="0.25">
      <c r="A15" s="2" t="s">
        <v>33</v>
      </c>
      <c r="B15" s="7">
        <f>Froto!B14</f>
        <v>40927729000</v>
      </c>
      <c r="C15" s="8">
        <f>B15/$B$15*100</f>
        <v>100</v>
      </c>
      <c r="D15" s="8">
        <f t="shared" si="1"/>
        <v>42.609861068632782</v>
      </c>
      <c r="E15" s="7">
        <f>Toaso!B14</f>
        <v>6990612000</v>
      </c>
      <c r="F15" s="8">
        <f>E15/$E$15*100</f>
        <v>100</v>
      </c>
      <c r="G15" s="8">
        <f t="shared" si="3"/>
        <v>17.313859794532942</v>
      </c>
      <c r="I15" t="s">
        <v>90</v>
      </c>
      <c r="J15" s="10">
        <f>Froto!B86</f>
        <v>-1449033000</v>
      </c>
      <c r="K15" s="13">
        <f t="shared" si="4"/>
        <v>0.84345700250170985</v>
      </c>
      <c r="L15" s="10">
        <f>Toaso!B86</f>
        <v>-368513000</v>
      </c>
      <c r="M15" s="9">
        <f t="shared" si="5"/>
        <v>0.56222596646590695</v>
      </c>
    </row>
    <row r="16" spans="1:13" x14ac:dyDescent="0.25">
      <c r="A16" t="s">
        <v>24</v>
      </c>
      <c r="B16" s="10">
        <f>Froto!B15</f>
        <v>15684000</v>
      </c>
      <c r="C16" s="9">
        <f t="shared" ref="C16:C30" si="6">B16/$B$15*100</f>
        <v>3.8321207609637954E-2</v>
      </c>
      <c r="D16" s="9">
        <f t="shared" si="1"/>
        <v>1.6328613322289066E-2</v>
      </c>
      <c r="E16" s="10">
        <f>Toaso!B15</f>
        <v>0</v>
      </c>
      <c r="F16" s="9">
        <f t="shared" ref="F16:F30" si="7">E16/$E$15*100</f>
        <v>0</v>
      </c>
      <c r="G16" s="9">
        <f t="shared" si="3"/>
        <v>0</v>
      </c>
      <c r="I16" t="s">
        <v>91</v>
      </c>
      <c r="J16" s="10">
        <f>Froto!B87</f>
        <v>3412894000</v>
      </c>
      <c r="K16" s="13">
        <f t="shared" si="4"/>
        <v>1.986586463590595</v>
      </c>
      <c r="L16" s="10">
        <f>Toaso!B87</f>
        <v>5567413000</v>
      </c>
      <c r="M16" s="9">
        <f t="shared" si="5"/>
        <v>8.4939857064468676</v>
      </c>
    </row>
    <row r="17" spans="1:13" x14ac:dyDescent="0.25">
      <c r="A17" t="s">
        <v>25</v>
      </c>
      <c r="B17" s="10">
        <f>Froto!B16</f>
        <v>0</v>
      </c>
      <c r="C17" s="9">
        <f t="shared" si="6"/>
        <v>0</v>
      </c>
      <c r="D17" s="9">
        <f t="shared" si="1"/>
        <v>0</v>
      </c>
      <c r="E17" s="10">
        <f>Toaso!B16</f>
        <v>1775584000</v>
      </c>
      <c r="F17" s="9">
        <f t="shared" si="7"/>
        <v>25.399550139529985</v>
      </c>
      <c r="G17" s="9">
        <f t="shared" si="3"/>
        <v>4.3976424996003178</v>
      </c>
      <c r="I17" t="s">
        <v>92</v>
      </c>
      <c r="J17" s="10">
        <f>Froto!B88</f>
        <v>-2104872000</v>
      </c>
      <c r="K17" s="13">
        <f t="shared" si="4"/>
        <v>1.2252095209493359</v>
      </c>
      <c r="L17" s="10">
        <f>Toaso!B88</f>
        <v>-6388577000</v>
      </c>
      <c r="M17" s="9">
        <f t="shared" si="5"/>
        <v>9.7468037170109731</v>
      </c>
    </row>
    <row r="18" spans="1:13" x14ac:dyDescent="0.25">
      <c r="A18" t="s">
        <v>26</v>
      </c>
      <c r="B18" s="10">
        <f>Froto!B17</f>
        <v>1153083000</v>
      </c>
      <c r="C18" s="9">
        <f t="shared" si="6"/>
        <v>2.8173637486702474</v>
      </c>
      <c r="D18" s="9">
        <f t="shared" si="1"/>
        <v>1.200474779106417</v>
      </c>
      <c r="E18" s="10">
        <f>Toaso!B17</f>
        <v>460000</v>
      </c>
      <c r="F18" s="9">
        <f t="shared" si="7"/>
        <v>6.5802536315847596E-3</v>
      </c>
      <c r="G18" s="9">
        <f t="shared" si="3"/>
        <v>1.1392958878972473E-3</v>
      </c>
      <c r="I18" t="s">
        <v>93</v>
      </c>
      <c r="J18" s="10">
        <f>Froto!B89</f>
        <v>0</v>
      </c>
      <c r="K18" s="13">
        <f t="shared" si="4"/>
        <v>0</v>
      </c>
      <c r="L18" s="10">
        <f>Toaso!B89</f>
        <v>0</v>
      </c>
      <c r="M18" s="9">
        <f t="shared" si="5"/>
        <v>0</v>
      </c>
    </row>
    <row r="19" spans="1:13" x14ac:dyDescent="0.25">
      <c r="A19" t="s">
        <v>27</v>
      </c>
      <c r="B19" s="10">
        <f>Froto!B18</f>
        <v>0</v>
      </c>
      <c r="C19" s="9">
        <f t="shared" si="6"/>
        <v>0</v>
      </c>
      <c r="D19" s="9">
        <f t="shared" si="1"/>
        <v>0</v>
      </c>
      <c r="E19" s="10">
        <f>Toaso!B18</f>
        <v>0</v>
      </c>
      <c r="F19" s="9">
        <f t="shared" si="7"/>
        <v>0</v>
      </c>
      <c r="G19" s="9">
        <f t="shared" si="3"/>
        <v>0</v>
      </c>
      <c r="I19" s="2" t="s">
        <v>94</v>
      </c>
      <c r="J19" s="7">
        <f>Froto!B90</f>
        <v>19140343000</v>
      </c>
      <c r="K19" s="8">
        <f t="shared" si="4"/>
        <v>11.141262023456045</v>
      </c>
      <c r="L19" s="7">
        <f>Toaso!B90</f>
        <v>8929866000</v>
      </c>
      <c r="M19" s="8">
        <f t="shared" si="5"/>
        <v>13.623949608998984</v>
      </c>
    </row>
    <row r="20" spans="1:13" x14ac:dyDescent="0.25">
      <c r="A20" t="s">
        <v>23</v>
      </c>
      <c r="B20" s="10">
        <f>Froto!B19</f>
        <v>145942000</v>
      </c>
      <c r="C20" s="9">
        <f t="shared" si="6"/>
        <v>0.35658465193609934</v>
      </c>
      <c r="D20" s="9">
        <f t="shared" si="1"/>
        <v>0.15194022478203972</v>
      </c>
      <c r="E20" s="10">
        <f>Toaso!B19</f>
        <v>0</v>
      </c>
      <c r="F20" s="9">
        <f t="shared" si="7"/>
        <v>0</v>
      </c>
      <c r="G20" s="9">
        <f t="shared" si="3"/>
        <v>0</v>
      </c>
      <c r="I20" s="2" t="s">
        <v>95</v>
      </c>
      <c r="J20" s="7">
        <f>Froto!B91</f>
        <v>17832321000</v>
      </c>
      <c r="K20" s="8">
        <f t="shared" si="4"/>
        <v>10.379885080814786</v>
      </c>
      <c r="L20" s="10">
        <f>Toaso!B91</f>
        <v>9751030000</v>
      </c>
      <c r="M20" s="9">
        <f t="shared" si="5"/>
        <v>14.876767619563088</v>
      </c>
    </row>
    <row r="21" spans="1:13" x14ac:dyDescent="0.25">
      <c r="A21" t="s">
        <v>34</v>
      </c>
      <c r="B21" s="10">
        <f>Froto!B20</f>
        <v>0</v>
      </c>
      <c r="C21" s="9">
        <f t="shared" si="6"/>
        <v>0</v>
      </c>
      <c r="D21" s="9">
        <f t="shared" si="1"/>
        <v>0</v>
      </c>
      <c r="E21" s="10">
        <f>Toaso!B20</f>
        <v>0</v>
      </c>
      <c r="F21" s="9">
        <f t="shared" si="7"/>
        <v>0</v>
      </c>
      <c r="G21" s="9">
        <f t="shared" si="3"/>
        <v>0</v>
      </c>
      <c r="I21" t="s">
        <v>96</v>
      </c>
      <c r="J21" s="10">
        <f>Froto!B92</f>
        <v>21013000</v>
      </c>
      <c r="K21" s="13">
        <f t="shared" si="4"/>
        <v>1.2231303216399094E-2</v>
      </c>
      <c r="L21" s="10">
        <f>Toaso!B92</f>
        <v>84346000</v>
      </c>
      <c r="M21" s="9">
        <f t="shared" si="5"/>
        <v>0.12868341515098081</v>
      </c>
    </row>
    <row r="22" spans="1:13" x14ac:dyDescent="0.25">
      <c r="A22" t="s">
        <v>29</v>
      </c>
      <c r="B22" s="10">
        <f>Froto!B21</f>
        <v>0</v>
      </c>
      <c r="C22" s="9">
        <f t="shared" si="6"/>
        <v>0</v>
      </c>
      <c r="D22" s="9">
        <f t="shared" si="1"/>
        <v>0</v>
      </c>
      <c r="E22" s="10">
        <f>Toaso!B21</f>
        <v>0</v>
      </c>
      <c r="F22" s="9">
        <f t="shared" si="7"/>
        <v>0</v>
      </c>
      <c r="G22" s="9">
        <f t="shared" si="3"/>
        <v>0</v>
      </c>
      <c r="I22" t="s">
        <v>97</v>
      </c>
      <c r="J22" s="10">
        <f>Froto!B93</f>
        <v>-34930000</v>
      </c>
      <c r="K22" s="13">
        <f t="shared" si="4"/>
        <v>2.0332147782269088E-2</v>
      </c>
      <c r="L22" s="10">
        <f>Toaso!B93</f>
        <v>0</v>
      </c>
      <c r="M22" s="9">
        <f t="shared" si="5"/>
        <v>0</v>
      </c>
    </row>
    <row r="23" spans="1:13" x14ac:dyDescent="0.25">
      <c r="A23" t="s">
        <v>35</v>
      </c>
      <c r="B23" s="10">
        <f>Froto!B22</f>
        <v>0</v>
      </c>
      <c r="C23" s="9">
        <f t="shared" si="6"/>
        <v>0</v>
      </c>
      <c r="D23" s="9">
        <f t="shared" si="1"/>
        <v>0</v>
      </c>
      <c r="E23" s="10">
        <f>Toaso!B22</f>
        <v>98095000</v>
      </c>
      <c r="F23" s="9">
        <f t="shared" si="7"/>
        <v>1.4032390869354501</v>
      </c>
      <c r="G23" s="9">
        <f t="shared" si="3"/>
        <v>0.24295484809408802</v>
      </c>
      <c r="I23" t="s">
        <v>98</v>
      </c>
      <c r="J23" s="10">
        <f>Froto!B94</f>
        <v>0</v>
      </c>
      <c r="K23" s="13">
        <f t="shared" si="4"/>
        <v>0</v>
      </c>
      <c r="L23" s="10">
        <f>Toaso!B94</f>
        <v>0</v>
      </c>
      <c r="M23" s="9">
        <f t="shared" si="5"/>
        <v>0</v>
      </c>
    </row>
    <row r="24" spans="1:13" x14ac:dyDescent="0.25">
      <c r="A24" t="s">
        <v>28</v>
      </c>
      <c r="B24" s="10">
        <f>Froto!B23</f>
        <v>0</v>
      </c>
      <c r="C24" s="9">
        <f t="shared" si="6"/>
        <v>0</v>
      </c>
      <c r="D24" s="9">
        <f t="shared" si="1"/>
        <v>0</v>
      </c>
      <c r="E24" s="10">
        <f>Toaso!B23</f>
        <v>0</v>
      </c>
      <c r="F24" s="9">
        <f t="shared" si="7"/>
        <v>0</v>
      </c>
      <c r="G24" s="9">
        <f t="shared" si="3"/>
        <v>0</v>
      </c>
      <c r="I24" t="s">
        <v>99</v>
      </c>
      <c r="J24" s="10">
        <f>Froto!B95</f>
        <v>0</v>
      </c>
      <c r="K24" s="13">
        <f t="shared" si="4"/>
        <v>0</v>
      </c>
      <c r="L24" s="10">
        <f>Toaso!B95</f>
        <v>0</v>
      </c>
      <c r="M24" s="9">
        <f t="shared" si="5"/>
        <v>0</v>
      </c>
    </row>
    <row r="25" spans="1:13" x14ac:dyDescent="0.25">
      <c r="A25" t="s">
        <v>36</v>
      </c>
      <c r="B25" s="10">
        <f>Froto!B24</f>
        <v>164475000</v>
      </c>
      <c r="C25" s="9">
        <f t="shared" si="6"/>
        <v>0.40186691032869182</v>
      </c>
      <c r="D25" s="9">
        <f t="shared" si="1"/>
        <v>0.17123493217186267</v>
      </c>
      <c r="E25" s="10">
        <f>Toaso!B24</f>
        <v>15938000</v>
      </c>
      <c r="F25" s="9">
        <f t="shared" si="7"/>
        <v>0.22799148343521283</v>
      </c>
      <c r="G25" s="9">
        <f t="shared" si="3"/>
        <v>3.9474125785448545E-2</v>
      </c>
      <c r="I25" s="2" t="s">
        <v>100</v>
      </c>
      <c r="J25" s="7">
        <f>Froto!B96</f>
        <v>19126426000</v>
      </c>
      <c r="K25" s="8">
        <f t="shared" si="4"/>
        <v>11.133161178890177</v>
      </c>
      <c r="L25" s="7">
        <f>Toaso!B96</f>
        <v>9014212000</v>
      </c>
      <c r="M25" s="8">
        <f t="shared" si="5"/>
        <v>13.752633024149965</v>
      </c>
    </row>
    <row r="26" spans="1:13" x14ac:dyDescent="0.25">
      <c r="A26" t="s">
        <v>37</v>
      </c>
      <c r="B26" s="10">
        <f>Froto!B25</f>
        <v>20145190000</v>
      </c>
      <c r="C26" s="9">
        <f t="shared" si="6"/>
        <v>49.221372629788476</v>
      </c>
      <c r="D26" s="9">
        <f t="shared" si="1"/>
        <v>20.973158493626912</v>
      </c>
      <c r="E26" s="10">
        <f>Toaso!B25</f>
        <v>1740643000</v>
      </c>
      <c r="F26" s="9">
        <f t="shared" si="7"/>
        <v>24.89972265661433</v>
      </c>
      <c r="G26" s="9">
        <f t="shared" si="3"/>
        <v>4.3111030699937576</v>
      </c>
      <c r="I26" t="s">
        <v>101</v>
      </c>
      <c r="J26" s="10">
        <f>Froto!B97</f>
        <v>6694430000</v>
      </c>
      <c r="K26" s="13">
        <f t="shared" si="4"/>
        <v>3.8967117113671819</v>
      </c>
      <c r="L26" s="10">
        <f>Toaso!B97</f>
        <v>3544616000</v>
      </c>
      <c r="M26" s="9">
        <f t="shared" si="5"/>
        <v>5.4078829141726814</v>
      </c>
    </row>
    <row r="27" spans="1:13" x14ac:dyDescent="0.25">
      <c r="A27" t="s">
        <v>38</v>
      </c>
      <c r="B27" s="10">
        <f>Froto!B26</f>
        <v>503941000</v>
      </c>
      <c r="C27" s="9">
        <f t="shared" si="6"/>
        <v>1.231294802601923</v>
      </c>
      <c r="D27" s="9">
        <f t="shared" si="1"/>
        <v>0.52465300473397569</v>
      </c>
      <c r="E27" s="10">
        <f>Toaso!B26</f>
        <v>0</v>
      </c>
      <c r="F27" s="9">
        <f t="shared" si="7"/>
        <v>0</v>
      </c>
      <c r="G27" s="9">
        <f t="shared" si="3"/>
        <v>0</v>
      </c>
      <c r="I27" t="s">
        <v>102</v>
      </c>
      <c r="J27" s="10">
        <f>Froto!B98</f>
        <v>-10197649000</v>
      </c>
      <c r="K27" s="13">
        <f t="shared" si="4"/>
        <v>5.9358747924336841</v>
      </c>
      <c r="L27" s="10">
        <f>Toaso!B98</f>
        <v>-3996597000</v>
      </c>
      <c r="M27" s="9">
        <f t="shared" si="5"/>
        <v>6.0974527653020232</v>
      </c>
    </row>
    <row r="28" spans="1:13" x14ac:dyDescent="0.25">
      <c r="A28" t="s">
        <v>39</v>
      </c>
      <c r="B28" s="10">
        <f>Froto!B27</f>
        <v>6950343000</v>
      </c>
      <c r="C28" s="9">
        <f t="shared" si="6"/>
        <v>16.981990376255666</v>
      </c>
      <c r="D28" s="9">
        <f t="shared" si="1"/>
        <v>7.2360025060111299</v>
      </c>
      <c r="E28" s="10">
        <f>Toaso!B27</f>
        <v>1512970000</v>
      </c>
      <c r="F28" s="9">
        <f t="shared" si="7"/>
        <v>21.642883341258248</v>
      </c>
      <c r="G28" s="9">
        <f t="shared" si="3"/>
        <v>3.747218477199779</v>
      </c>
      <c r="I28" t="s">
        <v>103</v>
      </c>
      <c r="J28" s="10">
        <f>Froto!B99</f>
        <v>-13917000</v>
      </c>
      <c r="K28" s="13">
        <f t="shared" si="4"/>
        <v>8.1008445658699944E-3</v>
      </c>
      <c r="L28" s="10">
        <f>Toaso!B99</f>
        <v>84346000</v>
      </c>
      <c r="M28" s="9">
        <f t="shared" si="5"/>
        <v>0.12868341515098081</v>
      </c>
    </row>
    <row r="29" spans="1:13" x14ac:dyDescent="0.25">
      <c r="A29" t="s">
        <v>40</v>
      </c>
      <c r="B29" s="10">
        <f>Froto!B28</f>
        <v>5374582000</v>
      </c>
      <c r="C29" s="9">
        <f t="shared" si="6"/>
        <v>13.131884253827034</v>
      </c>
      <c r="D29" s="9">
        <f t="shared" si="1"/>
        <v>5.5954776362493632</v>
      </c>
      <c r="E29" s="10">
        <f>Toaso!B28</f>
        <v>1818545000</v>
      </c>
      <c r="F29" s="9">
        <f t="shared" si="7"/>
        <v>26.014102914022409</v>
      </c>
      <c r="G29" s="9">
        <f t="shared" si="3"/>
        <v>4.5040453053393472</v>
      </c>
      <c r="I29" s="2" t="s">
        <v>104</v>
      </c>
      <c r="J29" s="7">
        <f>Froto!B100</f>
        <v>15623207000</v>
      </c>
      <c r="K29" s="8">
        <f t="shared" si="4"/>
        <v>9.0939980978236736</v>
      </c>
      <c r="L29" s="7">
        <f>Toaso!B100</f>
        <v>8562231000</v>
      </c>
      <c r="M29" s="8">
        <f t="shared" si="5"/>
        <v>13.063063173020623</v>
      </c>
    </row>
    <row r="30" spans="1:13" x14ac:dyDescent="0.25">
      <c r="A30" t="s">
        <v>41</v>
      </c>
      <c r="B30" s="10">
        <f>Froto!B29</f>
        <v>6474489000</v>
      </c>
      <c r="C30" s="9">
        <f t="shared" si="6"/>
        <v>15.819321418982227</v>
      </c>
      <c r="D30" s="9">
        <f t="shared" si="1"/>
        <v>6.7405908786287956</v>
      </c>
      <c r="E30" s="10">
        <f>Toaso!B29</f>
        <v>28377000</v>
      </c>
      <c r="F30" s="9">
        <f t="shared" si="7"/>
        <v>0.40593012457278421</v>
      </c>
      <c r="G30" s="9">
        <f t="shared" si="3"/>
        <v>7.0282172632304754E-2</v>
      </c>
      <c r="I30" t="s">
        <v>105</v>
      </c>
      <c r="J30" s="10">
        <f>Froto!B101</f>
        <v>2990736000</v>
      </c>
      <c r="K30" s="13">
        <f t="shared" si="4"/>
        <v>1.7408556063484779</v>
      </c>
      <c r="L30" s="10">
        <f>Toaso!B101</f>
        <v>-40000</v>
      </c>
      <c r="M30" s="9">
        <f t="shared" si="5"/>
        <v>6.1026445901871248E-5</v>
      </c>
    </row>
    <row r="31" spans="1:13" x14ac:dyDescent="0.25">
      <c r="A31" s="2" t="s">
        <v>42</v>
      </c>
      <c r="B31" s="7">
        <f>Froto!B30</f>
        <v>96052247000</v>
      </c>
      <c r="C31" s="2"/>
      <c r="D31" s="8">
        <f t="shared" si="1"/>
        <v>100</v>
      </c>
      <c r="E31" s="7">
        <f>Toaso!B30</f>
        <v>40375815000</v>
      </c>
      <c r="F31" s="2"/>
      <c r="G31" s="8">
        <f t="shared" si="3"/>
        <v>100</v>
      </c>
      <c r="I31" t="s">
        <v>106</v>
      </c>
      <c r="J31" s="10">
        <f>Froto!B102</f>
        <v>-94210000</v>
      </c>
      <c r="K31" s="13">
        <f t="shared" si="4"/>
        <v>5.483800866211197E-2</v>
      </c>
      <c r="L31" s="10">
        <f>Toaso!B102</f>
        <v>-761698000</v>
      </c>
      <c r="M31" s="9">
        <f t="shared" si="5"/>
        <v>1.162093044764088</v>
      </c>
    </row>
    <row r="32" spans="1:13" x14ac:dyDescent="0.25">
      <c r="A32" t="s">
        <v>43</v>
      </c>
      <c r="B32" s="7">
        <f>Froto!B31</f>
        <v>0</v>
      </c>
      <c r="E32" s="7">
        <f>Toaso!B31</f>
        <v>0</v>
      </c>
      <c r="I32" t="s">
        <v>107</v>
      </c>
      <c r="J32" s="10">
        <f>Froto!B103</f>
        <v>3084946000</v>
      </c>
      <c r="K32" s="13">
        <f t="shared" si="4"/>
        <v>1.7956936150105895</v>
      </c>
      <c r="L32" s="10">
        <f>Toaso!B103</f>
        <v>761658000</v>
      </c>
      <c r="M32" s="9">
        <f t="shared" si="5"/>
        <v>1.1620320183181863</v>
      </c>
    </row>
    <row r="33" spans="1:13" x14ac:dyDescent="0.25">
      <c r="A33" s="2" t="s">
        <v>44</v>
      </c>
      <c r="B33" s="7">
        <f>Froto!B32</f>
        <v>46205980000</v>
      </c>
      <c r="C33" s="2">
        <f>B33/$B$33*100</f>
        <v>100</v>
      </c>
      <c r="D33" s="8">
        <f>B33/$B$72*100</f>
        <v>48.105048495117451</v>
      </c>
      <c r="E33" s="7">
        <f>Toaso!B32</f>
        <v>26069474000</v>
      </c>
      <c r="F33" s="8">
        <f>E33/$E$33*100</f>
        <v>100</v>
      </c>
      <c r="G33" s="8">
        <f>E33/$E$72*100</f>
        <v>64.567053321400451</v>
      </c>
      <c r="I33" t="s">
        <v>108</v>
      </c>
      <c r="J33" s="10">
        <f>Froto!B104</f>
        <v>0</v>
      </c>
      <c r="K33" s="13">
        <f t="shared" si="4"/>
        <v>0</v>
      </c>
      <c r="L33" s="10">
        <f>Toaso!B104</f>
        <v>0</v>
      </c>
      <c r="M33" s="9">
        <f t="shared" si="5"/>
        <v>0</v>
      </c>
    </row>
    <row r="34" spans="1:13" x14ac:dyDescent="0.25">
      <c r="A34" t="s">
        <v>45</v>
      </c>
      <c r="B34" s="10">
        <f>Froto!B33</f>
        <v>13218603000</v>
      </c>
      <c r="C34" s="9">
        <f t="shared" ref="C34:C46" si="8">B34/$B$33*100</f>
        <v>28.607991865987909</v>
      </c>
      <c r="D34" s="9">
        <f>B34/$B$72*100</f>
        <v>13.76188836061274</v>
      </c>
      <c r="E34" s="10">
        <f>Toaso!B33</f>
        <v>5070816000</v>
      </c>
      <c r="F34" s="9">
        <f t="shared" ref="F34:F46" si="9">E34/$E$33*100</f>
        <v>19.451163456539248</v>
      </c>
      <c r="G34" s="9">
        <f t="shared" ref="G34:G72" si="10">E34/$E$72*100</f>
        <v>12.559043080616453</v>
      </c>
      <c r="I34" s="2" t="s">
        <v>109</v>
      </c>
      <c r="J34" s="7">
        <f>Froto!B105</f>
        <v>18613943000</v>
      </c>
      <c r="K34" s="8">
        <f t="shared" si="4"/>
        <v>10.834853704172151</v>
      </c>
      <c r="L34" s="7">
        <f>Toaso!B105</f>
        <v>8562191000</v>
      </c>
      <c r="M34" s="8">
        <f t="shared" si="5"/>
        <v>13.063002146574721</v>
      </c>
    </row>
    <row r="35" spans="1:13" x14ac:dyDescent="0.25">
      <c r="A35" t="s">
        <v>46</v>
      </c>
      <c r="B35" s="10">
        <f>Froto!B34</f>
        <v>0</v>
      </c>
      <c r="C35" s="9">
        <f t="shared" si="8"/>
        <v>0</v>
      </c>
      <c r="D35" s="9">
        <f t="shared" ref="D35:D72" si="11">B35/$B$72*100</f>
        <v>0</v>
      </c>
      <c r="E35" s="10">
        <f>Toaso!B34</f>
        <v>93818000</v>
      </c>
      <c r="F35" s="9">
        <f t="shared" si="9"/>
        <v>0.35987684293131494</v>
      </c>
      <c r="G35" s="9">
        <f t="shared" si="10"/>
        <v>0.2323618730668347</v>
      </c>
      <c r="I35" t="s">
        <v>110</v>
      </c>
      <c r="J35" s="10">
        <f>Froto!B106</f>
        <v>0</v>
      </c>
      <c r="K35" s="13">
        <f t="shared" si="4"/>
        <v>0</v>
      </c>
      <c r="L35" s="10">
        <f>Toaso!B106</f>
        <v>0</v>
      </c>
      <c r="M35" s="9">
        <f t="shared" si="5"/>
        <v>0</v>
      </c>
    </row>
    <row r="36" spans="1:13" x14ac:dyDescent="0.25">
      <c r="A36" t="s">
        <v>47</v>
      </c>
      <c r="B36" s="10">
        <f>Froto!B35</f>
        <v>30146246000</v>
      </c>
      <c r="C36" s="9">
        <f t="shared" si="8"/>
        <v>65.243169823473067</v>
      </c>
      <c r="D36" s="9">
        <f t="shared" si="11"/>
        <v>31.385258483333555</v>
      </c>
      <c r="E36" s="10">
        <f>Toaso!B35</f>
        <v>19001732000</v>
      </c>
      <c r="F36" s="9">
        <f t="shared" si="9"/>
        <v>72.88882008129508</v>
      </c>
      <c r="G36" s="9">
        <f t="shared" si="10"/>
        <v>47.062163327229435</v>
      </c>
      <c r="I36" t="s">
        <v>111</v>
      </c>
      <c r="J36" s="10">
        <f>Froto!B107</f>
        <v>0</v>
      </c>
      <c r="K36" s="13">
        <f t="shared" si="4"/>
        <v>0</v>
      </c>
      <c r="L36" s="10">
        <f>Toaso!B107</f>
        <v>0</v>
      </c>
      <c r="M36" s="9">
        <f t="shared" si="5"/>
        <v>0</v>
      </c>
    </row>
    <row r="37" spans="1:13" x14ac:dyDescent="0.25">
      <c r="A37" t="s">
        <v>48</v>
      </c>
      <c r="B37" s="10">
        <f>Froto!B36</f>
        <v>735355000</v>
      </c>
      <c r="C37" s="9">
        <f t="shared" si="8"/>
        <v>1.5914714935166399</v>
      </c>
      <c r="D37" s="9">
        <f t="shared" si="11"/>
        <v>0.76557813374214978</v>
      </c>
      <c r="E37" s="10">
        <f>Toaso!B36</f>
        <v>57031000</v>
      </c>
      <c r="F37" s="9">
        <f t="shared" si="9"/>
        <v>0.21876544191110261</v>
      </c>
      <c r="G37" s="9">
        <f t="shared" si="10"/>
        <v>0.14125039952753896</v>
      </c>
      <c r="I37" s="2" t="s">
        <v>112</v>
      </c>
      <c r="J37" s="7">
        <f>Froto!B108</f>
        <v>18613943000</v>
      </c>
      <c r="K37" s="8">
        <f t="shared" si="4"/>
        <v>10.834853704172151</v>
      </c>
      <c r="L37" s="7">
        <f>Toaso!B108</f>
        <v>8562191000</v>
      </c>
      <c r="M37" s="8">
        <f t="shared" si="5"/>
        <v>13.063002146574721</v>
      </c>
    </row>
    <row r="38" spans="1:13" x14ac:dyDescent="0.25">
      <c r="A38" t="s">
        <v>49</v>
      </c>
      <c r="B38" s="10">
        <f>Froto!B37</f>
        <v>0</v>
      </c>
      <c r="C38" s="9">
        <f t="shared" si="8"/>
        <v>0</v>
      </c>
      <c r="D38" s="9">
        <f t="shared" si="11"/>
        <v>0</v>
      </c>
      <c r="E38" s="10">
        <f>Toaso!B37</f>
        <v>53416000</v>
      </c>
      <c r="F38" s="9">
        <f t="shared" si="9"/>
        <v>0.20489864889487222</v>
      </c>
      <c r="G38" s="9">
        <f t="shared" si="10"/>
        <v>0.13229701988678122</v>
      </c>
    </row>
    <row r="39" spans="1:13" x14ac:dyDescent="0.25">
      <c r="A39" t="s">
        <v>50</v>
      </c>
      <c r="B39" s="10">
        <f>Froto!B38</f>
        <v>0</v>
      </c>
      <c r="C39" s="9">
        <f t="shared" si="8"/>
        <v>0</v>
      </c>
      <c r="D39" s="9">
        <f t="shared" si="11"/>
        <v>0</v>
      </c>
      <c r="E39" s="10">
        <f>Toaso!B38</f>
        <v>0</v>
      </c>
      <c r="F39" s="9">
        <f t="shared" si="9"/>
        <v>0</v>
      </c>
      <c r="G39" s="9">
        <f t="shared" si="10"/>
        <v>0</v>
      </c>
    </row>
    <row r="40" spans="1:13" x14ac:dyDescent="0.25">
      <c r="A40" t="s">
        <v>51</v>
      </c>
      <c r="B40" s="10">
        <f>Froto!B39</f>
        <v>0</v>
      </c>
      <c r="C40" s="9">
        <f t="shared" si="8"/>
        <v>0</v>
      </c>
      <c r="D40" s="9">
        <f t="shared" si="11"/>
        <v>0</v>
      </c>
      <c r="E40" s="10">
        <f>Toaso!B39</f>
        <v>1067000</v>
      </c>
      <c r="F40" s="9">
        <f t="shared" si="9"/>
        <v>4.0929095845969122E-3</v>
      </c>
      <c r="G40" s="9">
        <f t="shared" si="10"/>
        <v>2.6426711138833976E-3</v>
      </c>
    </row>
    <row r="41" spans="1:13" x14ac:dyDescent="0.25">
      <c r="A41" t="s">
        <v>52</v>
      </c>
      <c r="B41" s="10">
        <f>Froto!B40</f>
        <v>151546000</v>
      </c>
      <c r="C41" s="9">
        <f t="shared" si="8"/>
        <v>0.32797919230368017</v>
      </c>
      <c r="D41" s="9">
        <f t="shared" si="11"/>
        <v>0.15777454951157988</v>
      </c>
      <c r="E41" s="10">
        <f>Toaso!B40</f>
        <v>105673000</v>
      </c>
      <c r="F41" s="9">
        <f t="shared" si="9"/>
        <v>0.4053514850357165</v>
      </c>
      <c r="G41" s="9">
        <f t="shared" si="10"/>
        <v>0.2617235094820996</v>
      </c>
    </row>
    <row r="42" spans="1:13" x14ac:dyDescent="0.25">
      <c r="A42" t="s">
        <v>53</v>
      </c>
      <c r="B42" s="10">
        <f>Froto!B41</f>
        <v>0</v>
      </c>
      <c r="C42" s="9">
        <f t="shared" si="8"/>
        <v>0</v>
      </c>
      <c r="D42" s="9">
        <f t="shared" si="11"/>
        <v>0</v>
      </c>
      <c r="E42" s="10">
        <f>Toaso!B41</f>
        <v>437667000</v>
      </c>
      <c r="F42" s="9">
        <f t="shared" si="9"/>
        <v>1.6788486027757981</v>
      </c>
      <c r="G42" s="9">
        <f t="shared" si="10"/>
        <v>1.0839830725398361</v>
      </c>
    </row>
    <row r="43" spans="1:13" x14ac:dyDescent="0.25">
      <c r="A43" t="s">
        <v>54</v>
      </c>
      <c r="B43" s="10">
        <f>Froto!B42</f>
        <v>575911000</v>
      </c>
      <c r="C43" s="9">
        <f t="shared" si="8"/>
        <v>1.2463992755916009</v>
      </c>
      <c r="D43" s="9">
        <f t="shared" si="11"/>
        <v>0.59958097596613225</v>
      </c>
      <c r="E43" s="10">
        <f>Toaso!B42</f>
        <v>807450000</v>
      </c>
      <c r="F43" s="9">
        <f t="shared" si="9"/>
        <v>3.0973006973596782</v>
      </c>
      <c r="G43" s="9">
        <f t="shared" si="10"/>
        <v>1.9998357927883312</v>
      </c>
    </row>
    <row r="44" spans="1:13" x14ac:dyDescent="0.25">
      <c r="A44" t="s">
        <v>55</v>
      </c>
      <c r="B44" s="10">
        <f>Froto!B43</f>
        <v>1378319000</v>
      </c>
      <c r="C44" s="9">
        <f t="shared" si="8"/>
        <v>2.9829883491271043</v>
      </c>
      <c r="D44" s="9">
        <f t="shared" si="11"/>
        <v>1.4349679919512972</v>
      </c>
      <c r="E44" s="10">
        <f>Toaso!B43</f>
        <v>440804000</v>
      </c>
      <c r="F44" s="9">
        <f t="shared" si="9"/>
        <v>1.6908818336725935</v>
      </c>
      <c r="G44" s="9">
        <f t="shared" si="10"/>
        <v>1.0917525751492569</v>
      </c>
    </row>
    <row r="45" spans="1:13" x14ac:dyDescent="0.25">
      <c r="A45" t="s">
        <v>31</v>
      </c>
      <c r="B45" s="10">
        <f>Froto!B44</f>
        <v>46205980000</v>
      </c>
      <c r="C45" s="9">
        <f t="shared" si="8"/>
        <v>100</v>
      </c>
      <c r="D45" s="9">
        <f t="shared" si="11"/>
        <v>48.105048495117451</v>
      </c>
      <c r="E45" s="10">
        <f>Toaso!B44</f>
        <v>26069474000</v>
      </c>
      <c r="F45" s="9">
        <f t="shared" si="9"/>
        <v>100</v>
      </c>
      <c r="G45" s="9">
        <f t="shared" si="10"/>
        <v>64.567053321400451</v>
      </c>
    </row>
    <row r="46" spans="1:13" x14ac:dyDescent="0.25">
      <c r="A46" t="s">
        <v>56</v>
      </c>
      <c r="B46" s="10">
        <f>Froto!B45</f>
        <v>0</v>
      </c>
      <c r="C46" s="9">
        <f t="shared" si="8"/>
        <v>0</v>
      </c>
      <c r="D46" s="9">
        <f t="shared" si="11"/>
        <v>0</v>
      </c>
      <c r="E46" s="10">
        <f>Toaso!B45</f>
        <v>0</v>
      </c>
      <c r="F46" s="9">
        <f t="shared" si="9"/>
        <v>0</v>
      </c>
      <c r="G46" s="9">
        <f t="shared" si="10"/>
        <v>0</v>
      </c>
    </row>
    <row r="47" spans="1:13" x14ac:dyDescent="0.25">
      <c r="A47" s="2" t="s">
        <v>57</v>
      </c>
      <c r="B47" s="7">
        <f>Froto!B46</f>
        <v>28444093000</v>
      </c>
      <c r="C47" s="8">
        <f>B47/$B$47*100</f>
        <v>100</v>
      </c>
      <c r="D47" s="8">
        <f t="shared" si="11"/>
        <v>29.613146894939373</v>
      </c>
      <c r="E47" s="7">
        <f>Toaso!B46</f>
        <v>2992701000</v>
      </c>
      <c r="F47" s="2">
        <f>E47/$E$47*100</f>
        <v>100</v>
      </c>
      <c r="G47" s="8">
        <f t="shared" si="10"/>
        <v>7.4121129195782176</v>
      </c>
    </row>
    <row r="48" spans="1:13" x14ac:dyDescent="0.25">
      <c r="A48" t="s">
        <v>45</v>
      </c>
      <c r="B48" s="10">
        <f>Froto!B47</f>
        <v>24699772000</v>
      </c>
      <c r="C48" s="9">
        <f t="shared" ref="C48:C59" si="12">B48/$B$47*100</f>
        <v>86.836208839564691</v>
      </c>
      <c r="D48" s="9">
        <f t="shared" si="11"/>
        <v>25.714934081656622</v>
      </c>
      <c r="E48" s="10">
        <f>Toaso!B47</f>
        <v>1888939000</v>
      </c>
      <c r="F48" s="9">
        <f t="shared" ref="F48:F59" si="13">E48/$E$47*100</f>
        <v>63.11819991372343</v>
      </c>
      <c r="G48" s="9">
        <f t="shared" si="10"/>
        <v>4.678392250410301</v>
      </c>
    </row>
    <row r="49" spans="1:7" x14ac:dyDescent="0.25">
      <c r="A49" t="s">
        <v>46</v>
      </c>
      <c r="B49" s="10">
        <f>Froto!B48</f>
        <v>0</v>
      </c>
      <c r="C49" s="9">
        <f t="shared" si="12"/>
        <v>0</v>
      </c>
      <c r="D49" s="9">
        <f t="shared" si="11"/>
        <v>0</v>
      </c>
      <c r="E49" s="10">
        <f>Toaso!B48</f>
        <v>0</v>
      </c>
      <c r="F49" s="9">
        <f t="shared" si="13"/>
        <v>0</v>
      </c>
      <c r="G49" s="9">
        <f t="shared" si="10"/>
        <v>0</v>
      </c>
    </row>
    <row r="50" spans="1:7" x14ac:dyDescent="0.25">
      <c r="A50" t="s">
        <v>47</v>
      </c>
      <c r="B50" s="10">
        <f>Froto!B49</f>
        <v>0</v>
      </c>
      <c r="C50" s="9">
        <f t="shared" si="12"/>
        <v>0</v>
      </c>
      <c r="D50" s="9">
        <f t="shared" si="11"/>
        <v>0</v>
      </c>
      <c r="E50" s="10">
        <f>Toaso!B49</f>
        <v>0</v>
      </c>
      <c r="F50" s="9">
        <f t="shared" si="13"/>
        <v>0</v>
      </c>
      <c r="G50" s="9">
        <f t="shared" si="10"/>
        <v>0</v>
      </c>
    </row>
    <row r="51" spans="1:7" x14ac:dyDescent="0.25">
      <c r="A51" t="s">
        <v>48</v>
      </c>
      <c r="B51" s="10">
        <f>Froto!B50</f>
        <v>0</v>
      </c>
      <c r="C51" s="9">
        <f t="shared" si="12"/>
        <v>0</v>
      </c>
      <c r="D51" s="9">
        <f t="shared" si="11"/>
        <v>0</v>
      </c>
      <c r="E51" s="10">
        <f>Toaso!B50</f>
        <v>0</v>
      </c>
      <c r="F51" s="9">
        <f t="shared" si="13"/>
        <v>0</v>
      </c>
      <c r="G51" s="9">
        <f t="shared" si="10"/>
        <v>0</v>
      </c>
    </row>
    <row r="52" spans="1:7" x14ac:dyDescent="0.25">
      <c r="A52" t="s">
        <v>58</v>
      </c>
      <c r="B52" s="10">
        <f>Froto!B51</f>
        <v>0</v>
      </c>
      <c r="C52" s="9">
        <f t="shared" si="12"/>
        <v>0</v>
      </c>
      <c r="D52" s="9">
        <f t="shared" si="11"/>
        <v>0</v>
      </c>
      <c r="E52" s="10">
        <f>Toaso!B51</f>
        <v>0</v>
      </c>
      <c r="F52" s="9">
        <f t="shared" si="13"/>
        <v>0</v>
      </c>
      <c r="G52" s="9">
        <f t="shared" si="10"/>
        <v>0</v>
      </c>
    </row>
    <row r="53" spans="1:7" x14ac:dyDescent="0.25">
      <c r="A53" t="s">
        <v>50</v>
      </c>
      <c r="B53" s="10">
        <f>Froto!B52</f>
        <v>0</v>
      </c>
      <c r="C53" s="9">
        <f t="shared" si="12"/>
        <v>0</v>
      </c>
      <c r="D53" s="9">
        <f t="shared" si="11"/>
        <v>0</v>
      </c>
      <c r="E53" s="10">
        <f>Toaso!B52</f>
        <v>0</v>
      </c>
      <c r="F53" s="9">
        <f t="shared" si="13"/>
        <v>0</v>
      </c>
      <c r="G53" s="9">
        <f t="shared" si="10"/>
        <v>0</v>
      </c>
    </row>
    <row r="54" spans="1:7" x14ac:dyDescent="0.25">
      <c r="A54" t="s">
        <v>51</v>
      </c>
      <c r="B54" s="10">
        <f>Froto!B53</f>
        <v>0</v>
      </c>
      <c r="C54" s="9">
        <f t="shared" si="12"/>
        <v>0</v>
      </c>
      <c r="D54" s="9">
        <f t="shared" si="11"/>
        <v>0</v>
      </c>
      <c r="E54" s="10">
        <f>Toaso!B53</f>
        <v>1067000</v>
      </c>
      <c r="F54" s="9">
        <f t="shared" si="13"/>
        <v>3.5653411416643362E-2</v>
      </c>
      <c r="G54" s="9">
        <f t="shared" si="10"/>
        <v>2.6426711138833976E-3</v>
      </c>
    </row>
    <row r="55" spans="1:7" x14ac:dyDescent="0.25">
      <c r="A55" t="s">
        <v>59</v>
      </c>
      <c r="B55" s="10">
        <f>Froto!B54</f>
        <v>493991000</v>
      </c>
      <c r="C55" s="9">
        <f t="shared" si="12"/>
        <v>1.7367085672234301</v>
      </c>
      <c r="D55" s="9">
        <f t="shared" si="11"/>
        <v>0.51429405914887139</v>
      </c>
      <c r="E55" s="10">
        <f>Toaso!B54</f>
        <v>0</v>
      </c>
      <c r="F55" s="9">
        <f t="shared" si="13"/>
        <v>0</v>
      </c>
      <c r="G55" s="9">
        <f t="shared" si="10"/>
        <v>0</v>
      </c>
    </row>
    <row r="56" spans="1:7" x14ac:dyDescent="0.25">
      <c r="A56" t="s">
        <v>60</v>
      </c>
      <c r="B56" s="10">
        <f>Froto!B55</f>
        <v>2677072000</v>
      </c>
      <c r="C56" s="9">
        <f t="shared" si="12"/>
        <v>9.4116975359347883</v>
      </c>
      <c r="D56" s="9">
        <f t="shared" si="11"/>
        <v>2.7870998166237593</v>
      </c>
      <c r="E56" s="10">
        <f>Toaso!B55</f>
        <v>1102695000</v>
      </c>
      <c r="F56" s="9">
        <f t="shared" si="13"/>
        <v>36.846146674859938</v>
      </c>
      <c r="G56" s="9">
        <f t="shared" si="10"/>
        <v>2.7310779980540332</v>
      </c>
    </row>
    <row r="57" spans="1:7" x14ac:dyDescent="0.25">
      <c r="A57" t="s">
        <v>61</v>
      </c>
      <c r="B57" s="10">
        <f>Froto!B56</f>
        <v>0</v>
      </c>
      <c r="C57" s="9">
        <f t="shared" si="12"/>
        <v>0</v>
      </c>
      <c r="D57" s="9">
        <f t="shared" si="11"/>
        <v>0</v>
      </c>
      <c r="E57" s="10">
        <f>Toaso!B56</f>
        <v>0</v>
      </c>
      <c r="F57" s="9">
        <f t="shared" si="13"/>
        <v>0</v>
      </c>
      <c r="G57" s="9">
        <f t="shared" si="10"/>
        <v>0</v>
      </c>
    </row>
    <row r="58" spans="1:7" x14ac:dyDescent="0.25">
      <c r="A58" t="s">
        <v>62</v>
      </c>
      <c r="B58" s="10">
        <f>Froto!B57</f>
        <v>567819000</v>
      </c>
      <c r="C58" s="9">
        <f t="shared" si="12"/>
        <v>1.9962633366442728</v>
      </c>
      <c r="D58" s="9">
        <f t="shared" si="11"/>
        <v>0.59115639429028655</v>
      </c>
      <c r="E58" s="10">
        <f>Toaso!B57</f>
        <v>0</v>
      </c>
      <c r="F58" s="9">
        <f t="shared" si="13"/>
        <v>0</v>
      </c>
      <c r="G58" s="9">
        <f t="shared" si="10"/>
        <v>0</v>
      </c>
    </row>
    <row r="59" spans="1:7" x14ac:dyDescent="0.25">
      <c r="A59" t="s">
        <v>63</v>
      </c>
      <c r="B59" s="10">
        <f>Froto!B58</f>
        <v>5439000</v>
      </c>
      <c r="C59" s="9">
        <f t="shared" si="12"/>
        <v>1.9121720632821724E-2</v>
      </c>
      <c r="D59" s="9">
        <f t="shared" si="11"/>
        <v>5.6625432198374286E-3</v>
      </c>
      <c r="E59" s="10">
        <f>Toaso!B58</f>
        <v>0</v>
      </c>
      <c r="F59" s="9">
        <f t="shared" si="13"/>
        <v>0</v>
      </c>
      <c r="G59" s="9">
        <f t="shared" si="10"/>
        <v>0</v>
      </c>
    </row>
    <row r="60" spans="1:7" x14ac:dyDescent="0.25">
      <c r="A60" s="2" t="s">
        <v>64</v>
      </c>
      <c r="B60" s="7">
        <f>Froto!B59</f>
        <v>21402174000</v>
      </c>
      <c r="C60" s="8">
        <f>B60/$B$60*100</f>
        <v>100</v>
      </c>
      <c r="D60" s="8">
        <f t="shared" si="11"/>
        <v>22.281804609943169</v>
      </c>
      <c r="E60" s="7">
        <f>Toaso!B59</f>
        <v>11313640000</v>
      </c>
      <c r="F60" s="8">
        <f>E60/$E$60*100</f>
        <v>100</v>
      </c>
      <c r="G60" s="8">
        <f t="shared" si="10"/>
        <v>28.020833759021336</v>
      </c>
    </row>
    <row r="61" spans="1:7" x14ac:dyDescent="0.25">
      <c r="A61" t="s">
        <v>65</v>
      </c>
      <c r="B61" s="10">
        <f>Froto!B60</f>
        <v>21402174000</v>
      </c>
      <c r="C61" s="9">
        <f t="shared" ref="C61:C71" si="14">B61/$B$60*100</f>
        <v>100</v>
      </c>
      <c r="D61" s="9">
        <f t="shared" si="11"/>
        <v>22.281804609943169</v>
      </c>
      <c r="E61" s="10">
        <f>Toaso!B60</f>
        <v>11313640000</v>
      </c>
      <c r="F61" s="9">
        <f t="shared" ref="F61:F71" si="15">E61/$E$60*100</f>
        <v>100</v>
      </c>
      <c r="G61" s="9">
        <f t="shared" si="10"/>
        <v>28.020833759021336</v>
      </c>
    </row>
    <row r="62" spans="1:7" x14ac:dyDescent="0.25">
      <c r="A62" t="s">
        <v>66</v>
      </c>
      <c r="B62" s="10">
        <f>Froto!B61</f>
        <v>350910000</v>
      </c>
      <c r="C62" s="9">
        <f t="shared" si="14"/>
        <v>1.6395997901895387</v>
      </c>
      <c r="D62" s="9">
        <f t="shared" si="11"/>
        <v>0.36533242163507118</v>
      </c>
      <c r="E62" s="10">
        <f>Toaso!B61</f>
        <v>500000000</v>
      </c>
      <c r="F62" s="9">
        <f t="shared" si="15"/>
        <v>4.419444139993848</v>
      </c>
      <c r="G62" s="9">
        <f t="shared" si="10"/>
        <v>1.2383650955404861</v>
      </c>
    </row>
    <row r="63" spans="1:7" x14ac:dyDescent="0.25">
      <c r="A63" t="s">
        <v>67</v>
      </c>
      <c r="B63" s="10">
        <f>Froto!B62</f>
        <v>0</v>
      </c>
      <c r="C63" s="9">
        <f t="shared" si="14"/>
        <v>0</v>
      </c>
      <c r="D63" s="9">
        <f t="shared" si="11"/>
        <v>0</v>
      </c>
      <c r="E63" s="10">
        <f>Toaso!B62</f>
        <v>0</v>
      </c>
      <c r="F63" s="9">
        <f t="shared" si="15"/>
        <v>0</v>
      </c>
      <c r="G63" s="9">
        <f t="shared" si="10"/>
        <v>0</v>
      </c>
    </row>
    <row r="64" spans="1:7" x14ac:dyDescent="0.25">
      <c r="A64" t="s">
        <v>68</v>
      </c>
      <c r="B64" s="10">
        <f>Froto!B63</f>
        <v>8000</v>
      </c>
      <c r="C64" s="9">
        <f t="shared" si="14"/>
        <v>3.7379380244268644E-5</v>
      </c>
      <c r="D64" s="9">
        <f t="shared" si="11"/>
        <v>8.3288004704356367E-6</v>
      </c>
      <c r="E64" s="10">
        <f>Toaso!B63</f>
        <v>0</v>
      </c>
      <c r="F64" s="9">
        <f t="shared" si="15"/>
        <v>0</v>
      </c>
      <c r="G64" s="9">
        <f t="shared" si="10"/>
        <v>0</v>
      </c>
    </row>
    <row r="65" spans="1:7" x14ac:dyDescent="0.25">
      <c r="A65" t="s">
        <v>69</v>
      </c>
      <c r="B65" s="10">
        <f>Froto!B64</f>
        <v>0</v>
      </c>
      <c r="C65" s="9">
        <f t="shared" si="14"/>
        <v>0</v>
      </c>
      <c r="D65" s="9">
        <f t="shared" si="11"/>
        <v>0</v>
      </c>
      <c r="E65" s="10">
        <f>Toaso!B64</f>
        <v>0</v>
      </c>
      <c r="F65" s="9">
        <f t="shared" si="15"/>
        <v>0</v>
      </c>
      <c r="G65" s="9">
        <f t="shared" si="10"/>
        <v>0</v>
      </c>
    </row>
    <row r="66" spans="1:7" x14ac:dyDescent="0.25">
      <c r="A66" t="s">
        <v>70</v>
      </c>
      <c r="B66" s="10">
        <f>Froto!B65</f>
        <v>1674943000</v>
      </c>
      <c r="C66" s="9">
        <f t="shared" si="14"/>
        <v>7.8260414105595064</v>
      </c>
      <c r="D66" s="9">
        <f t="shared" si="11"/>
        <v>1.7437832557941095</v>
      </c>
      <c r="E66" s="10">
        <f>Toaso!B65</f>
        <v>0</v>
      </c>
      <c r="F66" s="9">
        <f t="shared" si="15"/>
        <v>0</v>
      </c>
      <c r="G66" s="9">
        <f t="shared" si="10"/>
        <v>0</v>
      </c>
    </row>
    <row r="67" spans="1:7" x14ac:dyDescent="0.25">
      <c r="A67" t="s">
        <v>71</v>
      </c>
      <c r="B67" s="10">
        <f>Froto!B66</f>
        <v>1420763000</v>
      </c>
      <c r="C67" s="9">
        <f t="shared" si="14"/>
        <v>6.6384050517484816</v>
      </c>
      <c r="D67" s="9">
        <f t="shared" si="11"/>
        <v>1.4791564428471933</v>
      </c>
      <c r="E67" s="10">
        <f>Toaso!B66</f>
        <v>715678000</v>
      </c>
      <c r="F67" s="9">
        <f t="shared" si="15"/>
        <v>6.3257978864450353</v>
      </c>
      <c r="G67" s="9">
        <f t="shared" si="10"/>
        <v>1.7725413096924485</v>
      </c>
    </row>
    <row r="68" spans="1:7" x14ac:dyDescent="0.25">
      <c r="A68" t="s">
        <v>72</v>
      </c>
      <c r="B68" s="10">
        <f>Froto!B67</f>
        <v>5057387000</v>
      </c>
      <c r="C68" s="9">
        <f t="shared" si="14"/>
        <v>23.630248964427633</v>
      </c>
      <c r="D68" s="9">
        <f t="shared" si="11"/>
        <v>5.2652459030968846</v>
      </c>
      <c r="E68" s="10">
        <f>Toaso!B67</f>
        <v>3023235000</v>
      </c>
      <c r="F68" s="9">
        <f t="shared" si="15"/>
        <v>26.722036409148604</v>
      </c>
      <c r="G68" s="9">
        <f t="shared" si="10"/>
        <v>7.4877373992326843</v>
      </c>
    </row>
    <row r="69" spans="1:7" x14ac:dyDescent="0.25">
      <c r="A69" t="s">
        <v>73</v>
      </c>
      <c r="B69" s="10">
        <f>Froto!B68</f>
        <v>18613943000</v>
      </c>
      <c r="C69" s="9">
        <f t="shared" si="14"/>
        <v>86.972206655267826</v>
      </c>
      <c r="D69" s="9">
        <f t="shared" si="11"/>
        <v>19.378977151882768</v>
      </c>
      <c r="E69" s="10">
        <f>Toaso!B68</f>
        <v>8562191000</v>
      </c>
      <c r="F69" s="9">
        <f t="shared" si="15"/>
        <v>75.680249680916134</v>
      </c>
      <c r="G69" s="9">
        <f t="shared" si="10"/>
        <v>21.206236951501783</v>
      </c>
    </row>
    <row r="70" spans="1:7" x14ac:dyDescent="0.25">
      <c r="A70" t="s">
        <v>74</v>
      </c>
      <c r="B70" s="10">
        <f>Froto!B69</f>
        <v>-5715780000</v>
      </c>
      <c r="C70" s="9">
        <f t="shared" si="14"/>
        <v>-26.706539251573229</v>
      </c>
      <c r="D70" s="9">
        <f t="shared" si="11"/>
        <v>-5.9506988941133256</v>
      </c>
      <c r="E70" s="10">
        <f>Toaso!B69</f>
        <v>-1487464000</v>
      </c>
      <c r="F70" s="9">
        <f t="shared" si="15"/>
        <v>-13.147528116503619</v>
      </c>
      <c r="G70" s="9">
        <f t="shared" si="10"/>
        <v>-3.6840469969460679</v>
      </c>
    </row>
    <row r="71" spans="1:7" x14ac:dyDescent="0.25">
      <c r="A71" t="s">
        <v>75</v>
      </c>
      <c r="B71" s="10">
        <f>Froto!B70</f>
        <v>0</v>
      </c>
      <c r="C71" s="9">
        <f t="shared" si="14"/>
        <v>0</v>
      </c>
      <c r="D71" s="9">
        <f t="shared" si="11"/>
        <v>0</v>
      </c>
      <c r="E71" s="10">
        <f>Toaso!B70</f>
        <v>0</v>
      </c>
      <c r="F71" s="9">
        <f t="shared" si="15"/>
        <v>0</v>
      </c>
      <c r="G71" s="9">
        <f t="shared" si="10"/>
        <v>0</v>
      </c>
    </row>
    <row r="72" spans="1:7" x14ac:dyDescent="0.25">
      <c r="A72" s="2" t="s">
        <v>76</v>
      </c>
      <c r="B72" s="7">
        <f>Froto!B71</f>
        <v>96052247000</v>
      </c>
      <c r="C72" s="2"/>
      <c r="D72" s="8">
        <f t="shared" si="11"/>
        <v>100</v>
      </c>
      <c r="E72" s="7">
        <f>Toaso!B71</f>
        <v>40375815000</v>
      </c>
      <c r="F72" s="2"/>
      <c r="G72" s="8">
        <f t="shared" si="10"/>
        <v>100</v>
      </c>
    </row>
  </sheetData>
  <mergeCells count="4">
    <mergeCell ref="B1:D1"/>
    <mergeCell ref="E1:G1"/>
    <mergeCell ref="J1:K1"/>
    <mergeCell ref="L1:M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C6EAB-AC92-4A7E-AF4B-165C90DCEC44}">
  <dimension ref="A1:Q79"/>
  <sheetViews>
    <sheetView workbookViewId="0">
      <selection activeCell="C10" sqref="C10"/>
    </sheetView>
  </sheetViews>
  <sheetFormatPr defaultRowHeight="15" x14ac:dyDescent="0.25"/>
  <cols>
    <col min="1" max="1" width="42.28515625" customWidth="1"/>
    <col min="2" max="2" width="14.85546875" bestFit="1" customWidth="1"/>
    <col min="3" max="3" width="13.85546875" bestFit="1" customWidth="1"/>
    <col min="4" max="4" width="17.7109375" bestFit="1" customWidth="1"/>
    <col min="5" max="5" width="13.5703125" bestFit="1" customWidth="1"/>
    <col min="7" max="7" width="14.5703125" bestFit="1" customWidth="1"/>
    <col min="10" max="10" width="45.85546875" customWidth="1"/>
    <col min="11" max="13" width="15.5703125" bestFit="1" customWidth="1"/>
    <col min="14" max="14" width="14.5703125" bestFit="1" customWidth="1"/>
    <col min="16" max="16" width="13.5703125" bestFit="1" customWidth="1"/>
  </cols>
  <sheetData>
    <row r="1" spans="1:17" x14ac:dyDescent="0.25">
      <c r="A1" s="4"/>
      <c r="B1" s="3" t="s">
        <v>163</v>
      </c>
      <c r="C1" s="16"/>
      <c r="D1" s="3" t="s">
        <v>164</v>
      </c>
    </row>
    <row r="2" spans="1:17" x14ac:dyDescent="0.25">
      <c r="A2" s="3">
        <v>2020</v>
      </c>
      <c r="B2" s="4">
        <v>568.27</v>
      </c>
      <c r="C2" s="17" t="s">
        <v>165</v>
      </c>
      <c r="D2" s="14">
        <f>B4/B2</f>
        <v>3.5567423935805165</v>
      </c>
    </row>
    <row r="3" spans="1:17" x14ac:dyDescent="0.25">
      <c r="A3" s="3">
        <v>2021</v>
      </c>
      <c r="B3" s="4">
        <v>1022.25</v>
      </c>
      <c r="C3" s="17" t="s">
        <v>166</v>
      </c>
      <c r="D3" s="15">
        <f>B4/B3</f>
        <v>1.9771973587674248</v>
      </c>
    </row>
    <row r="4" spans="1:17" x14ac:dyDescent="0.25">
      <c r="A4" s="3">
        <v>2022</v>
      </c>
      <c r="B4" s="4">
        <v>2021.19</v>
      </c>
    </row>
    <row r="6" spans="1:17" x14ac:dyDescent="0.25">
      <c r="B6" s="49" t="s">
        <v>156</v>
      </c>
      <c r="C6" s="49"/>
      <c r="D6" s="49"/>
      <c r="E6" s="49"/>
      <c r="F6" s="49"/>
      <c r="G6" s="49"/>
      <c r="H6" s="49"/>
      <c r="K6" s="49" t="s">
        <v>156</v>
      </c>
      <c r="L6" s="49"/>
      <c r="M6" s="49"/>
      <c r="N6" s="49"/>
      <c r="O6" s="49"/>
      <c r="P6" s="49"/>
      <c r="Q6" s="49"/>
    </row>
    <row r="7" spans="1:17" ht="60" x14ac:dyDescent="0.25">
      <c r="A7" s="20" t="s">
        <v>0</v>
      </c>
      <c r="B7" s="21">
        <v>2020</v>
      </c>
      <c r="C7" s="21">
        <v>2021</v>
      </c>
      <c r="D7" s="21">
        <v>2022</v>
      </c>
      <c r="E7" s="22" t="s">
        <v>167</v>
      </c>
      <c r="F7" s="22" t="s">
        <v>168</v>
      </c>
      <c r="G7" s="22" t="s">
        <v>169</v>
      </c>
      <c r="H7" s="22" t="s">
        <v>170</v>
      </c>
      <c r="J7" s="20" t="s">
        <v>161</v>
      </c>
      <c r="K7" s="21">
        <v>2020</v>
      </c>
      <c r="L7" s="21">
        <v>2021</v>
      </c>
      <c r="M7" s="21">
        <v>2022</v>
      </c>
      <c r="N7" s="22" t="s">
        <v>167</v>
      </c>
      <c r="O7" s="22" t="s">
        <v>168</v>
      </c>
      <c r="P7" s="22" t="s">
        <v>169</v>
      </c>
      <c r="Q7" s="22" t="s">
        <v>170</v>
      </c>
    </row>
    <row r="8" spans="1:17" x14ac:dyDescent="0.25">
      <c r="A8" s="2" t="s">
        <v>21</v>
      </c>
      <c r="B8" s="7">
        <f>Froto!J2*'Yatay Analiz'!$D$2</f>
        <v>62614749716.120857</v>
      </c>
      <c r="C8" s="7">
        <f>Froto!F2*'Yatay Analiz'!$D$3</f>
        <v>64879461505.385178</v>
      </c>
      <c r="D8" s="7">
        <f>Froto!B2</f>
        <v>55124518000</v>
      </c>
      <c r="E8" s="7">
        <f>C8-B8</f>
        <v>2264711789.2643204</v>
      </c>
      <c r="F8" s="19">
        <f>IFERROR(E8/B8,"")</f>
        <v>3.6168982540566559E-2</v>
      </c>
      <c r="G8" s="7">
        <f>D8-B8</f>
        <v>-7490231716.1208572</v>
      </c>
      <c r="H8" s="19">
        <f>IFERROR(G8/B8,"")</f>
        <v>-0.11962407819371056</v>
      </c>
      <c r="J8" s="2" t="s">
        <v>78</v>
      </c>
      <c r="K8" s="7">
        <f>Froto!J74*'Yatay Analiz'!$D$2</f>
        <v>175885915699.10431</v>
      </c>
      <c r="L8" s="7">
        <f>Froto!F74*'Yatay Analiz'!$D$3</f>
        <v>140581219522.64124</v>
      </c>
      <c r="M8" s="7">
        <f>Froto!B74</f>
        <v>171796902000</v>
      </c>
      <c r="N8" s="7">
        <f>L8-K8</f>
        <v>-35304696176.463074</v>
      </c>
      <c r="O8" s="19">
        <f>IFERROR(N8/K8,"")</f>
        <v>-0.20072497582387638</v>
      </c>
      <c r="P8" s="7">
        <f>M8-K8</f>
        <v>-4089013699.1043091</v>
      </c>
      <c r="Q8" s="19">
        <f>IFERROR(P8/K8,"")</f>
        <v>-2.3248101946375076E-2</v>
      </c>
    </row>
    <row r="9" spans="1:17" x14ac:dyDescent="0.25">
      <c r="A9" t="s">
        <v>22</v>
      </c>
      <c r="B9" s="6">
        <f>Froto!J3*'Yatay Analiz'!$D$2</f>
        <v>28895234847.642849</v>
      </c>
      <c r="C9" s="6">
        <f>Froto!F3*'Yatay Analiz'!$D$3</f>
        <v>28024658936.551723</v>
      </c>
      <c r="D9" s="6">
        <f>Froto!B3</f>
        <v>10114706000</v>
      </c>
      <c r="E9" s="6">
        <f t="shared" ref="E9:E72" si="0">C9-B9</f>
        <v>-870575911.09112549</v>
      </c>
      <c r="F9" s="18">
        <f t="shared" ref="F9:F72" si="1">IFERROR(E9/B9,"")</f>
        <v>-3.0128701693599262E-2</v>
      </c>
      <c r="G9" s="6">
        <f t="shared" ref="G9:G72" si="2">D9-B9</f>
        <v>-18780528847.642849</v>
      </c>
      <c r="H9" s="18">
        <f t="shared" ref="H9:H72" si="3">IFERROR(G9/B9,"")</f>
        <v>-0.64995245571346805</v>
      </c>
      <c r="J9" s="2" t="s">
        <v>79</v>
      </c>
      <c r="K9" s="7">
        <f>Froto!J75*'Yatay Analiz'!$D$2</f>
        <v>-153882025735.68903</v>
      </c>
      <c r="L9" s="7">
        <f>Froto!F75*'Yatay Analiz'!$D$3</f>
        <v>-118527243831.37196</v>
      </c>
      <c r="M9" s="7">
        <f>Froto!B75</f>
        <v>-147855658000</v>
      </c>
      <c r="N9" s="7">
        <f t="shared" ref="N9:N42" si="4">L9-K9</f>
        <v>35354781904.317062</v>
      </c>
      <c r="O9" s="19">
        <f t="shared" ref="O9:O42" si="5">IFERROR(N9/K9,"")</f>
        <v>-0.22975251160940116</v>
      </c>
      <c r="P9" s="7">
        <f t="shared" ref="P9:P42" si="6">M9-K9</f>
        <v>6026367735.6890259</v>
      </c>
      <c r="Q9" s="19">
        <f t="shared" ref="Q9:Q42" si="7">IFERROR(P9/K9,"")</f>
        <v>-3.9162258924509093E-2</v>
      </c>
    </row>
    <row r="10" spans="1:17" x14ac:dyDescent="0.25">
      <c r="A10" t="s">
        <v>23</v>
      </c>
      <c r="B10" s="6">
        <f>Froto!J4*'Yatay Analiz'!$D$2</f>
        <v>0</v>
      </c>
      <c r="C10" s="6">
        <f>Froto!F4*'Yatay Analiz'!$D$3</f>
        <v>0</v>
      </c>
      <c r="D10" s="6">
        <f>Froto!B4</f>
        <v>0</v>
      </c>
      <c r="E10" s="6">
        <f t="shared" si="0"/>
        <v>0</v>
      </c>
      <c r="F10" s="18" t="str">
        <f t="shared" si="1"/>
        <v/>
      </c>
      <c r="G10" s="6">
        <f t="shared" si="2"/>
        <v>0</v>
      </c>
      <c r="H10" s="18" t="str">
        <f t="shared" si="3"/>
        <v/>
      </c>
      <c r="J10" t="s">
        <v>80</v>
      </c>
      <c r="K10" s="6">
        <f>Froto!J76*'Yatay Analiz'!$D$2</f>
        <v>0</v>
      </c>
      <c r="L10" s="6">
        <f>Froto!F76*'Yatay Analiz'!$D$3</f>
        <v>0</v>
      </c>
      <c r="M10" s="6">
        <f>Froto!B76</f>
        <v>0</v>
      </c>
      <c r="N10" s="6">
        <f t="shared" si="4"/>
        <v>0</v>
      </c>
      <c r="O10" s="18" t="str">
        <f t="shared" si="5"/>
        <v/>
      </c>
      <c r="P10" s="6">
        <f t="shared" si="6"/>
        <v>0</v>
      </c>
      <c r="Q10" s="18" t="str">
        <f t="shared" si="7"/>
        <v/>
      </c>
    </row>
    <row r="11" spans="1:17" x14ac:dyDescent="0.25">
      <c r="A11" t="s">
        <v>24</v>
      </c>
      <c r="B11" s="6">
        <f>Froto!J5*'Yatay Analiz'!$D$2</f>
        <v>20466143059.777924</v>
      </c>
      <c r="C11" s="6">
        <f>Froto!F5*'Yatay Analiz'!$D$3</f>
        <v>22553392017.725605</v>
      </c>
      <c r="D11" s="6">
        <f>Froto!B5</f>
        <v>25850944000</v>
      </c>
      <c r="E11" s="6">
        <f t="shared" si="0"/>
        <v>2087248957.9476814</v>
      </c>
      <c r="F11" s="18">
        <f t="shared" si="1"/>
        <v>0.10198545724278398</v>
      </c>
      <c r="G11" s="6">
        <f t="shared" si="2"/>
        <v>5384800940.2220764</v>
      </c>
      <c r="H11" s="18">
        <f t="shared" si="3"/>
        <v>0.26310775432840672</v>
      </c>
      <c r="J11" t="s">
        <v>81</v>
      </c>
      <c r="K11" s="6">
        <f>Froto!J77*'Yatay Analiz'!$D$2</f>
        <v>22003889963.415279</v>
      </c>
      <c r="L11" s="6">
        <f>Froto!F77*'Yatay Analiz'!$D$3</f>
        <v>22053975691.269257</v>
      </c>
      <c r="M11" s="6">
        <f>Froto!B77</f>
        <v>23941244000</v>
      </c>
      <c r="N11" s="6">
        <f t="shared" si="4"/>
        <v>50085727.853977203</v>
      </c>
      <c r="O11" s="18">
        <f t="shared" si="5"/>
        <v>2.2762215197972783E-3</v>
      </c>
      <c r="P11" s="6">
        <f t="shared" si="6"/>
        <v>1937354036.5847206</v>
      </c>
      <c r="Q11" s="18">
        <f t="shared" si="7"/>
        <v>8.8045979133955773E-2</v>
      </c>
    </row>
    <row r="12" spans="1:17" x14ac:dyDescent="0.25">
      <c r="A12" t="s">
        <v>25</v>
      </c>
      <c r="B12" s="6">
        <f>Froto!J6*'Yatay Analiz'!$D$2</f>
        <v>0</v>
      </c>
      <c r="C12" s="6">
        <f>Froto!F6*'Yatay Analiz'!$D$3</f>
        <v>0</v>
      </c>
      <c r="D12" s="6">
        <f>Froto!B6</f>
        <v>0</v>
      </c>
      <c r="E12" s="6">
        <f t="shared" si="0"/>
        <v>0</v>
      </c>
      <c r="F12" s="18" t="str">
        <f t="shared" si="1"/>
        <v/>
      </c>
      <c r="G12" s="6">
        <f t="shared" si="2"/>
        <v>0</v>
      </c>
      <c r="H12" s="18" t="str">
        <f t="shared" si="3"/>
        <v/>
      </c>
      <c r="J12" t="s">
        <v>82</v>
      </c>
      <c r="K12" s="6">
        <f>Froto!J78*'Yatay Analiz'!$D$2</f>
        <v>0</v>
      </c>
      <c r="L12" s="6">
        <f>Froto!F78*'Yatay Analiz'!$D$3</f>
        <v>0</v>
      </c>
      <c r="M12" s="6">
        <f>Froto!B78</f>
        <v>0</v>
      </c>
      <c r="N12" s="6">
        <f t="shared" si="4"/>
        <v>0</v>
      </c>
      <c r="O12" s="18" t="str">
        <f t="shared" si="5"/>
        <v/>
      </c>
      <c r="P12" s="6">
        <f t="shared" si="6"/>
        <v>0</v>
      </c>
      <c r="Q12" s="18" t="str">
        <f t="shared" si="7"/>
        <v/>
      </c>
    </row>
    <row r="13" spans="1:17" x14ac:dyDescent="0.25">
      <c r="A13" t="s">
        <v>26</v>
      </c>
      <c r="B13" s="6">
        <f>Froto!J7*'Yatay Analiz'!$D$2</f>
        <v>5182173.6674468126</v>
      </c>
      <c r="C13" s="6">
        <f>Froto!F7*'Yatay Analiz'!$D$3</f>
        <v>1621301.8341892883</v>
      </c>
      <c r="D13" s="6">
        <f>Froto!B7</f>
        <v>283518000</v>
      </c>
      <c r="E13" s="6">
        <f t="shared" si="0"/>
        <v>-3560871.8332575243</v>
      </c>
      <c r="F13" s="18">
        <f t="shared" si="1"/>
        <v>-0.68713865296064425</v>
      </c>
      <c r="G13" s="6">
        <f t="shared" si="2"/>
        <v>278335826.33255321</v>
      </c>
      <c r="H13" s="18">
        <f t="shared" si="3"/>
        <v>53.710246740859525</v>
      </c>
      <c r="J13" t="s">
        <v>83</v>
      </c>
      <c r="K13" s="6">
        <f>Froto!J79*'Yatay Analiz'!$D$2</f>
        <v>0</v>
      </c>
      <c r="L13" s="6">
        <f>Froto!F79*'Yatay Analiz'!$D$3</f>
        <v>0</v>
      </c>
      <c r="M13" s="6">
        <f>Froto!B79</f>
        <v>0</v>
      </c>
      <c r="N13" s="6">
        <f t="shared" si="4"/>
        <v>0</v>
      </c>
      <c r="O13" s="18" t="str">
        <f t="shared" si="5"/>
        <v/>
      </c>
      <c r="P13" s="6">
        <f t="shared" si="6"/>
        <v>0</v>
      </c>
      <c r="Q13" s="18" t="str">
        <f t="shared" si="7"/>
        <v/>
      </c>
    </row>
    <row r="14" spans="1:17" x14ac:dyDescent="0.25">
      <c r="A14" t="s">
        <v>27</v>
      </c>
      <c r="B14" s="6">
        <f>Froto!J8*'Yatay Analiz'!$D$2</f>
        <v>0</v>
      </c>
      <c r="C14" s="6">
        <f>Froto!F8*'Yatay Analiz'!$D$3</f>
        <v>0</v>
      </c>
      <c r="D14" s="6">
        <f>Froto!B8</f>
        <v>0</v>
      </c>
      <c r="E14" s="6">
        <f t="shared" si="0"/>
        <v>0</v>
      </c>
      <c r="F14" s="18" t="str">
        <f t="shared" si="1"/>
        <v/>
      </c>
      <c r="G14" s="6">
        <f t="shared" si="2"/>
        <v>0</v>
      </c>
      <c r="H14" s="18" t="str">
        <f t="shared" si="3"/>
        <v/>
      </c>
      <c r="J14" t="s">
        <v>84</v>
      </c>
      <c r="K14" s="6">
        <f>Froto!J80*'Yatay Analiz'!$D$2</f>
        <v>0</v>
      </c>
      <c r="L14" s="6">
        <f>Froto!F80*'Yatay Analiz'!$D$3</f>
        <v>0</v>
      </c>
      <c r="M14" s="6">
        <f>Froto!B80</f>
        <v>0</v>
      </c>
      <c r="N14" s="6">
        <f t="shared" si="4"/>
        <v>0</v>
      </c>
      <c r="O14" s="18" t="str">
        <f t="shared" si="5"/>
        <v/>
      </c>
      <c r="P14" s="6">
        <f t="shared" si="6"/>
        <v>0</v>
      </c>
      <c r="Q14" s="18" t="str">
        <f t="shared" si="7"/>
        <v/>
      </c>
    </row>
    <row r="15" spans="1:17" x14ac:dyDescent="0.25">
      <c r="A15" t="s">
        <v>28</v>
      </c>
      <c r="B15" s="6">
        <f>Froto!J9*'Yatay Analiz'!$D$2</f>
        <v>8710615061.801609</v>
      </c>
      <c r="C15" s="6">
        <f>Froto!F9*'Yatay Analiz'!$D$3</f>
        <v>10418457905.737345</v>
      </c>
      <c r="D15" s="6">
        <f>Froto!B9</f>
        <v>13854008000</v>
      </c>
      <c r="E15" s="6">
        <f t="shared" si="0"/>
        <v>1707842843.9357357</v>
      </c>
      <c r="F15" s="18">
        <f t="shared" si="1"/>
        <v>0.19606455248207283</v>
      </c>
      <c r="G15" s="6">
        <f t="shared" si="2"/>
        <v>5143392938.198391</v>
      </c>
      <c r="H15" s="18">
        <f t="shared" si="3"/>
        <v>0.59047414008151422</v>
      </c>
      <c r="J15" t="s">
        <v>85</v>
      </c>
      <c r="K15" s="6">
        <f>Froto!J81*'Yatay Analiz'!$D$2</f>
        <v>0</v>
      </c>
      <c r="L15" s="6">
        <f>Froto!F81*'Yatay Analiz'!$D$3</f>
        <v>0</v>
      </c>
      <c r="M15" s="6">
        <f>Froto!B81</f>
        <v>0</v>
      </c>
      <c r="N15" s="6">
        <f t="shared" si="4"/>
        <v>0</v>
      </c>
      <c r="O15" s="18" t="str">
        <f t="shared" si="5"/>
        <v/>
      </c>
      <c r="P15" s="6">
        <f t="shared" si="6"/>
        <v>0</v>
      </c>
      <c r="Q15" s="18" t="str">
        <f t="shared" si="7"/>
        <v/>
      </c>
    </row>
    <row r="16" spans="1:17" x14ac:dyDescent="0.25">
      <c r="A16" t="s">
        <v>29</v>
      </c>
      <c r="B16" s="6">
        <f>Froto!J10*'Yatay Analiz'!$D$2</f>
        <v>0</v>
      </c>
      <c r="C16" s="6">
        <f>Froto!F10*'Yatay Analiz'!$D$3</f>
        <v>0</v>
      </c>
      <c r="D16" s="6">
        <f>Froto!B10</f>
        <v>0</v>
      </c>
      <c r="E16" s="6">
        <f t="shared" si="0"/>
        <v>0</v>
      </c>
      <c r="F16" s="18" t="str">
        <f t="shared" si="1"/>
        <v/>
      </c>
      <c r="G16" s="6">
        <f t="shared" si="2"/>
        <v>0</v>
      </c>
      <c r="H16" s="18" t="str">
        <f t="shared" si="3"/>
        <v/>
      </c>
      <c r="J16" t="s">
        <v>86</v>
      </c>
      <c r="K16" s="6">
        <f>Froto!J82*'Yatay Analiz'!$D$2</f>
        <v>0</v>
      </c>
      <c r="L16" s="6">
        <f>Froto!F82*'Yatay Analiz'!$D$3</f>
        <v>0</v>
      </c>
      <c r="M16" s="6">
        <f>Froto!B82</f>
        <v>0</v>
      </c>
      <c r="N16" s="6">
        <f t="shared" si="4"/>
        <v>0</v>
      </c>
      <c r="O16" s="18" t="str">
        <f t="shared" si="5"/>
        <v/>
      </c>
      <c r="P16" s="6">
        <f t="shared" si="6"/>
        <v>0</v>
      </c>
      <c r="Q16" s="18" t="str">
        <f t="shared" si="7"/>
        <v/>
      </c>
    </row>
    <row r="17" spans="1:17" x14ac:dyDescent="0.25">
      <c r="A17" t="s">
        <v>30</v>
      </c>
      <c r="B17" s="6">
        <f>Froto!J11*'Yatay Analiz'!$D$2</f>
        <v>4537574573.2310352</v>
      </c>
      <c r="C17" s="6">
        <f>Froto!F11*'Yatay Analiz'!$D$3</f>
        <v>3881331343.5363169</v>
      </c>
      <c r="D17" s="6">
        <f>Froto!B11</f>
        <v>5021342000</v>
      </c>
      <c r="E17" s="6">
        <f t="shared" si="0"/>
        <v>-656243229.69471836</v>
      </c>
      <c r="F17" s="18">
        <f t="shared" si="1"/>
        <v>-0.14462423021456425</v>
      </c>
      <c r="G17" s="6">
        <f t="shared" si="2"/>
        <v>483767426.76896477</v>
      </c>
      <c r="H17" s="18">
        <f t="shared" si="3"/>
        <v>0.10661365867635587</v>
      </c>
      <c r="J17" s="2" t="s">
        <v>87</v>
      </c>
      <c r="K17" s="7">
        <f>Froto!J83*'Yatay Analiz'!$D$2</f>
        <v>22003889963.415279</v>
      </c>
      <c r="L17" s="7">
        <f>Froto!F83*'Yatay Analiz'!$D$3</f>
        <v>22053975691.269257</v>
      </c>
      <c r="M17" s="7">
        <f>Froto!B83</f>
        <v>23941244000</v>
      </c>
      <c r="N17" s="7">
        <f t="shared" si="4"/>
        <v>50085727.853977203</v>
      </c>
      <c r="O17" s="19">
        <f t="shared" si="5"/>
        <v>2.2762215197972783E-3</v>
      </c>
      <c r="P17" s="7">
        <f t="shared" si="6"/>
        <v>1937354036.5847206</v>
      </c>
      <c r="Q17" s="19">
        <f t="shared" si="7"/>
        <v>8.8045979133955773E-2</v>
      </c>
    </row>
    <row r="18" spans="1:17" x14ac:dyDescent="0.25">
      <c r="A18" t="s">
        <v>31</v>
      </c>
      <c r="B18" s="6">
        <f>Froto!J12*'Yatay Analiz'!$D$2</f>
        <v>62614749716.120857</v>
      </c>
      <c r="C18" s="6">
        <f>Froto!F12*'Yatay Analiz'!$D$3</f>
        <v>64879461505.385178</v>
      </c>
      <c r="D18" s="6">
        <f>Froto!B12</f>
        <v>55124518000</v>
      </c>
      <c r="E18" s="6">
        <f t="shared" si="0"/>
        <v>2264711789.2643204</v>
      </c>
      <c r="F18" s="18">
        <f t="shared" si="1"/>
        <v>3.6168982540566559E-2</v>
      </c>
      <c r="G18" s="6">
        <f t="shared" si="2"/>
        <v>-7490231716.1208572</v>
      </c>
      <c r="H18" s="18">
        <f t="shared" si="3"/>
        <v>-0.11962407819371056</v>
      </c>
      <c r="J18" t="s">
        <v>88</v>
      </c>
      <c r="K18" s="6">
        <f>Froto!J84*'Yatay Analiz'!$D$2</f>
        <v>-3000343397.2407484</v>
      </c>
      <c r="L18" s="6">
        <f>Froto!F84*'Yatay Analiz'!$D$3</f>
        <v>-2617018424.0645633</v>
      </c>
      <c r="M18" s="6">
        <f>Froto!B84</f>
        <v>-2756024000</v>
      </c>
      <c r="N18" s="6">
        <f t="shared" si="4"/>
        <v>383324973.17618513</v>
      </c>
      <c r="O18" s="18">
        <f t="shared" si="5"/>
        <v>-0.12776036687290798</v>
      </c>
      <c r="P18" s="6">
        <f t="shared" si="6"/>
        <v>244319397.24074841</v>
      </c>
      <c r="Q18" s="18">
        <f t="shared" si="7"/>
        <v>-8.1430478079754329E-2</v>
      </c>
    </row>
    <row r="19" spans="1:17" x14ac:dyDescent="0.25">
      <c r="A19" t="s">
        <v>32</v>
      </c>
      <c r="B19" s="6">
        <f>Froto!J13*'Yatay Analiz'!$D$2</f>
        <v>0</v>
      </c>
      <c r="C19" s="6">
        <f>Froto!F13*'Yatay Analiz'!$D$3</f>
        <v>0</v>
      </c>
      <c r="D19" s="6">
        <f>Froto!B13</f>
        <v>0</v>
      </c>
      <c r="E19" s="6">
        <f t="shared" si="0"/>
        <v>0</v>
      </c>
      <c r="F19" s="18" t="str">
        <f t="shared" si="1"/>
        <v/>
      </c>
      <c r="G19" s="6">
        <f t="shared" si="2"/>
        <v>0</v>
      </c>
      <c r="H19" s="18" t="str">
        <f t="shared" si="3"/>
        <v/>
      </c>
      <c r="J19" t="s">
        <v>89</v>
      </c>
      <c r="K19" s="6">
        <f>Froto!J85*'Yatay Analiz'!$D$2</f>
        <v>-1837726113.8543298</v>
      </c>
      <c r="L19" s="6">
        <f>Froto!F85*'Yatay Analiz'!$D$3</f>
        <v>-1463974263.1548054</v>
      </c>
      <c r="M19" s="6">
        <f>Froto!B85</f>
        <v>-1903866000</v>
      </c>
      <c r="N19" s="6">
        <f t="shared" si="4"/>
        <v>373751850.6995244</v>
      </c>
      <c r="O19" s="18">
        <f t="shared" si="5"/>
        <v>-0.2033773410966235</v>
      </c>
      <c r="P19" s="6">
        <f t="shared" si="6"/>
        <v>-66139886.145670176</v>
      </c>
      <c r="Q19" s="18">
        <f t="shared" si="7"/>
        <v>3.5990067098166545E-2</v>
      </c>
    </row>
    <row r="20" spans="1:17" x14ac:dyDescent="0.25">
      <c r="A20" s="2" t="s">
        <v>33</v>
      </c>
      <c r="B20" s="7">
        <f>Froto!J14*'Yatay Analiz'!$D$2</f>
        <v>23989007482.059586</v>
      </c>
      <c r="C20" s="7">
        <f>Froto!F14*'Yatay Analiz'!$D$3</f>
        <v>19730454420.33749</v>
      </c>
      <c r="D20" s="7">
        <f>Froto!B14</f>
        <v>40927729000</v>
      </c>
      <c r="E20" s="7">
        <f t="shared" si="0"/>
        <v>-4258553061.7220955</v>
      </c>
      <c r="F20" s="19">
        <f t="shared" si="1"/>
        <v>-0.17752101936301018</v>
      </c>
      <c r="G20" s="7">
        <f t="shared" si="2"/>
        <v>16938721517.940414</v>
      </c>
      <c r="H20" s="19">
        <f t="shared" si="3"/>
        <v>0.70610347387686645</v>
      </c>
      <c r="J20" t="s">
        <v>90</v>
      </c>
      <c r="K20" s="6">
        <f>Froto!J86*'Yatay Analiz'!$D$2</f>
        <v>-1634148849.4729619</v>
      </c>
      <c r="L20" s="6">
        <f>Froto!F86*'Yatay Analiz'!$D$3</f>
        <v>-1345520369.3910491</v>
      </c>
      <c r="M20" s="6">
        <f>Froto!B86</f>
        <v>-1449033000</v>
      </c>
      <c r="N20" s="6">
        <f t="shared" si="4"/>
        <v>288628480.08191276</v>
      </c>
      <c r="O20" s="18">
        <f t="shared" si="5"/>
        <v>-0.17662312718636364</v>
      </c>
      <c r="P20" s="6">
        <f t="shared" si="6"/>
        <v>185115849.4729619</v>
      </c>
      <c r="Q20" s="18">
        <f t="shared" si="7"/>
        <v>-0.11327967432872753</v>
      </c>
    </row>
    <row r="21" spans="1:17" x14ac:dyDescent="0.25">
      <c r="A21" t="s">
        <v>24</v>
      </c>
      <c r="B21" s="6">
        <f>Froto!J15*'Yatay Analiz'!$D$2</f>
        <v>14049132.454643041</v>
      </c>
      <c r="C21" s="6">
        <f>Froto!F15*'Yatay Analiz'!$D$3</f>
        <v>74301099.545121059</v>
      </c>
      <c r="D21" s="6">
        <f>Froto!B15</f>
        <v>15684000</v>
      </c>
      <c r="E21" s="6">
        <f t="shared" si="0"/>
        <v>60251967.090478018</v>
      </c>
      <c r="F21" s="18">
        <f t="shared" si="1"/>
        <v>4.2886610461534644</v>
      </c>
      <c r="G21" s="6">
        <f t="shared" si="2"/>
        <v>1634867.5453569591</v>
      </c>
      <c r="H21" s="18">
        <f t="shared" si="3"/>
        <v>0.1163678647514394</v>
      </c>
      <c r="J21" t="s">
        <v>91</v>
      </c>
      <c r="K21" s="6">
        <f>Froto!J87*'Yatay Analiz'!$D$2</f>
        <v>3040218036.2151794</v>
      </c>
      <c r="L21" s="6">
        <f>Froto!F87*'Yatay Analiz'!$D$3</f>
        <v>4173887350.7263389</v>
      </c>
      <c r="M21" s="6">
        <f>Froto!B87</f>
        <v>3412894000</v>
      </c>
      <c r="N21" s="6">
        <f t="shared" si="4"/>
        <v>1133669314.5111594</v>
      </c>
      <c r="O21" s="18">
        <f t="shared" si="5"/>
        <v>0.37289079303091172</v>
      </c>
      <c r="P21" s="6">
        <f t="shared" si="6"/>
        <v>372675963.78482056</v>
      </c>
      <c r="Q21" s="18">
        <f t="shared" si="7"/>
        <v>0.12258198568178069</v>
      </c>
    </row>
    <row r="22" spans="1:17" x14ac:dyDescent="0.25">
      <c r="A22" t="s">
        <v>25</v>
      </c>
      <c r="B22" s="6">
        <f>Froto!J16*'Yatay Analiz'!$D$2</f>
        <v>0</v>
      </c>
      <c r="C22" s="6">
        <f>Froto!F16*'Yatay Analiz'!$D$3</f>
        <v>0</v>
      </c>
      <c r="D22" s="6">
        <f>Froto!B16</f>
        <v>0</v>
      </c>
      <c r="E22" s="6">
        <f t="shared" si="0"/>
        <v>0</v>
      </c>
      <c r="F22" s="18" t="str">
        <f t="shared" si="1"/>
        <v/>
      </c>
      <c r="G22" s="6">
        <f t="shared" si="2"/>
        <v>0</v>
      </c>
      <c r="H22" s="18" t="str">
        <f t="shared" si="3"/>
        <v/>
      </c>
      <c r="J22" t="s">
        <v>92</v>
      </c>
      <c r="K22" s="6">
        <f>Froto!J88*'Yatay Analiz'!$D$2</f>
        <v>-1479391431.1858799</v>
      </c>
      <c r="L22" s="6">
        <f>Froto!F88*'Yatay Analiz'!$D$3</f>
        <v>-2141069453.0594277</v>
      </c>
      <c r="M22" s="6">
        <f>Froto!B88</f>
        <v>-2104872000</v>
      </c>
      <c r="N22" s="6">
        <f t="shared" si="4"/>
        <v>-661678021.87354779</v>
      </c>
      <c r="O22" s="18">
        <f t="shared" si="5"/>
        <v>0.4472636571533653</v>
      </c>
      <c r="P22" s="6">
        <f t="shared" si="6"/>
        <v>-625480568.81412005</v>
      </c>
      <c r="Q22" s="18">
        <f t="shared" si="7"/>
        <v>0.42279585755930393</v>
      </c>
    </row>
    <row r="23" spans="1:17" x14ac:dyDescent="0.25">
      <c r="A23" t="s">
        <v>26</v>
      </c>
      <c r="B23" s="6">
        <f>Froto!J17*'Yatay Analiz'!$D$2</f>
        <v>0</v>
      </c>
      <c r="C23" s="6">
        <f>Froto!F17*'Yatay Analiz'!$D$3</f>
        <v>0</v>
      </c>
      <c r="D23" s="6">
        <f>Froto!B17</f>
        <v>1153083000</v>
      </c>
      <c r="E23" s="6">
        <f t="shared" si="0"/>
        <v>0</v>
      </c>
      <c r="F23" s="18" t="str">
        <f t="shared" si="1"/>
        <v/>
      </c>
      <c r="G23" s="6">
        <f t="shared" si="2"/>
        <v>1153083000</v>
      </c>
      <c r="H23" s="18" t="str">
        <f t="shared" si="3"/>
        <v/>
      </c>
      <c r="J23" t="s">
        <v>93</v>
      </c>
      <c r="K23" s="6">
        <f>Froto!J89*'Yatay Analiz'!$D$2</f>
        <v>0</v>
      </c>
      <c r="L23" s="6">
        <f>Froto!F89*'Yatay Analiz'!$D$3</f>
        <v>0</v>
      </c>
      <c r="M23" s="6">
        <f>Froto!B89</f>
        <v>0</v>
      </c>
      <c r="N23" s="6">
        <f t="shared" si="4"/>
        <v>0</v>
      </c>
      <c r="O23" s="18" t="str">
        <f t="shared" si="5"/>
        <v/>
      </c>
      <c r="P23" s="6">
        <f t="shared" si="6"/>
        <v>0</v>
      </c>
      <c r="Q23" s="18" t="str">
        <f t="shared" si="7"/>
        <v/>
      </c>
    </row>
    <row r="24" spans="1:17" x14ac:dyDescent="0.25">
      <c r="A24" t="s">
        <v>27</v>
      </c>
      <c r="B24" s="6">
        <f>Froto!J18*'Yatay Analiz'!$D$2</f>
        <v>0</v>
      </c>
      <c r="C24" s="6">
        <f>Froto!F18*'Yatay Analiz'!$D$3</f>
        <v>0</v>
      </c>
      <c r="D24" s="6">
        <f>Froto!B18</f>
        <v>0</v>
      </c>
      <c r="E24" s="6">
        <f t="shared" si="0"/>
        <v>0</v>
      </c>
      <c r="F24" s="18" t="str">
        <f t="shared" si="1"/>
        <v/>
      </c>
      <c r="G24" s="6">
        <f t="shared" si="2"/>
        <v>0</v>
      </c>
      <c r="H24" s="18" t="str">
        <f t="shared" si="3"/>
        <v/>
      </c>
      <c r="J24" s="2" t="s">
        <v>94</v>
      </c>
      <c r="K24" s="7">
        <f>Froto!J90*'Yatay Analiz'!$D$2</f>
        <v>17092498207.876539</v>
      </c>
      <c r="L24" s="7">
        <f>Froto!F90*'Yatay Analiz'!$D$3</f>
        <v>18660280532.325752</v>
      </c>
      <c r="M24" s="7">
        <f>Froto!B90</f>
        <v>19140343000</v>
      </c>
      <c r="N24" s="7">
        <f t="shared" si="4"/>
        <v>1567782324.449213</v>
      </c>
      <c r="O24" s="19">
        <f t="shared" si="5"/>
        <v>9.1723416049664996E-2</v>
      </c>
      <c r="P24" s="7">
        <f t="shared" si="6"/>
        <v>2047844792.1234608</v>
      </c>
      <c r="Q24" s="19">
        <f t="shared" si="7"/>
        <v>0.1198095659989466</v>
      </c>
    </row>
    <row r="25" spans="1:17" x14ac:dyDescent="0.25">
      <c r="A25" t="s">
        <v>23</v>
      </c>
      <c r="B25" s="6">
        <f>Froto!J19*'Yatay Analiz'!$D$2</f>
        <v>159224686.73341897</v>
      </c>
      <c r="C25" s="6">
        <f>Froto!F19*'Yatay Analiz'!$D$3</f>
        <v>98687851.768158466</v>
      </c>
      <c r="D25" s="6">
        <f>Froto!B19</f>
        <v>145942000</v>
      </c>
      <c r="E25" s="6">
        <f t="shared" si="0"/>
        <v>-60536834.965260506</v>
      </c>
      <c r="F25" s="18">
        <f t="shared" si="1"/>
        <v>-0.38019754478533818</v>
      </c>
      <c r="G25" s="6">
        <f t="shared" si="2"/>
        <v>-13282686.733418971</v>
      </c>
      <c r="H25" s="18">
        <f t="shared" si="3"/>
        <v>-8.3421026009976917E-2</v>
      </c>
      <c r="J25" s="2" t="s">
        <v>95</v>
      </c>
      <c r="K25" s="7">
        <f>Froto!J91*'Yatay Analiz'!$D$2</f>
        <v>15531671602.847239</v>
      </c>
      <c r="L25" s="7">
        <f>Froto!F91*'Yatay Analiz'!$D$3</f>
        <v>16627462634.65884</v>
      </c>
      <c r="M25" s="7">
        <f>Froto!B91</f>
        <v>17832321000</v>
      </c>
      <c r="N25" s="7">
        <f t="shared" si="4"/>
        <v>1095791031.8116016</v>
      </c>
      <c r="O25" s="19">
        <f t="shared" si="5"/>
        <v>7.0552034567272409E-2</v>
      </c>
      <c r="P25" s="7">
        <f t="shared" si="6"/>
        <v>2300649397.1527615</v>
      </c>
      <c r="Q25" s="19">
        <f t="shared" si="7"/>
        <v>0.14812632252223323</v>
      </c>
    </row>
    <row r="26" spans="1:17" x14ac:dyDescent="0.25">
      <c r="A26" t="s">
        <v>34</v>
      </c>
      <c r="B26" s="6">
        <f>Froto!J20*'Yatay Analiz'!$D$2</f>
        <v>0</v>
      </c>
      <c r="C26" s="6">
        <f>Froto!F20*'Yatay Analiz'!$D$3</f>
        <v>0</v>
      </c>
      <c r="D26" s="6">
        <f>Froto!B20</f>
        <v>0</v>
      </c>
      <c r="E26" s="6">
        <f t="shared" si="0"/>
        <v>0</v>
      </c>
      <c r="F26" s="18" t="str">
        <f t="shared" si="1"/>
        <v/>
      </c>
      <c r="G26" s="6">
        <f t="shared" si="2"/>
        <v>0</v>
      </c>
      <c r="H26" s="18" t="str">
        <f t="shared" si="3"/>
        <v/>
      </c>
      <c r="J26" t="s">
        <v>96</v>
      </c>
      <c r="K26" s="6">
        <f>Froto!J92*'Yatay Analiz'!$D$2</f>
        <v>9066136.3612367362</v>
      </c>
      <c r="L26" s="6">
        <f>Froto!F92*'Yatay Analiz'!$D$3</f>
        <v>4871814.292002935</v>
      </c>
      <c r="M26" s="6">
        <f>Froto!B92</f>
        <v>21013000</v>
      </c>
      <c r="N26" s="6">
        <f t="shared" si="4"/>
        <v>-4194322.0692338012</v>
      </c>
      <c r="O26" s="18">
        <f t="shared" si="5"/>
        <v>-0.46263611114069347</v>
      </c>
      <c r="P26" s="6">
        <f t="shared" si="6"/>
        <v>11946863.638763264</v>
      </c>
      <c r="Q26" s="18">
        <f t="shared" si="7"/>
        <v>1.3177458580750445</v>
      </c>
    </row>
    <row r="27" spans="1:17" x14ac:dyDescent="0.25">
      <c r="A27" t="s">
        <v>29</v>
      </c>
      <c r="B27" s="6">
        <f>Froto!J21*'Yatay Analiz'!$D$2</f>
        <v>0</v>
      </c>
      <c r="C27" s="6">
        <f>Froto!F21*'Yatay Analiz'!$D$3</f>
        <v>0</v>
      </c>
      <c r="D27" s="6">
        <f>Froto!B21</f>
        <v>0</v>
      </c>
      <c r="E27" s="6">
        <f t="shared" si="0"/>
        <v>0</v>
      </c>
      <c r="F27" s="18" t="str">
        <f t="shared" si="1"/>
        <v/>
      </c>
      <c r="G27" s="6">
        <f t="shared" si="2"/>
        <v>0</v>
      </c>
      <c r="H27" s="18" t="str">
        <f t="shared" si="3"/>
        <v/>
      </c>
      <c r="J27" t="s">
        <v>97</v>
      </c>
      <c r="K27" s="6">
        <f>Froto!J93*'Yatay Analiz'!$D$2</f>
        <v>-4833612.9128759215</v>
      </c>
      <c r="L27" s="6">
        <f>Froto!F93*'Yatay Analiz'!$D$3</f>
        <v>-74265509.992663234</v>
      </c>
      <c r="M27" s="6">
        <f>Froto!B93</f>
        <v>-34930000</v>
      </c>
      <c r="N27" s="6">
        <f t="shared" si="4"/>
        <v>-69431897.079787314</v>
      </c>
      <c r="O27" s="18">
        <f t="shared" si="5"/>
        <v>14.364389191122973</v>
      </c>
      <c r="P27" s="6">
        <f t="shared" si="6"/>
        <v>-30096387.087124079</v>
      </c>
      <c r="Q27" s="18">
        <f t="shared" si="7"/>
        <v>6.2264785429864338</v>
      </c>
    </row>
    <row r="28" spans="1:17" x14ac:dyDescent="0.25">
      <c r="A28" t="s">
        <v>35</v>
      </c>
      <c r="B28" s="6">
        <f>Froto!J22*'Yatay Analiz'!$D$2</f>
        <v>0</v>
      </c>
      <c r="C28" s="6">
        <f>Froto!F22*'Yatay Analiz'!$D$3</f>
        <v>0</v>
      </c>
      <c r="D28" s="6">
        <f>Froto!B22</f>
        <v>0</v>
      </c>
      <c r="E28" s="6">
        <f t="shared" si="0"/>
        <v>0</v>
      </c>
      <c r="F28" s="18" t="str">
        <f t="shared" si="1"/>
        <v/>
      </c>
      <c r="G28" s="6">
        <f t="shared" si="2"/>
        <v>0</v>
      </c>
      <c r="H28" s="18" t="str">
        <f t="shared" si="3"/>
        <v/>
      </c>
      <c r="J28" t="s">
        <v>98</v>
      </c>
      <c r="K28" s="6">
        <f>Froto!J94*'Yatay Analiz'!$D$2</f>
        <v>0</v>
      </c>
      <c r="L28" s="6">
        <f>Froto!F94*'Yatay Analiz'!$D$3</f>
        <v>0</v>
      </c>
      <c r="M28" s="6">
        <f>Froto!B94</f>
        <v>0</v>
      </c>
      <c r="N28" s="6">
        <f t="shared" si="4"/>
        <v>0</v>
      </c>
      <c r="O28" s="18" t="str">
        <f t="shared" si="5"/>
        <v/>
      </c>
      <c r="P28" s="6">
        <f t="shared" si="6"/>
        <v>0</v>
      </c>
      <c r="Q28" s="18" t="str">
        <f t="shared" si="7"/>
        <v/>
      </c>
    </row>
    <row r="29" spans="1:17" x14ac:dyDescent="0.25">
      <c r="A29" t="s">
        <v>28</v>
      </c>
      <c r="B29" s="6">
        <f>Froto!J23*'Yatay Analiz'!$D$2</f>
        <v>0</v>
      </c>
      <c r="C29" s="6">
        <f>Froto!F23*'Yatay Analiz'!$D$3</f>
        <v>0</v>
      </c>
      <c r="D29" s="6">
        <f>Froto!B23</f>
        <v>0</v>
      </c>
      <c r="E29" s="6">
        <f t="shared" si="0"/>
        <v>0</v>
      </c>
      <c r="F29" s="18" t="str">
        <f t="shared" si="1"/>
        <v/>
      </c>
      <c r="G29" s="6">
        <f t="shared" si="2"/>
        <v>0</v>
      </c>
      <c r="H29" s="18" t="str">
        <f t="shared" si="3"/>
        <v/>
      </c>
      <c r="J29" t="s">
        <v>99</v>
      </c>
      <c r="K29" s="6">
        <f>Froto!J95*'Yatay Analiz'!$D$2</f>
        <v>0</v>
      </c>
      <c r="L29" s="6">
        <f>Froto!F95*'Yatay Analiz'!$D$3</f>
        <v>0</v>
      </c>
      <c r="M29" s="6">
        <f>Froto!B95</f>
        <v>0</v>
      </c>
      <c r="N29" s="6">
        <f t="shared" si="4"/>
        <v>0</v>
      </c>
      <c r="O29" s="18" t="str">
        <f t="shared" si="5"/>
        <v/>
      </c>
      <c r="P29" s="6">
        <f t="shared" si="6"/>
        <v>0</v>
      </c>
      <c r="Q29" s="18" t="str">
        <f t="shared" si="7"/>
        <v/>
      </c>
    </row>
    <row r="30" spans="1:17" x14ac:dyDescent="0.25">
      <c r="A30" t="s">
        <v>36</v>
      </c>
      <c r="B30" s="6">
        <f>Froto!J24*'Yatay Analiz'!$D$2</f>
        <v>245127129.02317563</v>
      </c>
      <c r="C30" s="6">
        <f>Froto!F24*'Yatay Analiz'!$D$3</f>
        <v>135965930.77035949</v>
      </c>
      <c r="D30" s="6">
        <f>Froto!B24</f>
        <v>164475000</v>
      </c>
      <c r="E30" s="6">
        <f t="shared" si="0"/>
        <v>-109161198.25281614</v>
      </c>
      <c r="F30" s="18">
        <f t="shared" si="1"/>
        <v>-0.44532483486352692</v>
      </c>
      <c r="G30" s="6">
        <f t="shared" si="2"/>
        <v>-80652129.023175627</v>
      </c>
      <c r="H30" s="18">
        <f t="shared" si="3"/>
        <v>-0.32902163601626627</v>
      </c>
      <c r="J30" t="s">
        <v>100</v>
      </c>
      <c r="K30" s="6">
        <f>Froto!J96*'Yatay Analiz'!$D$2</f>
        <v>17096730731.3249</v>
      </c>
      <c r="L30" s="6">
        <f>Froto!F96*'Yatay Analiz'!$D$3</f>
        <v>18590886836.625092</v>
      </c>
      <c r="M30" s="6">
        <f>Froto!B96</f>
        <v>19126426000</v>
      </c>
      <c r="N30" s="6">
        <f t="shared" si="4"/>
        <v>1494156105.3001919</v>
      </c>
      <c r="O30" s="18">
        <f t="shared" si="5"/>
        <v>8.739425851531811E-2</v>
      </c>
      <c r="P30" s="6">
        <f t="shared" si="6"/>
        <v>2029695268.6751003</v>
      </c>
      <c r="Q30" s="18">
        <f t="shared" si="7"/>
        <v>0.11871832694634774</v>
      </c>
    </row>
    <row r="31" spans="1:17" x14ac:dyDescent="0.25">
      <c r="A31" t="s">
        <v>37</v>
      </c>
      <c r="B31" s="6">
        <f>Froto!J25*'Yatay Analiz'!$D$2</f>
        <v>15661663423.84782</v>
      </c>
      <c r="C31" s="6">
        <f>Froto!F25*'Yatay Analiz'!$D$3</f>
        <v>10180753307.674248</v>
      </c>
      <c r="D31" s="6">
        <f>Froto!B25</f>
        <v>20145190000</v>
      </c>
      <c r="E31" s="6">
        <f t="shared" si="0"/>
        <v>-5480910116.1735725</v>
      </c>
      <c r="F31" s="18">
        <f t="shared" si="1"/>
        <v>-0.34995708743350074</v>
      </c>
      <c r="G31" s="6">
        <f t="shared" si="2"/>
        <v>4483526576.1521797</v>
      </c>
      <c r="H31" s="18">
        <f t="shared" si="3"/>
        <v>0.2862739707025736</v>
      </c>
      <c r="J31" t="s">
        <v>101</v>
      </c>
      <c r="K31" s="6">
        <f>Froto!J97*'Yatay Analiz'!$D$2</f>
        <v>6599016226.8991852</v>
      </c>
      <c r="L31" s="6">
        <f>Froto!F97*'Yatay Analiz'!$D$3</f>
        <v>11490972795.421864</v>
      </c>
      <c r="M31" s="6">
        <f>Froto!B97</f>
        <v>6694430000</v>
      </c>
      <c r="N31" s="6">
        <f t="shared" si="4"/>
        <v>4891956568.5226784</v>
      </c>
      <c r="O31" s="18">
        <f t="shared" si="5"/>
        <v>0.74131603868192975</v>
      </c>
      <c r="P31" s="6">
        <f t="shared" si="6"/>
        <v>95413773.100814819</v>
      </c>
      <c r="Q31" s="18">
        <f t="shared" si="7"/>
        <v>1.4458787464695907E-2</v>
      </c>
    </row>
    <row r="32" spans="1:17" x14ac:dyDescent="0.25">
      <c r="A32" t="s">
        <v>38</v>
      </c>
      <c r="B32" s="6">
        <f>Froto!J26*'Yatay Analiz'!$D$2</f>
        <v>0</v>
      </c>
      <c r="C32" s="6">
        <f>Froto!F26*'Yatay Analiz'!$D$3</f>
        <v>0</v>
      </c>
      <c r="D32" s="6">
        <f>Froto!B26</f>
        <v>503941000</v>
      </c>
      <c r="E32" s="6">
        <f t="shared" si="0"/>
        <v>0</v>
      </c>
      <c r="F32" s="18" t="str">
        <f t="shared" si="1"/>
        <v/>
      </c>
      <c r="G32" s="6">
        <f t="shared" si="2"/>
        <v>503941000</v>
      </c>
      <c r="H32" s="18" t="str">
        <f t="shared" si="3"/>
        <v/>
      </c>
      <c r="J32" t="s">
        <v>102</v>
      </c>
      <c r="K32" s="6">
        <f>Froto!J98*'Yatay Analiz'!$D$2</f>
        <v>-9083475480.4054413</v>
      </c>
      <c r="L32" s="6">
        <f>Froto!F98*'Yatay Analiz'!$D$3</f>
        <v>-12906422680.997799</v>
      </c>
      <c r="M32" s="6">
        <f>Froto!B98</f>
        <v>-10197649000</v>
      </c>
      <c r="N32" s="6">
        <f t="shared" si="4"/>
        <v>-3822947200.5923576</v>
      </c>
      <c r="O32" s="18">
        <f t="shared" si="5"/>
        <v>0.42086833490541004</v>
      </c>
      <c r="P32" s="6">
        <f t="shared" si="6"/>
        <v>-1114173519.5945587</v>
      </c>
      <c r="Q32" s="18">
        <f t="shared" si="7"/>
        <v>0.12265938538591481</v>
      </c>
    </row>
    <row r="33" spans="1:17" x14ac:dyDescent="0.25">
      <c r="A33" t="s">
        <v>39</v>
      </c>
      <c r="B33" s="6">
        <f>Froto!J27*'Yatay Analiz'!$D$2</f>
        <v>3218279230.6650009</v>
      </c>
      <c r="C33" s="6">
        <f>Froto!F27*'Yatay Analiz'!$D$3</f>
        <v>2939651557.4761553</v>
      </c>
      <c r="D33" s="6">
        <f>Froto!B27</f>
        <v>6950343000</v>
      </c>
      <c r="E33" s="6">
        <f t="shared" si="0"/>
        <v>-278627673.18884563</v>
      </c>
      <c r="F33" s="18">
        <f t="shared" si="1"/>
        <v>-8.6576599859320508E-2</v>
      </c>
      <c r="G33" s="6">
        <f t="shared" si="2"/>
        <v>3732063769.3349991</v>
      </c>
      <c r="H33" s="18">
        <f t="shared" si="3"/>
        <v>1.1596457304805816</v>
      </c>
      <c r="J33" t="s">
        <v>103</v>
      </c>
      <c r="K33" s="6">
        <f>Froto!J99*'Yatay Analiz'!$D$2</f>
        <v>4232523.4483608147</v>
      </c>
      <c r="L33" s="6">
        <f>Froto!F99*'Yatay Analiz'!$D$3</f>
        <v>-69393695.700660303</v>
      </c>
      <c r="M33" s="6">
        <f>Froto!B99</f>
        <v>-13917000</v>
      </c>
      <c r="N33" s="6">
        <f t="shared" si="4"/>
        <v>-73626219.149021119</v>
      </c>
      <c r="O33" s="18">
        <f t="shared" si="5"/>
        <v>-17.395348200028359</v>
      </c>
      <c r="P33" s="6">
        <f t="shared" si="6"/>
        <v>-18149523.448360816</v>
      </c>
      <c r="Q33" s="18">
        <f t="shared" si="7"/>
        <v>-4.2881093678027513</v>
      </c>
    </row>
    <row r="34" spans="1:17" x14ac:dyDescent="0.25">
      <c r="A34" t="s">
        <v>40</v>
      </c>
      <c r="B34" s="6">
        <f>Froto!J28*'Yatay Analiz'!$D$2</f>
        <v>3394007202.1046333</v>
      </c>
      <c r="C34" s="6">
        <f>Froto!F28*'Yatay Analiz'!$D$3</f>
        <v>3392813328.9214964</v>
      </c>
      <c r="D34" s="6">
        <f>Froto!B28</f>
        <v>5374582000</v>
      </c>
      <c r="E34" s="6">
        <f t="shared" si="0"/>
        <v>-1193873.18313694</v>
      </c>
      <c r="F34" s="18">
        <f t="shared" si="1"/>
        <v>-3.5175917788171336E-4</v>
      </c>
      <c r="G34" s="6">
        <f t="shared" si="2"/>
        <v>1980574797.8953667</v>
      </c>
      <c r="H34" s="18">
        <f t="shared" si="3"/>
        <v>0.58355055836864655</v>
      </c>
      <c r="J34" s="2" t="s">
        <v>104</v>
      </c>
      <c r="K34" s="7">
        <f>Froto!J100*'Yatay Analiz'!$D$2</f>
        <v>14612271477.818644</v>
      </c>
      <c r="L34" s="7">
        <f>Froto!F100*'Yatay Analiz'!$D$3</f>
        <v>17175436951.049156</v>
      </c>
      <c r="M34" s="7">
        <f>Froto!B100</f>
        <v>15623207000</v>
      </c>
      <c r="N34" s="7">
        <f t="shared" si="4"/>
        <v>2563165473.2305126</v>
      </c>
      <c r="O34" s="19">
        <f t="shared" si="5"/>
        <v>0.17541184319777969</v>
      </c>
      <c r="P34" s="7">
        <f t="shared" si="6"/>
        <v>1010935522.1813564</v>
      </c>
      <c r="Q34" s="19">
        <f t="shared" si="7"/>
        <v>6.9184009051293058E-2</v>
      </c>
    </row>
    <row r="35" spans="1:17" x14ac:dyDescent="0.25">
      <c r="A35" t="s">
        <v>41</v>
      </c>
      <c r="B35" s="6">
        <f>Froto!J29*'Yatay Analiz'!$D$2</f>
        <v>1296656677.2308939</v>
      </c>
      <c r="C35" s="6">
        <f>Froto!F29*'Yatay Analiz'!$D$3</f>
        <v>2908281344.1819515</v>
      </c>
      <c r="D35" s="6">
        <f>Froto!B29</f>
        <v>6474489000</v>
      </c>
      <c r="E35" s="6">
        <f t="shared" si="0"/>
        <v>1611624666.9510577</v>
      </c>
      <c r="F35" s="18">
        <f t="shared" si="1"/>
        <v>1.2429077760142346</v>
      </c>
      <c r="G35" s="6">
        <f t="shared" si="2"/>
        <v>5177832322.7691059</v>
      </c>
      <c r="H35" s="18">
        <f t="shared" si="3"/>
        <v>3.9932176448022845</v>
      </c>
      <c r="J35" t="s">
        <v>105</v>
      </c>
      <c r="K35" s="6">
        <f>Froto!J101*'Yatay Analiz'!$D$2</f>
        <v>307953426.66338187</v>
      </c>
      <c r="L35" s="6">
        <f>Froto!F101*'Yatay Analiz'!$D$3</f>
        <v>225886889.44974321</v>
      </c>
      <c r="M35" s="6">
        <f>Froto!B101</f>
        <v>2990736000</v>
      </c>
      <c r="N35" s="6">
        <f t="shared" si="4"/>
        <v>-82066537.213638663</v>
      </c>
      <c r="O35" s="18">
        <f t="shared" si="5"/>
        <v>-0.26649009268321622</v>
      </c>
      <c r="P35" s="6">
        <f t="shared" si="6"/>
        <v>2682782573.3366179</v>
      </c>
      <c r="Q35" s="18">
        <f t="shared" si="7"/>
        <v>8.7116503375334009</v>
      </c>
    </row>
    <row r="36" spans="1:17" x14ac:dyDescent="0.25">
      <c r="A36" s="2" t="s">
        <v>42</v>
      </c>
      <c r="B36" s="7">
        <f>Froto!J30*'Yatay Analiz'!$D$2</f>
        <v>86603757198.18045</v>
      </c>
      <c r="C36" s="7">
        <f>Froto!F30*'Yatay Analiz'!$D$3</f>
        <v>84609915925.722672</v>
      </c>
      <c r="D36" s="7">
        <f>Froto!B30</f>
        <v>96052247000</v>
      </c>
      <c r="E36" s="7">
        <f t="shared" si="0"/>
        <v>-1993841272.4577789</v>
      </c>
      <c r="F36" s="19">
        <f t="shared" si="1"/>
        <v>-2.3022572425987882E-2</v>
      </c>
      <c r="G36" s="7">
        <f t="shared" si="2"/>
        <v>9448489801.8195496</v>
      </c>
      <c r="H36" s="19">
        <f t="shared" si="3"/>
        <v>0.10910022968400801</v>
      </c>
      <c r="J36" t="s">
        <v>106</v>
      </c>
      <c r="K36" s="6">
        <f>Froto!J102*'Yatay Analiz'!$D$2</f>
        <v>-141554790.52211097</v>
      </c>
      <c r="L36" s="6">
        <f>Froto!F102*'Yatay Analiz'!$D$3</f>
        <v>-152145336.75715333</v>
      </c>
      <c r="M36" s="6">
        <f>Froto!B102</f>
        <v>-94210000</v>
      </c>
      <c r="N36" s="6">
        <f t="shared" si="4"/>
        <v>-10590546.235042363</v>
      </c>
      <c r="O36" s="18">
        <f t="shared" si="5"/>
        <v>7.4815880098300966E-2</v>
      </c>
      <c r="P36" s="6">
        <f t="shared" si="6"/>
        <v>47344790.522110969</v>
      </c>
      <c r="Q36" s="18">
        <f t="shared" si="7"/>
        <v>-0.33446265115779089</v>
      </c>
    </row>
    <row r="37" spans="1:17" x14ac:dyDescent="0.25">
      <c r="A37" t="s">
        <v>43</v>
      </c>
      <c r="B37" s="6">
        <f>Froto!J31*'Yatay Analiz'!$D$2</f>
        <v>0</v>
      </c>
      <c r="C37" s="6">
        <f>Froto!F31*'Yatay Analiz'!$D$3</f>
        <v>0</v>
      </c>
      <c r="D37" s="6">
        <f>Froto!B31</f>
        <v>0</v>
      </c>
      <c r="E37" s="6">
        <f t="shared" si="0"/>
        <v>0</v>
      </c>
      <c r="F37" s="18" t="str">
        <f t="shared" si="1"/>
        <v/>
      </c>
      <c r="G37" s="6">
        <f t="shared" si="2"/>
        <v>0</v>
      </c>
      <c r="H37" s="18" t="str">
        <f t="shared" si="3"/>
        <v/>
      </c>
      <c r="J37" t="s">
        <v>107</v>
      </c>
      <c r="K37" s="6">
        <f>Froto!J103*'Yatay Analiz'!$D$2</f>
        <v>449508217.18549281</v>
      </c>
      <c r="L37" s="6">
        <f>Froto!F103*'Yatay Analiz'!$D$3</f>
        <v>378032226.20689654</v>
      </c>
      <c r="M37" s="6">
        <f>Froto!B103</f>
        <v>3084946000</v>
      </c>
      <c r="N37" s="6">
        <f t="shared" si="4"/>
        <v>-71475990.97859627</v>
      </c>
      <c r="O37" s="18">
        <f t="shared" si="5"/>
        <v>-0.15900930894240178</v>
      </c>
      <c r="P37" s="6">
        <f t="shared" si="6"/>
        <v>2635437782.814507</v>
      </c>
      <c r="Q37" s="18">
        <f t="shared" si="7"/>
        <v>5.8629357196533176</v>
      </c>
    </row>
    <row r="38" spans="1:17" x14ac:dyDescent="0.25">
      <c r="A38" s="2" t="s">
        <v>44</v>
      </c>
      <c r="B38" s="7">
        <f>Froto!J32*'Yatay Analiz'!$D$2</f>
        <v>44390922887.694229</v>
      </c>
      <c r="C38" s="7">
        <f>Froto!F32*'Yatay Analiz'!$D$3</f>
        <v>41090400226.324287</v>
      </c>
      <c r="D38" s="7">
        <f>Froto!B32</f>
        <v>46205980000</v>
      </c>
      <c r="E38" s="7">
        <f t="shared" si="0"/>
        <v>-3300522661.3699417</v>
      </c>
      <c r="F38" s="19">
        <f t="shared" si="1"/>
        <v>-7.4351296316141513E-2</v>
      </c>
      <c r="G38" s="7">
        <f t="shared" si="2"/>
        <v>1815057112.3057709</v>
      </c>
      <c r="H38" s="19">
        <f t="shared" si="3"/>
        <v>4.0888023817340587E-2</v>
      </c>
      <c r="J38" t="s">
        <v>108</v>
      </c>
      <c r="K38" s="6">
        <f>Froto!J104*'Yatay Analiz'!$D$2</f>
        <v>0</v>
      </c>
      <c r="L38" s="6">
        <f>Froto!F104*'Yatay Analiz'!$D$3</f>
        <v>0</v>
      </c>
      <c r="M38" s="6">
        <f>Froto!B104</f>
        <v>0</v>
      </c>
      <c r="N38" s="6">
        <f t="shared" si="4"/>
        <v>0</v>
      </c>
      <c r="O38" s="18" t="str">
        <f t="shared" si="5"/>
        <v/>
      </c>
      <c r="P38" s="6">
        <f t="shared" si="6"/>
        <v>0</v>
      </c>
      <c r="Q38" s="18" t="str">
        <f t="shared" si="7"/>
        <v/>
      </c>
    </row>
    <row r="39" spans="1:17" x14ac:dyDescent="0.25">
      <c r="A39" t="s">
        <v>45</v>
      </c>
      <c r="B39" s="6">
        <f>Froto!J33*'Yatay Analiz'!$D$2</f>
        <v>13988244581.607336</v>
      </c>
      <c r="C39" s="6">
        <f>Froto!F33*'Yatay Analiz'!$D$3</f>
        <v>16325558438.356565</v>
      </c>
      <c r="D39" s="6">
        <f>Froto!B33</f>
        <v>13218603000</v>
      </c>
      <c r="E39" s="6">
        <f t="shared" si="0"/>
        <v>2337313856.7492294</v>
      </c>
      <c r="F39" s="18">
        <f t="shared" si="1"/>
        <v>0.16709129177098342</v>
      </c>
      <c r="G39" s="6">
        <f t="shared" si="2"/>
        <v>-769641581.60733604</v>
      </c>
      <c r="H39" s="18">
        <f t="shared" si="3"/>
        <v>-5.5020597982631175E-2</v>
      </c>
      <c r="J39" s="2" t="s">
        <v>109</v>
      </c>
      <c r="K39" s="7">
        <f>Froto!J105*'Yatay Analiz'!$D$2</f>
        <v>14920224904.482025</v>
      </c>
      <c r="L39" s="7">
        <f>Froto!F105*'Yatay Analiz'!$D$3</f>
        <v>17401323840.498898</v>
      </c>
      <c r="M39" s="7">
        <f>Froto!B105</f>
        <v>18613943000</v>
      </c>
      <c r="N39" s="7">
        <f t="shared" si="4"/>
        <v>2481098936.0168724</v>
      </c>
      <c r="O39" s="19">
        <f t="shared" si="5"/>
        <v>0.16629098769627473</v>
      </c>
      <c r="P39" s="7">
        <f t="shared" si="6"/>
        <v>3693718095.5179749</v>
      </c>
      <c r="Q39" s="19">
        <f t="shared" si="7"/>
        <v>0.24756450517099005</v>
      </c>
    </row>
    <row r="40" spans="1:17" x14ac:dyDescent="0.25">
      <c r="A40" t="s">
        <v>46</v>
      </c>
      <c r="B40" s="6">
        <f>Froto!J34*'Yatay Analiz'!$D$2</f>
        <v>0</v>
      </c>
      <c r="C40" s="6">
        <f>Froto!F34*'Yatay Analiz'!$D$3</f>
        <v>0</v>
      </c>
      <c r="D40" s="6">
        <f>Froto!B34</f>
        <v>0</v>
      </c>
      <c r="E40" s="6">
        <f t="shared" si="0"/>
        <v>0</v>
      </c>
      <c r="F40" s="18" t="str">
        <f t="shared" si="1"/>
        <v/>
      </c>
      <c r="G40" s="6">
        <f t="shared" si="2"/>
        <v>0</v>
      </c>
      <c r="H40" s="18" t="str">
        <f t="shared" si="3"/>
        <v/>
      </c>
      <c r="J40" t="s">
        <v>110</v>
      </c>
      <c r="K40" s="6">
        <f>Froto!J106*'Yatay Analiz'!$D$2</f>
        <v>0</v>
      </c>
      <c r="L40" s="6">
        <f>Froto!F106*'Yatay Analiz'!$D$3</f>
        <v>0</v>
      </c>
      <c r="M40" s="6">
        <f>Froto!B106</f>
        <v>0</v>
      </c>
      <c r="N40" s="6">
        <f t="shared" si="4"/>
        <v>0</v>
      </c>
      <c r="O40" s="18" t="str">
        <f t="shared" si="5"/>
        <v/>
      </c>
      <c r="P40" s="6">
        <f t="shared" si="6"/>
        <v>0</v>
      </c>
      <c r="Q40" s="18" t="str">
        <f t="shared" si="7"/>
        <v/>
      </c>
    </row>
    <row r="41" spans="1:17" x14ac:dyDescent="0.25">
      <c r="A41" t="s">
        <v>47</v>
      </c>
      <c r="B41" s="6">
        <f>Froto!J35*'Yatay Analiz'!$D$2</f>
        <v>27556903819.786369</v>
      </c>
      <c r="C41" s="6">
        <f>Froto!F35*'Yatay Analiz'!$D$3</f>
        <v>22497872315.891415</v>
      </c>
      <c r="D41" s="6">
        <f>Froto!B35</f>
        <v>30146246000</v>
      </c>
      <c r="E41" s="6">
        <f t="shared" si="0"/>
        <v>-5059031503.8949547</v>
      </c>
      <c r="F41" s="18">
        <f t="shared" si="1"/>
        <v>-0.1835849026066011</v>
      </c>
      <c r="G41" s="6">
        <f t="shared" si="2"/>
        <v>2589342180.2136307</v>
      </c>
      <c r="H41" s="18">
        <f t="shared" si="3"/>
        <v>9.3963465458497361E-2</v>
      </c>
      <c r="J41" t="s">
        <v>111</v>
      </c>
      <c r="K41" s="6">
        <f>Froto!J107*'Yatay Analiz'!$D$2</f>
        <v>0</v>
      </c>
      <c r="L41" s="6">
        <f>Froto!F107*'Yatay Analiz'!$D$3</f>
        <v>0</v>
      </c>
      <c r="M41" s="6">
        <f>Froto!B107</f>
        <v>0</v>
      </c>
      <c r="N41" s="6">
        <f t="shared" si="4"/>
        <v>0</v>
      </c>
      <c r="O41" s="18" t="str">
        <f t="shared" si="5"/>
        <v/>
      </c>
      <c r="P41" s="6">
        <f t="shared" si="6"/>
        <v>0</v>
      </c>
      <c r="Q41" s="18" t="str">
        <f t="shared" si="7"/>
        <v/>
      </c>
    </row>
    <row r="42" spans="1:17" x14ac:dyDescent="0.25">
      <c r="A42" t="s">
        <v>48</v>
      </c>
      <c r="B42" s="6">
        <f>Froto!J36*'Yatay Analiz'!$D$2</f>
        <v>626683782.77931273</v>
      </c>
      <c r="C42" s="6">
        <f>Froto!F36*'Yatay Analiz'!$D$3</f>
        <v>512096093.1181218</v>
      </c>
      <c r="D42" s="6">
        <f>Froto!B36</f>
        <v>735355000</v>
      </c>
      <c r="E42" s="6">
        <f t="shared" si="0"/>
        <v>-114587689.66119093</v>
      </c>
      <c r="F42" s="18">
        <f t="shared" si="1"/>
        <v>-0.18284770215849527</v>
      </c>
      <c r="G42" s="6">
        <f t="shared" si="2"/>
        <v>108671217.22068727</v>
      </c>
      <c r="H42" s="18">
        <f t="shared" si="3"/>
        <v>0.17340678059153788</v>
      </c>
      <c r="J42" s="2" t="s">
        <v>112</v>
      </c>
      <c r="K42" s="7">
        <f>Froto!J108*'Yatay Analiz'!$D$2</f>
        <v>14920224904.482025</v>
      </c>
      <c r="L42" s="7">
        <f>Froto!F108*'Yatay Analiz'!$D$3</f>
        <v>17401323840.498898</v>
      </c>
      <c r="M42" s="7">
        <f>Froto!B108</f>
        <v>18613943000</v>
      </c>
      <c r="N42" s="7">
        <f t="shared" si="4"/>
        <v>2481098936.0168724</v>
      </c>
      <c r="O42" s="19">
        <f t="shared" si="5"/>
        <v>0.16629098769627473</v>
      </c>
      <c r="P42" s="7">
        <f t="shared" si="6"/>
        <v>3693718095.5179749</v>
      </c>
      <c r="Q42" s="19">
        <f t="shared" si="7"/>
        <v>0.24756450517099005</v>
      </c>
    </row>
    <row r="43" spans="1:17" x14ac:dyDescent="0.25">
      <c r="A43" t="s">
        <v>49</v>
      </c>
      <c r="B43" s="6">
        <f>Froto!J37*'Yatay Analiz'!$D$2</f>
        <v>0</v>
      </c>
      <c r="C43" s="6">
        <f>Froto!F37*'Yatay Analiz'!$D$3</f>
        <v>0</v>
      </c>
      <c r="D43" s="6">
        <f>Froto!B37</f>
        <v>0</v>
      </c>
      <c r="E43" s="6">
        <f t="shared" si="0"/>
        <v>0</v>
      </c>
      <c r="F43" s="18" t="str">
        <f t="shared" si="1"/>
        <v/>
      </c>
      <c r="G43" s="6">
        <f t="shared" si="2"/>
        <v>0</v>
      </c>
      <c r="H43" s="18" t="str">
        <f t="shared" si="3"/>
        <v/>
      </c>
    </row>
    <row r="44" spans="1:17" x14ac:dyDescent="0.25">
      <c r="A44" t="s">
        <v>50</v>
      </c>
      <c r="B44" s="6">
        <f>Froto!J38*'Yatay Analiz'!$D$2</f>
        <v>0</v>
      </c>
      <c r="C44" s="6">
        <f>Froto!F38*'Yatay Analiz'!$D$3</f>
        <v>0</v>
      </c>
      <c r="D44" s="6">
        <f>Froto!B38</f>
        <v>0</v>
      </c>
      <c r="E44" s="6">
        <f t="shared" si="0"/>
        <v>0</v>
      </c>
      <c r="F44" s="18" t="str">
        <f t="shared" si="1"/>
        <v/>
      </c>
      <c r="G44" s="6">
        <f t="shared" si="2"/>
        <v>0</v>
      </c>
      <c r="H44" s="18" t="str">
        <f t="shared" si="3"/>
        <v/>
      </c>
    </row>
    <row r="45" spans="1:17" x14ac:dyDescent="0.25">
      <c r="A45" t="s">
        <v>51</v>
      </c>
      <c r="B45" s="6">
        <f>Froto!J39*'Yatay Analiz'!$D$2</f>
        <v>0</v>
      </c>
      <c r="C45" s="6">
        <f>Froto!F39*'Yatay Analiz'!$D$3</f>
        <v>0</v>
      </c>
      <c r="D45" s="6">
        <f>Froto!B39</f>
        <v>0</v>
      </c>
      <c r="E45" s="6">
        <f t="shared" si="0"/>
        <v>0</v>
      </c>
      <c r="F45" s="18" t="str">
        <f t="shared" si="1"/>
        <v/>
      </c>
      <c r="G45" s="6">
        <f t="shared" si="2"/>
        <v>0</v>
      </c>
      <c r="H45" s="18" t="str">
        <f t="shared" si="3"/>
        <v/>
      </c>
    </row>
    <row r="46" spans="1:17" x14ac:dyDescent="0.25">
      <c r="A46" t="s">
        <v>52</v>
      </c>
      <c r="B46" s="6">
        <f>Froto!J40*'Yatay Analiz'!$D$2</f>
        <v>153071522.39252469</v>
      </c>
      <c r="C46" s="6">
        <f>Froto!F40*'Yatay Analiz'!$D$3</f>
        <v>127983985.0330154</v>
      </c>
      <c r="D46" s="6">
        <f>Froto!B40</f>
        <v>151546000</v>
      </c>
      <c r="E46" s="6">
        <f t="shared" si="0"/>
        <v>-25087537.359509289</v>
      </c>
      <c r="F46" s="18">
        <f t="shared" si="1"/>
        <v>-0.16389421733963527</v>
      </c>
      <c r="G46" s="6">
        <f t="shared" si="2"/>
        <v>-1525522.3925246894</v>
      </c>
      <c r="H46" s="18">
        <f t="shared" si="3"/>
        <v>-9.9660757839251032E-3</v>
      </c>
    </row>
    <row r="47" spans="1:17" x14ac:dyDescent="0.25">
      <c r="A47" t="s">
        <v>53</v>
      </c>
      <c r="B47" s="6">
        <f>Froto!J41*'Yatay Analiz'!$D$2</f>
        <v>62427942.492125228</v>
      </c>
      <c r="C47" s="6">
        <f>Froto!F41*'Yatay Analiz'!$D$3</f>
        <v>25911171.386647101</v>
      </c>
      <c r="D47" s="6">
        <f>Froto!B41</f>
        <v>0</v>
      </c>
      <c r="E47" s="6">
        <f t="shared" si="0"/>
        <v>-36516771.105478123</v>
      </c>
      <c r="F47" s="18">
        <f t="shared" si="1"/>
        <v>-0.58494272993354557</v>
      </c>
      <c r="G47" s="6">
        <f t="shared" si="2"/>
        <v>-62427942.492125228</v>
      </c>
      <c r="H47" s="18">
        <f t="shared" si="3"/>
        <v>-1</v>
      </c>
    </row>
    <row r="48" spans="1:17" x14ac:dyDescent="0.25">
      <c r="A48" t="s">
        <v>54</v>
      </c>
      <c r="B48" s="6">
        <f>Froto!J42*'Yatay Analiz'!$D$2</f>
        <v>971862075.3339082</v>
      </c>
      <c r="C48" s="6">
        <f>Froto!F42*'Yatay Analiz'!$D$3</f>
        <v>771425298.69405723</v>
      </c>
      <c r="D48" s="6">
        <f>Froto!B42</f>
        <v>575911000</v>
      </c>
      <c r="E48" s="6">
        <f t="shared" si="0"/>
        <v>-200436776.63985097</v>
      </c>
      <c r="F48" s="18">
        <f t="shared" si="1"/>
        <v>-0.20623994055019151</v>
      </c>
      <c r="G48" s="6">
        <f t="shared" si="2"/>
        <v>-395951075.3339082</v>
      </c>
      <c r="H48" s="18">
        <f t="shared" si="3"/>
        <v>-0.40741488466649861</v>
      </c>
    </row>
    <row r="49" spans="1:8" x14ac:dyDescent="0.25">
      <c r="A49" t="s">
        <v>55</v>
      </c>
      <c r="B49" s="6">
        <f>Froto!J43*'Yatay Analiz'!$D$2</f>
        <v>1031729163.3026555</v>
      </c>
      <c r="C49" s="6">
        <f>Froto!F43*'Yatay Analiz'!$D$3</f>
        <v>829552923.84446073</v>
      </c>
      <c r="D49" s="6">
        <f>Froto!B43</f>
        <v>1378319000</v>
      </c>
      <c r="E49" s="6">
        <f t="shared" si="0"/>
        <v>-202176239.45819473</v>
      </c>
      <c r="F49" s="18">
        <f t="shared" si="1"/>
        <v>-0.19595863589918391</v>
      </c>
      <c r="G49" s="6">
        <f t="shared" si="2"/>
        <v>346589836.69734454</v>
      </c>
      <c r="H49" s="18">
        <f t="shared" si="3"/>
        <v>0.33593102630527583</v>
      </c>
    </row>
    <row r="50" spans="1:8" x14ac:dyDescent="0.25">
      <c r="A50" t="s">
        <v>31</v>
      </c>
      <c r="B50" s="6">
        <f>Froto!J44*'Yatay Analiz'!$D$2</f>
        <v>44390922887.694229</v>
      </c>
      <c r="C50" s="6">
        <f>Froto!F44*'Yatay Analiz'!$D$3</f>
        <v>41090400226.324287</v>
      </c>
      <c r="D50" s="6">
        <f>Froto!B44</f>
        <v>46205980000</v>
      </c>
      <c r="E50" s="6">
        <f t="shared" si="0"/>
        <v>-3300522661.3699417</v>
      </c>
      <c r="F50" s="18">
        <f t="shared" si="1"/>
        <v>-7.4351296316141513E-2</v>
      </c>
      <c r="G50" s="6">
        <f t="shared" si="2"/>
        <v>1815057112.3057709</v>
      </c>
      <c r="H50" s="18">
        <f t="shared" si="3"/>
        <v>4.0888023817340587E-2</v>
      </c>
    </row>
    <row r="51" spans="1:8" x14ac:dyDescent="0.25">
      <c r="A51" t="s">
        <v>56</v>
      </c>
      <c r="B51" s="6">
        <f>Froto!J45*'Yatay Analiz'!$D$2</f>
        <v>0</v>
      </c>
      <c r="C51" s="6">
        <f>Froto!F45*'Yatay Analiz'!$D$3</f>
        <v>0</v>
      </c>
      <c r="D51" s="6">
        <f>Froto!B45</f>
        <v>0</v>
      </c>
      <c r="E51" s="6">
        <f t="shared" si="0"/>
        <v>0</v>
      </c>
      <c r="F51" s="18" t="str">
        <f t="shared" si="1"/>
        <v/>
      </c>
      <c r="G51" s="6">
        <f t="shared" si="2"/>
        <v>0</v>
      </c>
      <c r="H51" s="18" t="str">
        <f t="shared" si="3"/>
        <v/>
      </c>
    </row>
    <row r="52" spans="1:8" x14ac:dyDescent="0.25">
      <c r="A52" s="2" t="s">
        <v>57</v>
      </c>
      <c r="B52" s="7">
        <f>Froto!J46*'Yatay Analiz'!$D$2</f>
        <v>17159489450.859627</v>
      </c>
      <c r="C52" s="7">
        <f>Froto!F46*'Yatay Analiz'!$D$3</f>
        <v>23453853170.44754</v>
      </c>
      <c r="D52" s="7">
        <f>Froto!B46</f>
        <v>28444093000</v>
      </c>
      <c r="E52" s="7">
        <f t="shared" si="0"/>
        <v>6294363719.5879135</v>
      </c>
      <c r="F52" s="19">
        <f t="shared" si="1"/>
        <v>0.36681532615602319</v>
      </c>
      <c r="G52" s="7">
        <f t="shared" si="2"/>
        <v>11284603549.140373</v>
      </c>
      <c r="H52" s="19">
        <f t="shared" si="3"/>
        <v>0.65763049544431851</v>
      </c>
    </row>
    <row r="53" spans="1:8" x14ac:dyDescent="0.25">
      <c r="A53" t="s">
        <v>45</v>
      </c>
      <c r="B53" s="6">
        <f>Froto!J47*'Yatay Analiz'!$D$2</f>
        <v>14753342551.375227</v>
      </c>
      <c r="C53" s="6">
        <f>Froto!F47*'Yatay Analiz'!$D$3</f>
        <v>21352363254.115921</v>
      </c>
      <c r="D53" s="6">
        <f>Froto!B47</f>
        <v>24699772000</v>
      </c>
      <c r="E53" s="6">
        <f t="shared" si="0"/>
        <v>6599020702.740694</v>
      </c>
      <c r="F53" s="18">
        <f t="shared" si="1"/>
        <v>0.44728987209244786</v>
      </c>
      <c r="G53" s="6">
        <f t="shared" si="2"/>
        <v>9946429448.624773</v>
      </c>
      <c r="H53" s="18">
        <f t="shared" si="3"/>
        <v>0.6741814211924213</v>
      </c>
    </row>
    <row r="54" spans="1:8" x14ac:dyDescent="0.25">
      <c r="A54" t="s">
        <v>46</v>
      </c>
      <c r="B54" s="6">
        <f>Froto!J48*'Yatay Analiz'!$D$2</f>
        <v>0</v>
      </c>
      <c r="C54" s="6">
        <f>Froto!F48*'Yatay Analiz'!$D$3</f>
        <v>0</v>
      </c>
      <c r="D54" s="6">
        <f>Froto!B48</f>
        <v>0</v>
      </c>
      <c r="E54" s="6">
        <f t="shared" si="0"/>
        <v>0</v>
      </c>
      <c r="F54" s="18" t="str">
        <f t="shared" si="1"/>
        <v/>
      </c>
      <c r="G54" s="6">
        <f t="shared" si="2"/>
        <v>0</v>
      </c>
      <c r="H54" s="18" t="str">
        <f t="shared" si="3"/>
        <v/>
      </c>
    </row>
    <row r="55" spans="1:8" x14ac:dyDescent="0.25">
      <c r="A55" t="s">
        <v>47</v>
      </c>
      <c r="B55" s="6">
        <f>Froto!J49*'Yatay Analiz'!$D$2</f>
        <v>0</v>
      </c>
      <c r="C55" s="6">
        <f>Froto!F49*'Yatay Analiz'!$D$3</f>
        <v>0</v>
      </c>
      <c r="D55" s="6">
        <f>Froto!B49</f>
        <v>0</v>
      </c>
      <c r="E55" s="6">
        <f t="shared" si="0"/>
        <v>0</v>
      </c>
      <c r="F55" s="18" t="str">
        <f t="shared" si="1"/>
        <v/>
      </c>
      <c r="G55" s="6">
        <f t="shared" si="2"/>
        <v>0</v>
      </c>
      <c r="H55" s="18" t="str">
        <f t="shared" si="3"/>
        <v/>
      </c>
    </row>
    <row r="56" spans="1:8" x14ac:dyDescent="0.25">
      <c r="A56" t="s">
        <v>48</v>
      </c>
      <c r="B56" s="6">
        <f>Froto!J50*'Yatay Analiz'!$D$2</f>
        <v>0</v>
      </c>
      <c r="C56" s="6">
        <f>Froto!F50*'Yatay Analiz'!$D$3</f>
        <v>0</v>
      </c>
      <c r="D56" s="6">
        <f>Froto!B50</f>
        <v>0</v>
      </c>
      <c r="E56" s="6">
        <f t="shared" si="0"/>
        <v>0</v>
      </c>
      <c r="F56" s="18" t="str">
        <f t="shared" si="1"/>
        <v/>
      </c>
      <c r="G56" s="6">
        <f t="shared" si="2"/>
        <v>0</v>
      </c>
      <c r="H56" s="18" t="str">
        <f t="shared" si="3"/>
        <v/>
      </c>
    </row>
    <row r="57" spans="1:8" x14ac:dyDescent="0.25">
      <c r="A57" t="s">
        <v>58</v>
      </c>
      <c r="B57" s="6">
        <f>Froto!J51*'Yatay Analiz'!$D$2</f>
        <v>0</v>
      </c>
      <c r="C57" s="6">
        <f>Froto!F51*'Yatay Analiz'!$D$3</f>
        <v>0</v>
      </c>
      <c r="D57" s="6">
        <f>Froto!B51</f>
        <v>0</v>
      </c>
      <c r="E57" s="6">
        <f t="shared" si="0"/>
        <v>0</v>
      </c>
      <c r="F57" s="18" t="str">
        <f t="shared" si="1"/>
        <v/>
      </c>
      <c r="G57" s="6">
        <f t="shared" si="2"/>
        <v>0</v>
      </c>
      <c r="H57" s="18" t="str">
        <f t="shared" si="3"/>
        <v/>
      </c>
    </row>
    <row r="58" spans="1:8" x14ac:dyDescent="0.25">
      <c r="A58" t="s">
        <v>50</v>
      </c>
      <c r="B58" s="6">
        <f>Froto!J52*'Yatay Analiz'!$D$2</f>
        <v>0</v>
      </c>
      <c r="C58" s="6">
        <f>Froto!F52*'Yatay Analiz'!$D$3</f>
        <v>0</v>
      </c>
      <c r="D58" s="6">
        <f>Froto!B52</f>
        <v>0</v>
      </c>
      <c r="E58" s="6">
        <f t="shared" si="0"/>
        <v>0</v>
      </c>
      <c r="F58" s="18" t="str">
        <f t="shared" si="1"/>
        <v/>
      </c>
      <c r="G58" s="6">
        <f t="shared" si="2"/>
        <v>0</v>
      </c>
      <c r="H58" s="18" t="str">
        <f t="shared" si="3"/>
        <v/>
      </c>
    </row>
    <row r="59" spans="1:8" x14ac:dyDescent="0.25">
      <c r="A59" t="s">
        <v>51</v>
      </c>
      <c r="B59" s="6">
        <f>Froto!J53*'Yatay Analiz'!$D$2</f>
        <v>0</v>
      </c>
      <c r="C59" s="6">
        <f>Froto!F53*'Yatay Analiz'!$D$3</f>
        <v>0</v>
      </c>
      <c r="D59" s="6">
        <f>Froto!B53</f>
        <v>0</v>
      </c>
      <c r="E59" s="6">
        <f t="shared" si="0"/>
        <v>0</v>
      </c>
      <c r="F59" s="18" t="str">
        <f t="shared" si="1"/>
        <v/>
      </c>
      <c r="G59" s="6">
        <f t="shared" si="2"/>
        <v>0</v>
      </c>
      <c r="H59" s="18" t="str">
        <f t="shared" si="3"/>
        <v/>
      </c>
    </row>
    <row r="60" spans="1:8" x14ac:dyDescent="0.25">
      <c r="A60" t="s">
        <v>59</v>
      </c>
      <c r="B60" s="6">
        <f>Froto!J54*'Yatay Analiz'!$D$2</f>
        <v>78390602.354514584</v>
      </c>
      <c r="C60" s="6">
        <f>Froto!F54*'Yatay Analiz'!$D$3</f>
        <v>124925260.7190022</v>
      </c>
      <c r="D60" s="6">
        <f>Froto!B54</f>
        <v>493991000</v>
      </c>
      <c r="E60" s="6">
        <f t="shared" si="0"/>
        <v>46534658.364487618</v>
      </c>
      <c r="F60" s="18">
        <f t="shared" si="1"/>
        <v>0.59362547252843822</v>
      </c>
      <c r="G60" s="6">
        <f t="shared" si="2"/>
        <v>415600397.6454854</v>
      </c>
      <c r="H60" s="18">
        <f t="shared" si="3"/>
        <v>5.3016609792838336</v>
      </c>
    </row>
    <row r="61" spans="1:8" x14ac:dyDescent="0.25">
      <c r="A61" t="s">
        <v>60</v>
      </c>
      <c r="B61" s="6">
        <f>Froto!J55*'Yatay Analiz'!$D$2</f>
        <v>2256792172.893167</v>
      </c>
      <c r="C61" s="6">
        <f>Froto!F55*'Yatay Analiz'!$D$3</f>
        <v>1946580457.6669111</v>
      </c>
      <c r="D61" s="6">
        <f>Froto!B55</f>
        <v>2677072000</v>
      </c>
      <c r="E61" s="6">
        <f t="shared" si="0"/>
        <v>-310211715.22625589</v>
      </c>
      <c r="F61" s="18">
        <f t="shared" si="1"/>
        <v>-0.13745692623019426</v>
      </c>
      <c r="G61" s="6">
        <f t="shared" si="2"/>
        <v>420279827.10683298</v>
      </c>
      <c r="H61" s="18">
        <f t="shared" si="3"/>
        <v>0.18622885711626774</v>
      </c>
    </row>
    <row r="62" spans="1:8" x14ac:dyDescent="0.25">
      <c r="A62" t="s">
        <v>61</v>
      </c>
      <c r="B62" s="6">
        <f>Froto!J56*'Yatay Analiz'!$D$2</f>
        <v>0</v>
      </c>
      <c r="C62" s="6">
        <f>Froto!F56*'Yatay Analiz'!$D$3</f>
        <v>0</v>
      </c>
      <c r="D62" s="6">
        <f>Froto!B56</f>
        <v>0</v>
      </c>
      <c r="E62" s="6">
        <f t="shared" si="0"/>
        <v>0</v>
      </c>
      <c r="F62" s="18" t="str">
        <f t="shared" si="1"/>
        <v/>
      </c>
      <c r="G62" s="6">
        <f t="shared" si="2"/>
        <v>0</v>
      </c>
      <c r="H62" s="18" t="str">
        <f t="shared" si="3"/>
        <v/>
      </c>
    </row>
    <row r="63" spans="1:8" x14ac:dyDescent="0.25">
      <c r="A63" t="s">
        <v>62</v>
      </c>
      <c r="B63" s="6">
        <f>Froto!J57*'Yatay Analiz'!$D$2</f>
        <v>0</v>
      </c>
      <c r="C63" s="6">
        <f>Froto!F57*'Yatay Analiz'!$D$3</f>
        <v>0</v>
      </c>
      <c r="D63" s="6">
        <f>Froto!B57</f>
        <v>567819000</v>
      </c>
      <c r="E63" s="6">
        <f t="shared" si="0"/>
        <v>0</v>
      </c>
      <c r="F63" s="18" t="str">
        <f t="shared" si="1"/>
        <v/>
      </c>
      <c r="G63" s="6">
        <f t="shared" si="2"/>
        <v>567819000</v>
      </c>
      <c r="H63" s="18" t="str">
        <f t="shared" si="3"/>
        <v/>
      </c>
    </row>
    <row r="64" spans="1:8" x14ac:dyDescent="0.25">
      <c r="A64" t="s">
        <v>63</v>
      </c>
      <c r="B64" s="6">
        <f>Froto!J58*'Yatay Analiz'!$D$2</f>
        <v>70964124.236718461</v>
      </c>
      <c r="C64" s="6">
        <f>Froto!F58*'Yatay Analiz'!$D$3</f>
        <v>29984197.945707995</v>
      </c>
      <c r="D64" s="6">
        <f>Froto!B58</f>
        <v>5439000</v>
      </c>
      <c r="E64" s="6">
        <f t="shared" si="0"/>
        <v>-40979926.291010469</v>
      </c>
      <c r="F64" s="18">
        <f t="shared" si="1"/>
        <v>-0.57747385360963166</v>
      </c>
      <c r="G64" s="6">
        <f t="shared" si="2"/>
        <v>-65525124.236718461</v>
      </c>
      <c r="H64" s="18">
        <f t="shared" si="3"/>
        <v>-0.92335563838064338</v>
      </c>
    </row>
    <row r="65" spans="1:8" x14ac:dyDescent="0.25">
      <c r="A65" s="2" t="s">
        <v>64</v>
      </c>
      <c r="B65" s="7">
        <f>Froto!J59*'Yatay Analiz'!$D$2</f>
        <v>25053344859.626587</v>
      </c>
      <c r="C65" s="7">
        <f>Froto!F59*'Yatay Analiz'!$D$3</f>
        <v>20065662528.950844</v>
      </c>
      <c r="D65" s="7">
        <f>Froto!B59</f>
        <v>21402174000</v>
      </c>
      <c r="E65" s="7">
        <f t="shared" si="0"/>
        <v>-4987682330.6757431</v>
      </c>
      <c r="F65" s="19">
        <f t="shared" si="1"/>
        <v>-0.19908249212317286</v>
      </c>
      <c r="G65" s="7">
        <f t="shared" si="2"/>
        <v>-3651170859.6265869</v>
      </c>
      <c r="H65" s="19">
        <f t="shared" si="3"/>
        <v>-0.14573586401672223</v>
      </c>
    </row>
    <row r="66" spans="1:8" x14ac:dyDescent="0.25">
      <c r="A66" t="s">
        <v>65</v>
      </c>
      <c r="B66" s="6">
        <f>Froto!J60*'Yatay Analiz'!$D$2</f>
        <v>25053344859.626587</v>
      </c>
      <c r="C66" s="6">
        <f>Froto!F60*'Yatay Analiz'!$D$3</f>
        <v>20065662528.950844</v>
      </c>
      <c r="D66" s="6">
        <f>Froto!B60</f>
        <v>21402174000</v>
      </c>
      <c r="E66" s="6">
        <f t="shared" si="0"/>
        <v>-4987682330.6757431</v>
      </c>
      <c r="F66" s="18">
        <f t="shared" si="1"/>
        <v>-0.19908249212317286</v>
      </c>
      <c r="G66" s="6">
        <f t="shared" si="2"/>
        <v>-3651170859.6265869</v>
      </c>
      <c r="H66" s="18">
        <f t="shared" si="3"/>
        <v>-0.14573586401672223</v>
      </c>
    </row>
    <row r="67" spans="1:8" x14ac:dyDescent="0.25">
      <c r="A67" t="s">
        <v>66</v>
      </c>
      <c r="B67" s="6">
        <f>Froto!J61*'Yatay Analiz'!$D$2</f>
        <v>1248096473.3313391</v>
      </c>
      <c r="C67" s="6">
        <f>Froto!F61*'Yatay Analiz'!$D$3</f>
        <v>693818325.16507697</v>
      </c>
      <c r="D67" s="6">
        <f>Froto!B61</f>
        <v>350910000</v>
      </c>
      <c r="E67" s="6">
        <f t="shared" si="0"/>
        <v>-554278148.16626215</v>
      </c>
      <c r="F67" s="18">
        <f t="shared" si="1"/>
        <v>-0.44409880166299842</v>
      </c>
      <c r="G67" s="6">
        <f t="shared" si="2"/>
        <v>-897186473.33133912</v>
      </c>
      <c r="H67" s="18">
        <f t="shared" si="3"/>
        <v>-0.71884384941544344</v>
      </c>
    </row>
    <row r="68" spans="1:8" x14ac:dyDescent="0.25">
      <c r="A68" t="s">
        <v>67</v>
      </c>
      <c r="B68" s="6">
        <f>Froto!J62*'Yatay Analiz'!$D$2</f>
        <v>0</v>
      </c>
      <c r="C68" s="6">
        <f>Froto!F62*'Yatay Analiz'!$D$3</f>
        <v>0</v>
      </c>
      <c r="D68" s="6">
        <f>Froto!B62</f>
        <v>0</v>
      </c>
      <c r="E68" s="6">
        <f t="shared" si="0"/>
        <v>0</v>
      </c>
      <c r="F68" s="18" t="str">
        <f t="shared" si="1"/>
        <v/>
      </c>
      <c r="G68" s="6">
        <f t="shared" si="2"/>
        <v>0</v>
      </c>
      <c r="H68" s="18" t="str">
        <f t="shared" si="3"/>
        <v/>
      </c>
    </row>
    <row r="69" spans="1:8" x14ac:dyDescent="0.25">
      <c r="A69" t="s">
        <v>68</v>
      </c>
      <c r="B69" s="6">
        <f>Froto!J63*'Yatay Analiz'!$D$2</f>
        <v>28453.939148644131</v>
      </c>
      <c r="C69" s="6">
        <f>Froto!F63*'Yatay Analiz'!$D$3</f>
        <v>15817.578870139398</v>
      </c>
      <c r="D69" s="6">
        <f>Froto!B63</f>
        <v>8000</v>
      </c>
      <c r="E69" s="6">
        <f t="shared" si="0"/>
        <v>-12636.360278504733</v>
      </c>
      <c r="F69" s="18">
        <f t="shared" si="1"/>
        <v>-0.44409880166299831</v>
      </c>
      <c r="G69" s="6">
        <f t="shared" si="2"/>
        <v>-20453.939148644131</v>
      </c>
      <c r="H69" s="18">
        <f t="shared" si="3"/>
        <v>-0.71884384941544344</v>
      </c>
    </row>
    <row r="70" spans="1:8" x14ac:dyDescent="0.25">
      <c r="A70" t="s">
        <v>69</v>
      </c>
      <c r="B70" s="6">
        <f>Froto!J64*'Yatay Analiz'!$D$2</f>
        <v>0</v>
      </c>
      <c r="C70" s="6">
        <f>Froto!F64*'Yatay Analiz'!$D$3</f>
        <v>0</v>
      </c>
      <c r="D70" s="6">
        <f>Froto!B64</f>
        <v>0</v>
      </c>
      <c r="E70" s="6">
        <f t="shared" si="0"/>
        <v>0</v>
      </c>
      <c r="F70" s="18" t="str">
        <f t="shared" si="1"/>
        <v/>
      </c>
      <c r="G70" s="6">
        <f t="shared" si="2"/>
        <v>0</v>
      </c>
      <c r="H70" s="18" t="str">
        <f t="shared" si="3"/>
        <v/>
      </c>
    </row>
    <row r="71" spans="1:8" x14ac:dyDescent="0.25">
      <c r="A71" t="s">
        <v>70</v>
      </c>
      <c r="B71" s="6">
        <f>Froto!J65*'Yatay Analiz'!$D$2</f>
        <v>0</v>
      </c>
      <c r="C71" s="6">
        <f>Froto!F65*'Yatay Analiz'!$D$3</f>
        <v>0</v>
      </c>
      <c r="D71" s="6">
        <f>Froto!B65</f>
        <v>1674943000</v>
      </c>
      <c r="E71" s="6">
        <f t="shared" si="0"/>
        <v>0</v>
      </c>
      <c r="F71" s="18" t="str">
        <f t="shared" si="1"/>
        <v/>
      </c>
      <c r="G71" s="6">
        <f t="shared" si="2"/>
        <v>1674943000</v>
      </c>
      <c r="H71" s="18" t="str">
        <f t="shared" si="3"/>
        <v/>
      </c>
    </row>
    <row r="72" spans="1:8" x14ac:dyDescent="0.25">
      <c r="A72" t="s">
        <v>71</v>
      </c>
      <c r="B72" s="6">
        <f>Froto!J66*'Yatay Analiz'!$D$2</f>
        <v>1460017855.368047</v>
      </c>
      <c r="C72" s="6">
        <f>Froto!F66*'Yatay Analiz'!$D$3</f>
        <v>1515157971.1812179</v>
      </c>
      <c r="D72" s="6">
        <f>Froto!B66</f>
        <v>1420763000</v>
      </c>
      <c r="E72" s="6">
        <f t="shared" si="0"/>
        <v>55140115.81317091</v>
      </c>
      <c r="F72" s="18">
        <f t="shared" si="1"/>
        <v>3.7766740735695303E-2</v>
      </c>
      <c r="G72" s="6">
        <f t="shared" si="2"/>
        <v>-39254855.368046999</v>
      </c>
      <c r="H72" s="18">
        <f t="shared" si="3"/>
        <v>-2.6886558423733442E-2</v>
      </c>
    </row>
    <row r="73" spans="1:8" x14ac:dyDescent="0.25">
      <c r="A73" t="s">
        <v>72</v>
      </c>
      <c r="B73" s="6">
        <f>Froto!J67*'Yatay Analiz'!$D$2</f>
        <v>12334530092.227287</v>
      </c>
      <c r="C73" s="6">
        <f>Froto!F67*'Yatay Analiz'!$D$3</f>
        <v>6866501938.6060162</v>
      </c>
      <c r="D73" s="6">
        <f>Froto!B67</f>
        <v>5057387000</v>
      </c>
      <c r="E73" s="6">
        <f t="shared" ref="E73:E79" si="8">C73-B73</f>
        <v>-5468028153.6212711</v>
      </c>
      <c r="F73" s="18">
        <f t="shared" ref="F73:F79" si="9">IFERROR(E73/B73,"")</f>
        <v>-0.44331061765109292</v>
      </c>
      <c r="G73" s="6">
        <f t="shared" ref="G73:G79" si="10">D73-B73</f>
        <v>-7277143092.2272873</v>
      </c>
      <c r="H73" s="18">
        <f t="shared" ref="H73:H79" si="11">IFERROR(G73/B73,"")</f>
        <v>-0.58998138054833904</v>
      </c>
    </row>
    <row r="74" spans="1:8" x14ac:dyDescent="0.25">
      <c r="A74" t="s">
        <v>73</v>
      </c>
      <c r="B74" s="6">
        <f>Froto!J68*'Yatay Analiz'!$D$2</f>
        <v>14920224904.482025</v>
      </c>
      <c r="C74" s="6">
        <f>Froto!F68*'Yatay Analiz'!$D$3</f>
        <v>17401323840.498898</v>
      </c>
      <c r="D74" s="6">
        <f>Froto!B68</f>
        <v>18613943000</v>
      </c>
      <c r="E74" s="6">
        <f t="shared" si="8"/>
        <v>2481098936.0168724</v>
      </c>
      <c r="F74" s="18">
        <f t="shared" si="9"/>
        <v>0.16629098769627473</v>
      </c>
      <c r="G74" s="6">
        <f t="shared" si="10"/>
        <v>3693718095.5179749</v>
      </c>
      <c r="H74" s="18">
        <f t="shared" si="11"/>
        <v>0.24756450517099005</v>
      </c>
    </row>
    <row r="75" spans="1:8" x14ac:dyDescent="0.25">
      <c r="A75" t="s">
        <v>74</v>
      </c>
      <c r="B75" s="6">
        <f>Froto!J69*'Yatay Analiz'!$D$2</f>
        <v>-4909552919.7212591</v>
      </c>
      <c r="C75" s="6">
        <f>Froto!F69*'Yatay Analiz'!$D$3</f>
        <v>-6411155364.079237</v>
      </c>
      <c r="D75" s="6">
        <f>Froto!B69</f>
        <v>-5715780000</v>
      </c>
      <c r="E75" s="6">
        <f t="shared" si="8"/>
        <v>-1501602444.3579779</v>
      </c>
      <c r="F75" s="18">
        <f t="shared" si="9"/>
        <v>0.30585319455997056</v>
      </c>
      <c r="G75" s="6">
        <f t="shared" si="10"/>
        <v>-806227080.27874088</v>
      </c>
      <c r="H75" s="18">
        <f t="shared" si="11"/>
        <v>0.16421598737436863</v>
      </c>
    </row>
    <row r="76" spans="1:8" x14ac:dyDescent="0.25">
      <c r="A76" t="s">
        <v>75</v>
      </c>
      <c r="B76" s="6">
        <f>Froto!J70*'Yatay Analiz'!$D$2</f>
        <v>0</v>
      </c>
      <c r="C76" s="6">
        <f>Froto!F70*'Yatay Analiz'!$D$3</f>
        <v>0</v>
      </c>
      <c r="D76" s="6">
        <f>Froto!B70</f>
        <v>0</v>
      </c>
      <c r="E76" s="6">
        <f t="shared" si="8"/>
        <v>0</v>
      </c>
      <c r="F76" s="18" t="str">
        <f t="shared" si="9"/>
        <v/>
      </c>
      <c r="G76" s="6">
        <f t="shared" si="10"/>
        <v>0</v>
      </c>
      <c r="H76" s="18" t="str">
        <f t="shared" si="11"/>
        <v/>
      </c>
    </row>
    <row r="77" spans="1:8" x14ac:dyDescent="0.25">
      <c r="A77" s="2" t="s">
        <v>76</v>
      </c>
      <c r="B77" s="7">
        <f>Froto!J71*'Yatay Analiz'!$D$2</f>
        <v>86603757198.18045</v>
      </c>
      <c r="C77" s="7">
        <f>Froto!F71*'Yatay Analiz'!$D$3</f>
        <v>84609915925.722672</v>
      </c>
      <c r="D77" s="7">
        <f>Froto!B71</f>
        <v>96052247000</v>
      </c>
      <c r="E77" s="7">
        <f t="shared" si="8"/>
        <v>-1993841272.4577789</v>
      </c>
      <c r="F77" s="19">
        <f t="shared" si="9"/>
        <v>-2.3022572425987882E-2</v>
      </c>
      <c r="G77" s="7">
        <f t="shared" si="10"/>
        <v>9448489801.8195496</v>
      </c>
      <c r="H77" s="19">
        <f t="shared" si="11"/>
        <v>0.10910022968400801</v>
      </c>
    </row>
    <row r="79" spans="1:8" x14ac:dyDescent="0.25">
      <c r="A79" s="2" t="s">
        <v>171</v>
      </c>
      <c r="B79" s="7">
        <f>B52+B65</f>
        <v>42212834310.486214</v>
      </c>
      <c r="C79" s="7">
        <f t="shared" ref="C79:D79" si="12">C52+C65</f>
        <v>43519515699.398384</v>
      </c>
      <c r="D79" s="7">
        <f t="shared" si="12"/>
        <v>49846267000</v>
      </c>
      <c r="E79" s="7">
        <f t="shared" si="8"/>
        <v>1306681388.9121704</v>
      </c>
      <c r="F79" s="19">
        <f t="shared" si="9"/>
        <v>3.0954599714892252E-2</v>
      </c>
      <c r="G79" s="7">
        <f t="shared" si="10"/>
        <v>7633432689.5137863</v>
      </c>
      <c r="H79" s="19">
        <f t="shared" si="11"/>
        <v>0.18083203400577022</v>
      </c>
    </row>
  </sheetData>
  <mergeCells count="2">
    <mergeCell ref="B6:H6"/>
    <mergeCell ref="K6:Q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E099A-B776-4ABF-AD4C-A45C711591A4}">
  <dimension ref="A1:W83"/>
  <sheetViews>
    <sheetView topLeftCell="K1" workbookViewId="0">
      <selection activeCell="N13" sqref="N13"/>
    </sheetView>
  </sheetViews>
  <sheetFormatPr defaultRowHeight="15" x14ac:dyDescent="0.25"/>
  <cols>
    <col min="1" max="1" width="39.28515625" customWidth="1"/>
    <col min="2" max="3" width="13.85546875" bestFit="1" customWidth="1"/>
    <col min="4" max="4" width="16.140625" bestFit="1" customWidth="1"/>
    <col min="5" max="6" width="13.85546875" bestFit="1" customWidth="1"/>
    <col min="13" max="13" width="48.42578125" customWidth="1"/>
    <col min="14" max="18" width="15.5703125" bestFit="1" customWidth="1"/>
  </cols>
  <sheetData>
    <row r="1" spans="1:23" x14ac:dyDescent="0.25">
      <c r="B1" s="23" t="s">
        <v>163</v>
      </c>
      <c r="D1" s="3" t="s">
        <v>174</v>
      </c>
    </row>
    <row r="2" spans="1:23" x14ac:dyDescent="0.25">
      <c r="A2" s="3">
        <v>2018</v>
      </c>
      <c r="B2" s="4">
        <v>422.94</v>
      </c>
      <c r="C2" s="3" t="s">
        <v>173</v>
      </c>
      <c r="D2" s="15">
        <f>$B$6/B2</f>
        <v>4.7789048091927935</v>
      </c>
    </row>
    <row r="3" spans="1:23" x14ac:dyDescent="0.25">
      <c r="A3" s="3">
        <v>2019</v>
      </c>
      <c r="B3" s="4">
        <v>454.08</v>
      </c>
      <c r="C3" s="3" t="s">
        <v>172</v>
      </c>
      <c r="D3" s="15">
        <f t="shared" ref="D3:D5" si="0">$B$6/B3</f>
        <v>4.4511760042283299</v>
      </c>
    </row>
    <row r="4" spans="1:23" x14ac:dyDescent="0.25">
      <c r="A4" s="3">
        <v>2020</v>
      </c>
      <c r="B4" s="4">
        <v>568.27</v>
      </c>
      <c r="C4" s="3" t="s">
        <v>165</v>
      </c>
      <c r="D4" s="15">
        <f t="shared" si="0"/>
        <v>3.5567423935805165</v>
      </c>
    </row>
    <row r="5" spans="1:23" x14ac:dyDescent="0.25">
      <c r="A5" s="3">
        <v>2021</v>
      </c>
      <c r="B5" s="4">
        <v>1022.25</v>
      </c>
      <c r="C5" s="3" t="s">
        <v>166</v>
      </c>
      <c r="D5" s="15">
        <f t="shared" si="0"/>
        <v>1.9771973587674248</v>
      </c>
    </row>
    <row r="6" spans="1:23" x14ac:dyDescent="0.25">
      <c r="A6" s="3">
        <v>2022</v>
      </c>
      <c r="B6" s="4">
        <v>2021.19</v>
      </c>
    </row>
    <row r="7" spans="1:23" x14ac:dyDescent="0.25">
      <c r="A7" s="2"/>
    </row>
    <row r="8" spans="1:23" x14ac:dyDescent="0.25">
      <c r="B8" s="49" t="s">
        <v>175</v>
      </c>
      <c r="C8" s="49"/>
      <c r="D8" s="49"/>
      <c r="E8" s="49"/>
      <c r="F8" s="49"/>
      <c r="G8" s="49"/>
      <c r="H8" s="49"/>
      <c r="I8" s="49"/>
      <c r="J8" s="49"/>
      <c r="K8" s="49"/>
      <c r="N8" s="49" t="s">
        <v>175</v>
      </c>
      <c r="O8" s="49"/>
      <c r="P8" s="49"/>
      <c r="Q8" s="49"/>
      <c r="R8" s="49"/>
      <c r="S8" s="49"/>
      <c r="T8" s="49"/>
      <c r="U8" s="49"/>
      <c r="V8" s="49"/>
      <c r="W8" s="49"/>
    </row>
    <row r="9" spans="1:23" x14ac:dyDescent="0.25">
      <c r="B9" s="49" t="s">
        <v>155</v>
      </c>
      <c r="C9" s="49"/>
      <c r="D9" s="49"/>
      <c r="E9" s="49"/>
      <c r="F9" s="49"/>
      <c r="G9" s="49" t="s">
        <v>176</v>
      </c>
      <c r="H9" s="49"/>
      <c r="I9" s="49"/>
      <c r="J9" s="49"/>
      <c r="K9" s="49"/>
      <c r="N9" s="49" t="s">
        <v>155</v>
      </c>
      <c r="O9" s="49"/>
      <c r="P9" s="49"/>
      <c r="Q9" s="49"/>
      <c r="R9" s="49"/>
      <c r="S9" s="49" t="s">
        <v>176</v>
      </c>
      <c r="T9" s="49"/>
      <c r="U9" s="49"/>
      <c r="V9" s="49"/>
      <c r="W9" s="49"/>
    </row>
    <row r="10" spans="1:23" x14ac:dyDescent="0.25">
      <c r="A10" s="24" t="s">
        <v>0</v>
      </c>
      <c r="B10" s="20">
        <v>2018</v>
      </c>
      <c r="C10" s="20">
        <v>2019</v>
      </c>
      <c r="D10" s="20">
        <v>2020</v>
      </c>
      <c r="E10" s="20">
        <v>2021</v>
      </c>
      <c r="F10" s="20">
        <v>2022</v>
      </c>
      <c r="G10" s="20">
        <v>2018</v>
      </c>
      <c r="H10" s="20">
        <v>2019</v>
      </c>
      <c r="I10" s="20">
        <v>2020</v>
      </c>
      <c r="J10" s="20">
        <v>2021</v>
      </c>
      <c r="K10" s="20">
        <v>2022</v>
      </c>
      <c r="M10" s="24" t="s">
        <v>161</v>
      </c>
      <c r="N10" s="20">
        <v>2018</v>
      </c>
      <c r="O10" s="20">
        <v>2019</v>
      </c>
      <c r="P10" s="20">
        <v>2020</v>
      </c>
      <c r="Q10" s="20">
        <v>2021</v>
      </c>
      <c r="R10" s="20">
        <v>2022</v>
      </c>
      <c r="S10" s="20">
        <v>2018</v>
      </c>
      <c r="T10" s="20">
        <v>2019</v>
      </c>
      <c r="U10" s="20">
        <v>2020</v>
      </c>
      <c r="V10" s="20">
        <v>2021</v>
      </c>
      <c r="W10" s="20">
        <v>2022</v>
      </c>
    </row>
    <row r="11" spans="1:23" x14ac:dyDescent="0.25">
      <c r="A11" s="2" t="s">
        <v>21</v>
      </c>
      <c r="B11" s="7">
        <f>Froto!R2*'Trend Analizi'!$D$2</f>
        <v>35342204139.097748</v>
      </c>
      <c r="C11" s="7">
        <f>Froto!N2*'Trend Analizi'!$D$3</f>
        <v>45209695537.394295</v>
      </c>
      <c r="D11" s="7">
        <f>Froto!J2*'Trend Analizi'!$D$4</f>
        <v>62614749716.120857</v>
      </c>
      <c r="E11" s="7">
        <f>Froto!F2*'Trend Analizi'!$D$5</f>
        <v>64879461505.385178</v>
      </c>
      <c r="F11" s="7">
        <f>Froto!B2</f>
        <v>55124518000</v>
      </c>
      <c r="G11" s="2">
        <f>IFERROR(B11/B11*100,"")</f>
        <v>100</v>
      </c>
      <c r="H11" s="11">
        <f>IFERROR(C11/B11*100,"")</f>
        <v>127.91985287465563</v>
      </c>
      <c r="I11" s="11">
        <f>IFERROR(D11/B11*100,"")</f>
        <v>177.1670761384475</v>
      </c>
      <c r="J11" s="11">
        <f>IFERROR(E11/B11*100,"")</f>
        <v>183.57502902206227</v>
      </c>
      <c r="K11" s="11">
        <f>IFERROR(F11/B11*100,"")</f>
        <v>155.97362796911079</v>
      </c>
      <c r="M11" s="2" t="s">
        <v>78</v>
      </c>
      <c r="N11" s="7">
        <f>Froto!R74*'Trend Analizi'!$D$2</f>
        <v>159099442274.79077</v>
      </c>
      <c r="O11" s="7">
        <f>Froto!N74*'Trend Analizi'!$D$3</f>
        <v>174526244522.13266</v>
      </c>
      <c r="P11" s="7">
        <f>Froto!J74*'Trend Analizi'!$D$4</f>
        <v>175885915699.10431</v>
      </c>
      <c r="Q11" s="7">
        <f>Froto!F74*'Trend Analizi'!$D$5</f>
        <v>140581219522.64124</v>
      </c>
      <c r="R11" s="7">
        <f>Froto!B74</f>
        <v>171796902000</v>
      </c>
      <c r="S11" s="2">
        <f>IFERROR(N11/N11*100,"")</f>
        <v>100</v>
      </c>
      <c r="T11" s="11">
        <f>IFERROR(O11/N11*100,"")</f>
        <v>109.69632704349604</v>
      </c>
      <c r="U11" s="11">
        <f>IFERROR(P11/N11*100,"")</f>
        <v>110.55093165903156</v>
      </c>
      <c r="V11" s="11">
        <f>IFERROR(Q11/N11*100,"")</f>
        <v>88.360598574465428</v>
      </c>
      <c r="W11" s="11">
        <f>IFERROR(R11/N11*100,"")</f>
        <v>107.98083232955564</v>
      </c>
    </row>
    <row r="12" spans="1:23" x14ac:dyDescent="0.25">
      <c r="A12" t="s">
        <v>22</v>
      </c>
      <c r="B12" s="6">
        <f>Froto!R3*'Trend Analizi'!$D$2</f>
        <v>6655924808.9090652</v>
      </c>
      <c r="C12" s="6">
        <f>Froto!N3*'Trend Analizi'!$D$3</f>
        <v>14256903085.095139</v>
      </c>
      <c r="D12" s="6">
        <f>Froto!J3*'Trend Analizi'!$D$4</f>
        <v>28895234847.642849</v>
      </c>
      <c r="E12" s="6">
        <f>Froto!F3*'Trend Analizi'!$D$5</f>
        <v>28024658936.551723</v>
      </c>
      <c r="F12" s="6">
        <f>Froto!B3</f>
        <v>10114706000</v>
      </c>
      <c r="G12">
        <f t="shared" ref="G12:G75" si="1">IFERROR(B12/B12*100,"")</f>
        <v>100</v>
      </c>
      <c r="H12" s="25">
        <f t="shared" ref="H12:H75" si="2">IFERROR(C12/B12*100,"")</f>
        <v>214.1986800393544</v>
      </c>
      <c r="I12" s="25">
        <f t="shared" ref="I12:I75" si="3">IFERROR(D12/B12*100,"")</f>
        <v>434.1280239369006</v>
      </c>
      <c r="J12" s="25">
        <f t="shared" ref="J12:J75" si="4">IFERROR(E12/B12*100,"")</f>
        <v>421.04831020687391</v>
      </c>
      <c r="K12" s="25">
        <f t="shared" ref="K12:K75" si="5">IFERROR(F12/B12*100,"")</f>
        <v>151.96544868507678</v>
      </c>
      <c r="M12" s="2" t="s">
        <v>79</v>
      </c>
      <c r="N12" s="6">
        <f>Froto!R75*'Trend Analizi'!$D$2</f>
        <v>-142571260689.95602</v>
      </c>
      <c r="O12" s="6">
        <f>Froto!N75*'Trend Analizi'!$D$3</f>
        <v>-156653806959.96301</v>
      </c>
      <c r="P12" s="6">
        <f>Froto!J75*'Trend Analizi'!$D$4</f>
        <v>-153882025735.68903</v>
      </c>
      <c r="Q12" s="6">
        <f>Froto!F75*'Trend Analizi'!$D$5</f>
        <v>-118527243831.37196</v>
      </c>
      <c r="R12" s="6">
        <f>Froto!B75</f>
        <v>-147855658000</v>
      </c>
      <c r="S12">
        <f t="shared" ref="S12:S45" si="6">IFERROR(N12/N12*100,"")</f>
        <v>100</v>
      </c>
      <c r="T12" s="25">
        <f t="shared" ref="T12:T45" si="7">IFERROR(O12/N12*100,"")</f>
        <v>109.87754909499729</v>
      </c>
      <c r="U12" s="25">
        <f t="shared" ref="U12:U45" si="8">IFERROR(P12/N12*100,"")</f>
        <v>107.9334116784799</v>
      </c>
      <c r="V12" s="25">
        <f t="shared" ref="V12:V45" si="9">IFERROR(Q12/N12*100,"")</f>
        <v>83.13543925877768</v>
      </c>
      <c r="W12" s="25">
        <f t="shared" ref="W12:W45" si="10">IFERROR(R12/N12*100,"")</f>
        <v>103.70649546372164</v>
      </c>
    </row>
    <row r="13" spans="1:23" x14ac:dyDescent="0.25">
      <c r="A13" t="s">
        <v>23</v>
      </c>
      <c r="B13" s="6">
        <f>Froto!R4*'Trend Analizi'!$D$2</f>
        <v>0</v>
      </c>
      <c r="C13" s="6">
        <f>Froto!N4*'Trend Analizi'!$D$3</f>
        <v>0</v>
      </c>
      <c r="D13" s="6">
        <f>Froto!J4*'Trend Analizi'!$D$4</f>
        <v>0</v>
      </c>
      <c r="E13" s="6">
        <f>Froto!F4*'Trend Analizi'!$D$5</f>
        <v>0</v>
      </c>
      <c r="F13" s="6">
        <f>Froto!B4</f>
        <v>0</v>
      </c>
      <c r="G13" t="str">
        <f t="shared" si="1"/>
        <v/>
      </c>
      <c r="H13" s="25" t="str">
        <f t="shared" si="2"/>
        <v/>
      </c>
      <c r="I13" s="25" t="str">
        <f t="shared" si="3"/>
        <v/>
      </c>
      <c r="J13" s="25" t="str">
        <f t="shared" si="4"/>
        <v/>
      </c>
      <c r="K13" s="25" t="str">
        <f t="shared" si="5"/>
        <v/>
      </c>
      <c r="M13" t="s">
        <v>80</v>
      </c>
      <c r="N13" s="6">
        <f>Froto!R76*'Trend Analizi'!$D$2</f>
        <v>0</v>
      </c>
      <c r="O13" s="6">
        <f>Froto!N76*'Trend Analizi'!$D$3</f>
        <v>0</v>
      </c>
      <c r="P13" s="6">
        <f>Froto!J76*'Trend Analizi'!$D$4</f>
        <v>0</v>
      </c>
      <c r="Q13" s="6">
        <f>Froto!F76*'Trend Analizi'!$D$5</f>
        <v>0</v>
      </c>
      <c r="R13" s="6">
        <f>Froto!B76</f>
        <v>0</v>
      </c>
      <c r="S13" t="str">
        <f t="shared" si="6"/>
        <v/>
      </c>
      <c r="T13" s="25" t="str">
        <f t="shared" si="7"/>
        <v/>
      </c>
      <c r="U13" s="25" t="str">
        <f t="shared" si="8"/>
        <v/>
      </c>
      <c r="V13" s="25" t="str">
        <f t="shared" si="9"/>
        <v/>
      </c>
      <c r="W13" s="25" t="str">
        <f t="shared" si="10"/>
        <v/>
      </c>
    </row>
    <row r="14" spans="1:23" x14ac:dyDescent="0.25">
      <c r="A14" t="s">
        <v>24</v>
      </c>
      <c r="B14" s="6">
        <f>Froto!R5*'Trend Analizi'!$D$2</f>
        <v>15011443218.683502</v>
      </c>
      <c r="C14" s="6">
        <f>Froto!N5*'Trend Analizi'!$D$3</f>
        <v>18272491456.725689</v>
      </c>
      <c r="D14" s="6">
        <f>Froto!J5*'Trend Analizi'!$D$4</f>
        <v>20466143059.777924</v>
      </c>
      <c r="E14" s="6">
        <f>Froto!F5*'Trend Analizi'!$D$5</f>
        <v>22553392017.725605</v>
      </c>
      <c r="F14" s="6">
        <f>Froto!B5</f>
        <v>25850944000</v>
      </c>
      <c r="G14">
        <f t="shared" si="1"/>
        <v>100</v>
      </c>
      <c r="H14" s="25">
        <f t="shared" si="2"/>
        <v>121.72374894629338</v>
      </c>
      <c r="I14" s="25">
        <f t="shared" si="3"/>
        <v>136.33694483356143</v>
      </c>
      <c r="J14" s="25">
        <f t="shared" si="4"/>
        <v>150.2413304914964</v>
      </c>
      <c r="K14" s="25">
        <f t="shared" si="5"/>
        <v>172.20825222071565</v>
      </c>
      <c r="M14" t="s">
        <v>81</v>
      </c>
      <c r="N14" s="6">
        <f>Froto!R77*'Trend Analizi'!$D$2</f>
        <v>16528181584.834728</v>
      </c>
      <c r="O14" s="6">
        <f>Froto!N77*'Trend Analizi'!$D$3</f>
        <v>17872437562.169662</v>
      </c>
      <c r="P14" s="6">
        <f>Froto!J77*'Trend Analizi'!$D$4</f>
        <v>22003889963.415279</v>
      </c>
      <c r="Q14" s="6">
        <f>Froto!F77*'Trend Analizi'!$D$5</f>
        <v>22053975691.269257</v>
      </c>
      <c r="R14" s="6">
        <f>Froto!B77</f>
        <v>23941244000</v>
      </c>
      <c r="S14">
        <f t="shared" si="6"/>
        <v>100</v>
      </c>
      <c r="T14" s="25">
        <f t="shared" si="7"/>
        <v>108.13311476786014</v>
      </c>
      <c r="U14" s="25">
        <f t="shared" si="8"/>
        <v>133.12952698683281</v>
      </c>
      <c r="V14" s="25">
        <f t="shared" si="9"/>
        <v>133.43255928108067</v>
      </c>
      <c r="W14" s="25">
        <f t="shared" si="10"/>
        <v>144.85104654202888</v>
      </c>
    </row>
    <row r="15" spans="1:23" x14ac:dyDescent="0.25">
      <c r="A15" t="s">
        <v>25</v>
      </c>
      <c r="B15" s="6">
        <f>Froto!R6*'Trend Analizi'!$D$2</f>
        <v>0</v>
      </c>
      <c r="C15" s="6">
        <f>Froto!N6*'Trend Analizi'!$D$3</f>
        <v>0</v>
      </c>
      <c r="D15" s="6">
        <f>Froto!J6*'Trend Analizi'!$D$4</f>
        <v>0</v>
      </c>
      <c r="E15" s="6">
        <f>Froto!F6*'Trend Analizi'!$D$5</f>
        <v>0</v>
      </c>
      <c r="F15" s="6">
        <f>Froto!B6</f>
        <v>0</v>
      </c>
      <c r="G15" t="str">
        <f t="shared" si="1"/>
        <v/>
      </c>
      <c r="H15" s="25" t="str">
        <f t="shared" si="2"/>
        <v/>
      </c>
      <c r="I15" s="25" t="str">
        <f t="shared" si="3"/>
        <v/>
      </c>
      <c r="J15" s="25" t="str">
        <f t="shared" si="4"/>
        <v/>
      </c>
      <c r="K15" s="25" t="str">
        <f t="shared" si="5"/>
        <v/>
      </c>
      <c r="M15" t="s">
        <v>82</v>
      </c>
      <c r="N15" s="6">
        <f>Froto!R78*'Trend Analizi'!$D$2</f>
        <v>0</v>
      </c>
      <c r="O15" s="6">
        <f>Froto!N78*'Trend Analizi'!$D$3</f>
        <v>0</v>
      </c>
      <c r="P15" s="6">
        <f>Froto!J78*'Trend Analizi'!$D$4</f>
        <v>0</v>
      </c>
      <c r="Q15" s="6">
        <f>Froto!F78*'Trend Analizi'!$D$5</f>
        <v>0</v>
      </c>
      <c r="R15" s="6">
        <f>Froto!B78</f>
        <v>0</v>
      </c>
      <c r="S15" t="str">
        <f t="shared" si="6"/>
        <v/>
      </c>
      <c r="T15" s="25" t="str">
        <f t="shared" si="7"/>
        <v/>
      </c>
      <c r="U15" s="25" t="str">
        <f t="shared" si="8"/>
        <v/>
      </c>
      <c r="V15" s="25" t="str">
        <f t="shared" si="9"/>
        <v/>
      </c>
      <c r="W15" s="25" t="str">
        <f t="shared" si="10"/>
        <v/>
      </c>
    </row>
    <row r="16" spans="1:23" x14ac:dyDescent="0.25">
      <c r="A16" t="s">
        <v>26</v>
      </c>
      <c r="B16" s="6">
        <f>Froto!R7*'Trend Analizi'!$D$2</f>
        <v>13323586.608029509</v>
      </c>
      <c r="C16" s="6">
        <f>Froto!N7*'Trend Analizi'!$D$3</f>
        <v>8323699.1279069772</v>
      </c>
      <c r="D16" s="6">
        <f>Froto!J7*'Trend Analizi'!$D$4</f>
        <v>5182173.6674468126</v>
      </c>
      <c r="E16" s="6">
        <f>Froto!F7*'Trend Analizi'!$D$5</f>
        <v>1621301.8341892883</v>
      </c>
      <c r="F16" s="6">
        <f>Froto!B7</f>
        <v>283518000</v>
      </c>
      <c r="G16">
        <f t="shared" si="1"/>
        <v>100</v>
      </c>
      <c r="H16" s="25">
        <f t="shared" si="2"/>
        <v>62.473411798071467</v>
      </c>
      <c r="I16" s="25">
        <f t="shared" si="3"/>
        <v>38.894734727988009</v>
      </c>
      <c r="J16" s="25">
        <f t="shared" si="4"/>
        <v>12.168659099736738</v>
      </c>
      <c r="K16" s="25">
        <f t="shared" si="5"/>
        <v>2127.9405338885012</v>
      </c>
      <c r="M16" t="s">
        <v>83</v>
      </c>
      <c r="N16" s="6">
        <f>Froto!R79*'Trend Analizi'!$D$2</f>
        <v>0</v>
      </c>
      <c r="O16" s="6">
        <f>Froto!N79*'Trend Analizi'!$D$3</f>
        <v>0</v>
      </c>
      <c r="P16" s="6">
        <f>Froto!J79*'Trend Analizi'!$D$4</f>
        <v>0</v>
      </c>
      <c r="Q16" s="6">
        <f>Froto!F79*'Trend Analizi'!$D$5</f>
        <v>0</v>
      </c>
      <c r="R16" s="6">
        <f>Froto!B79</f>
        <v>0</v>
      </c>
      <c r="S16" t="str">
        <f t="shared" si="6"/>
        <v/>
      </c>
      <c r="T16" s="25" t="str">
        <f t="shared" si="7"/>
        <v/>
      </c>
      <c r="U16" s="25" t="str">
        <f t="shared" si="8"/>
        <v/>
      </c>
      <c r="V16" s="25" t="str">
        <f t="shared" si="9"/>
        <v/>
      </c>
      <c r="W16" s="25" t="str">
        <f t="shared" si="10"/>
        <v/>
      </c>
    </row>
    <row r="17" spans="1:23" x14ac:dyDescent="0.25">
      <c r="A17" t="s">
        <v>27</v>
      </c>
      <c r="B17" s="6">
        <f>Froto!R8*'Trend Analizi'!$D$2</f>
        <v>0</v>
      </c>
      <c r="C17" s="6">
        <f>Froto!N8*'Trend Analizi'!$D$3</f>
        <v>0</v>
      </c>
      <c r="D17" s="6">
        <f>Froto!J8*'Trend Analizi'!$D$4</f>
        <v>0</v>
      </c>
      <c r="E17" s="6">
        <f>Froto!F8*'Trend Analizi'!$D$5</f>
        <v>0</v>
      </c>
      <c r="F17" s="6">
        <f>Froto!B8</f>
        <v>0</v>
      </c>
      <c r="G17" t="str">
        <f t="shared" si="1"/>
        <v/>
      </c>
      <c r="H17" s="25" t="str">
        <f t="shared" si="2"/>
        <v/>
      </c>
      <c r="I17" s="25" t="str">
        <f t="shared" si="3"/>
        <v/>
      </c>
      <c r="J17" s="25" t="str">
        <f t="shared" si="4"/>
        <v/>
      </c>
      <c r="K17" s="25" t="str">
        <f t="shared" si="5"/>
        <v/>
      </c>
      <c r="M17" t="s">
        <v>84</v>
      </c>
      <c r="N17" s="6">
        <f>Froto!R80*'Trend Analizi'!$D$2</f>
        <v>0</v>
      </c>
      <c r="O17" s="6">
        <f>Froto!N80*'Trend Analizi'!$D$3</f>
        <v>0</v>
      </c>
      <c r="P17" s="6">
        <f>Froto!J80*'Trend Analizi'!$D$4</f>
        <v>0</v>
      </c>
      <c r="Q17" s="6">
        <f>Froto!F80*'Trend Analizi'!$D$5</f>
        <v>0</v>
      </c>
      <c r="R17" s="6">
        <f>Froto!B80</f>
        <v>0</v>
      </c>
      <c r="S17" t="str">
        <f t="shared" si="6"/>
        <v/>
      </c>
      <c r="T17" s="25" t="str">
        <f t="shared" si="7"/>
        <v/>
      </c>
      <c r="U17" s="25" t="str">
        <f t="shared" si="8"/>
        <v/>
      </c>
      <c r="V17" s="25" t="str">
        <f t="shared" si="9"/>
        <v/>
      </c>
      <c r="W17" s="25" t="str">
        <f t="shared" si="10"/>
        <v/>
      </c>
    </row>
    <row r="18" spans="1:23" x14ac:dyDescent="0.25">
      <c r="A18" t="s">
        <v>28</v>
      </c>
      <c r="B18" s="6">
        <f>Froto!R9*'Trend Analizi'!$D$2</f>
        <v>8910960957.9372959</v>
      </c>
      <c r="C18" s="6">
        <f>Froto!N9*'Trend Analizi'!$D$3</f>
        <v>8134074578.9508457</v>
      </c>
      <c r="D18" s="6">
        <f>Froto!J9*'Trend Analizi'!$D$4</f>
        <v>8710615061.801609</v>
      </c>
      <c r="E18" s="6">
        <f>Froto!F9*'Trend Analizi'!$D$5</f>
        <v>10418457905.737345</v>
      </c>
      <c r="F18" s="6">
        <f>Froto!B9</f>
        <v>13854008000</v>
      </c>
      <c r="G18">
        <f t="shared" si="1"/>
        <v>100</v>
      </c>
      <c r="H18" s="25">
        <f t="shared" si="2"/>
        <v>91.281676772532023</v>
      </c>
      <c r="I18" s="25">
        <f t="shared" si="3"/>
        <v>97.751691460871768</v>
      </c>
      <c r="J18" s="25">
        <f t="shared" si="4"/>
        <v>116.91733310151326</v>
      </c>
      <c r="K18" s="25">
        <f t="shared" si="5"/>
        <v>155.47153741774352</v>
      </c>
      <c r="M18" t="s">
        <v>85</v>
      </c>
      <c r="N18" s="6">
        <f>Froto!R81*'Trend Analizi'!$D$2</f>
        <v>0</v>
      </c>
      <c r="O18" s="6">
        <f>Froto!N81*'Trend Analizi'!$D$3</f>
        <v>0</v>
      </c>
      <c r="P18" s="6">
        <f>Froto!J81*'Trend Analizi'!$D$4</f>
        <v>0</v>
      </c>
      <c r="Q18" s="6">
        <f>Froto!F81*'Trend Analizi'!$D$5</f>
        <v>0</v>
      </c>
      <c r="R18" s="6">
        <f>Froto!B81</f>
        <v>0</v>
      </c>
      <c r="S18" t="str">
        <f t="shared" si="6"/>
        <v/>
      </c>
      <c r="T18" s="25" t="str">
        <f t="shared" si="7"/>
        <v/>
      </c>
      <c r="U18" s="25" t="str">
        <f t="shared" si="8"/>
        <v/>
      </c>
      <c r="V18" s="25" t="str">
        <f t="shared" si="9"/>
        <v/>
      </c>
      <c r="W18" s="25" t="str">
        <f t="shared" si="10"/>
        <v/>
      </c>
    </row>
    <row r="19" spans="1:23" x14ac:dyDescent="0.25">
      <c r="A19" t="s">
        <v>29</v>
      </c>
      <c r="B19" s="6">
        <f>Froto!R10*'Trend Analizi'!$D$2</f>
        <v>0</v>
      </c>
      <c r="C19" s="6">
        <f>Froto!N10*'Trend Analizi'!$D$3</f>
        <v>0</v>
      </c>
      <c r="D19" s="6">
        <f>Froto!J10*'Trend Analizi'!$D$4</f>
        <v>0</v>
      </c>
      <c r="E19" s="6">
        <f>Froto!F10*'Trend Analizi'!$D$5</f>
        <v>0</v>
      </c>
      <c r="F19" s="6">
        <f>Froto!B10</f>
        <v>0</v>
      </c>
      <c r="G19" t="str">
        <f t="shared" si="1"/>
        <v/>
      </c>
      <c r="H19" s="25" t="str">
        <f t="shared" si="2"/>
        <v/>
      </c>
      <c r="I19" s="25" t="str">
        <f t="shared" si="3"/>
        <v/>
      </c>
      <c r="J19" s="25" t="str">
        <f t="shared" si="4"/>
        <v/>
      </c>
      <c r="K19" s="25" t="str">
        <f t="shared" si="5"/>
        <v/>
      </c>
      <c r="M19" t="s">
        <v>86</v>
      </c>
      <c r="N19" s="6">
        <f>Froto!R82*'Trend Analizi'!$D$2</f>
        <v>0</v>
      </c>
      <c r="O19" s="6">
        <f>Froto!N82*'Trend Analizi'!$D$3</f>
        <v>0</v>
      </c>
      <c r="P19" s="6">
        <f>Froto!J82*'Trend Analizi'!$D$4</f>
        <v>0</v>
      </c>
      <c r="Q19" s="6">
        <f>Froto!F82*'Trend Analizi'!$D$5</f>
        <v>0</v>
      </c>
      <c r="R19" s="6">
        <f>Froto!B82</f>
        <v>0</v>
      </c>
      <c r="S19" t="str">
        <f t="shared" si="6"/>
        <v/>
      </c>
      <c r="T19" s="25" t="str">
        <f t="shared" si="7"/>
        <v/>
      </c>
      <c r="U19" s="25" t="str">
        <f t="shared" si="8"/>
        <v/>
      </c>
      <c r="V19" s="25" t="str">
        <f t="shared" si="9"/>
        <v/>
      </c>
      <c r="W19" s="25" t="str">
        <f t="shared" si="10"/>
        <v/>
      </c>
    </row>
    <row r="20" spans="1:23" x14ac:dyDescent="0.25">
      <c r="A20" t="s">
        <v>30</v>
      </c>
      <c r="B20" s="6">
        <f>Froto!R11*'Trend Analizi'!$D$2</f>
        <v>4750551566.9598522</v>
      </c>
      <c r="C20" s="6">
        <f>Froto!N11*'Trend Analizi'!$D$3</f>
        <v>4537902717.4947147</v>
      </c>
      <c r="D20" s="6">
        <f>Froto!J11*'Trend Analizi'!$D$4</f>
        <v>4537574573.2310352</v>
      </c>
      <c r="E20" s="6">
        <f>Froto!F11*'Trend Analizi'!$D$5</f>
        <v>3881331343.5363169</v>
      </c>
      <c r="F20" s="6">
        <f>Froto!B11</f>
        <v>5021342000</v>
      </c>
      <c r="G20">
        <f t="shared" si="1"/>
        <v>100</v>
      </c>
      <c r="H20" s="25">
        <f t="shared" si="2"/>
        <v>95.523701901393665</v>
      </c>
      <c r="I20" s="25">
        <f t="shared" si="3"/>
        <v>95.516794403199938</v>
      </c>
      <c r="J20" s="25">
        <f t="shared" si="4"/>
        <v>81.702751540074345</v>
      </c>
      <c r="K20" s="25">
        <f t="shared" si="5"/>
        <v>105.70018931956236</v>
      </c>
      <c r="M20" s="2" t="s">
        <v>87</v>
      </c>
      <c r="N20" s="7">
        <f>Froto!R83*'Trend Analizi'!$D$2</f>
        <v>16528181584.834728</v>
      </c>
      <c r="O20" s="7">
        <f>Froto!N83*'Trend Analizi'!$D$3</f>
        <v>17872437562.169662</v>
      </c>
      <c r="P20" s="7">
        <f>Froto!J83*'Trend Analizi'!$D$4</f>
        <v>22003889963.415279</v>
      </c>
      <c r="Q20" s="7">
        <f>Froto!F83*'Trend Analizi'!$D$5</f>
        <v>22053975691.269257</v>
      </c>
      <c r="R20" s="7">
        <f>Froto!B83</f>
        <v>23941244000</v>
      </c>
      <c r="S20" s="2">
        <f t="shared" si="6"/>
        <v>100</v>
      </c>
      <c r="T20" s="11">
        <f t="shared" si="7"/>
        <v>108.13311476786014</v>
      </c>
      <c r="U20" s="11">
        <f t="shared" si="8"/>
        <v>133.12952698683281</v>
      </c>
      <c r="V20" s="11">
        <f t="shared" si="9"/>
        <v>133.43255928108067</v>
      </c>
      <c r="W20" s="11">
        <f t="shared" si="10"/>
        <v>144.85104654202888</v>
      </c>
    </row>
    <row r="21" spans="1:23" x14ac:dyDescent="0.25">
      <c r="A21" t="s">
        <v>31</v>
      </c>
      <c r="B21" s="6">
        <f>Froto!R12*'Trend Analizi'!$D$2</f>
        <v>35342204139.097748</v>
      </c>
      <c r="C21" s="6">
        <f>Froto!N12*'Trend Analizi'!$D$3</f>
        <v>45209695537.394295</v>
      </c>
      <c r="D21" s="6">
        <f>Froto!J12*'Trend Analizi'!$D$4</f>
        <v>62614749716.120857</v>
      </c>
      <c r="E21" s="6">
        <f>Froto!F12*'Trend Analizi'!$D$5</f>
        <v>64879461505.385178</v>
      </c>
      <c r="F21" s="6">
        <f>Froto!B12</f>
        <v>55124518000</v>
      </c>
      <c r="G21">
        <f t="shared" si="1"/>
        <v>100</v>
      </c>
      <c r="H21" s="25">
        <f t="shared" si="2"/>
        <v>127.91985287465563</v>
      </c>
      <c r="I21" s="25">
        <f t="shared" si="3"/>
        <v>177.1670761384475</v>
      </c>
      <c r="J21" s="25">
        <f t="shared" si="4"/>
        <v>183.57502902206227</v>
      </c>
      <c r="K21" s="25">
        <f t="shared" si="5"/>
        <v>155.97362796911079</v>
      </c>
      <c r="M21" t="s">
        <v>88</v>
      </c>
      <c r="N21" s="6">
        <f>Froto!R84*'Trend Analizi'!$D$2</f>
        <v>-2423946539.5091505</v>
      </c>
      <c r="O21" s="6">
        <f>Froto!N84*'Trend Analizi'!$D$3</f>
        <v>-2889267246.6966176</v>
      </c>
      <c r="P21" s="6">
        <f>Froto!J84*'Trend Analizi'!$D$4</f>
        <v>-3000343397.2407484</v>
      </c>
      <c r="Q21" s="6">
        <f>Froto!F84*'Trend Analizi'!$D$5</f>
        <v>-2617018424.0645633</v>
      </c>
      <c r="R21" s="6">
        <f>Froto!B84</f>
        <v>-2756024000</v>
      </c>
      <c r="S21">
        <f t="shared" si="6"/>
        <v>100</v>
      </c>
      <c r="T21" s="25">
        <f t="shared" si="7"/>
        <v>119.19682219071113</v>
      </c>
      <c r="U21" s="25">
        <f t="shared" si="8"/>
        <v>123.77927269997953</v>
      </c>
      <c r="V21" s="25">
        <f t="shared" si="9"/>
        <v>107.96518740856843</v>
      </c>
      <c r="W21" s="25">
        <f t="shared" si="10"/>
        <v>113.69986734765591</v>
      </c>
    </row>
    <row r="22" spans="1:23" x14ac:dyDescent="0.25">
      <c r="A22" t="s">
        <v>32</v>
      </c>
      <c r="B22" s="6">
        <f>Froto!R13*'Trend Analizi'!$D$2</f>
        <v>0</v>
      </c>
      <c r="C22" s="6">
        <f>Froto!N13*'Trend Analizi'!$D$3</f>
        <v>0</v>
      </c>
      <c r="D22" s="6">
        <f>Froto!J13*'Trend Analizi'!$D$4</f>
        <v>0</v>
      </c>
      <c r="E22" s="6">
        <f>Froto!F13*'Trend Analizi'!$D$5</f>
        <v>0</v>
      </c>
      <c r="F22" s="6">
        <f>Froto!B13</f>
        <v>0</v>
      </c>
      <c r="G22" t="str">
        <f t="shared" si="1"/>
        <v/>
      </c>
      <c r="H22" s="25" t="str">
        <f t="shared" si="2"/>
        <v/>
      </c>
      <c r="I22" s="25" t="str">
        <f t="shared" si="3"/>
        <v/>
      </c>
      <c r="J22" s="25" t="str">
        <f t="shared" si="4"/>
        <v/>
      </c>
      <c r="K22" s="25" t="str">
        <f t="shared" si="5"/>
        <v/>
      </c>
      <c r="M22" t="s">
        <v>89</v>
      </c>
      <c r="N22" s="6">
        <f>Froto!R85*'Trend Analizi'!$D$2</f>
        <v>-1491701683.8558662</v>
      </c>
      <c r="O22" s="6">
        <f>Froto!N85*'Trend Analizi'!$D$3</f>
        <v>-1659812373.7447147</v>
      </c>
      <c r="P22" s="6">
        <f>Froto!J85*'Trend Analizi'!$D$4</f>
        <v>-1837726113.8543298</v>
      </c>
      <c r="Q22" s="6">
        <f>Froto!F85*'Trend Analizi'!$D$5</f>
        <v>-1463974263.1548054</v>
      </c>
      <c r="R22" s="6">
        <f>Froto!B85</f>
        <v>-1903866000</v>
      </c>
      <c r="S22">
        <f t="shared" si="6"/>
        <v>100</v>
      </c>
      <c r="T22" s="25">
        <f t="shared" si="7"/>
        <v>111.26972582442241</v>
      </c>
      <c r="U22" s="25">
        <f t="shared" si="8"/>
        <v>123.19662394588393</v>
      </c>
      <c r="V22" s="25">
        <f t="shared" si="9"/>
        <v>98.141222135689432</v>
      </c>
      <c r="W22" s="25">
        <f t="shared" si="10"/>
        <v>127.63047870796389</v>
      </c>
    </row>
    <row r="23" spans="1:23" x14ac:dyDescent="0.25">
      <c r="A23" s="2" t="s">
        <v>33</v>
      </c>
      <c r="B23" s="7">
        <f>Froto!R14*'Trend Analizi'!$D$2</f>
        <v>27664979583.416088</v>
      </c>
      <c r="C23" s="7">
        <f>Froto!N14*'Trend Analizi'!$D$3</f>
        <v>27817953825.449261</v>
      </c>
      <c r="D23" s="7">
        <f>Froto!J14*'Trend Analizi'!$D$4</f>
        <v>23989007482.059586</v>
      </c>
      <c r="E23" s="7">
        <f>Froto!F14*'Trend Analizi'!$D$5</f>
        <v>19730454420.33749</v>
      </c>
      <c r="F23" s="7">
        <f>Froto!B14</f>
        <v>40927729000</v>
      </c>
      <c r="G23" s="2">
        <f t="shared" si="1"/>
        <v>100</v>
      </c>
      <c r="H23" s="11">
        <f t="shared" si="2"/>
        <v>100.55295266556014</v>
      </c>
      <c r="I23" s="11">
        <f t="shared" si="3"/>
        <v>86.712543595874962</v>
      </c>
      <c r="J23" s="11">
        <f t="shared" si="4"/>
        <v>71.319244465175785</v>
      </c>
      <c r="K23" s="11">
        <f t="shared" si="5"/>
        <v>147.94057185762153</v>
      </c>
      <c r="M23" t="s">
        <v>90</v>
      </c>
      <c r="N23" s="6">
        <f>Froto!R86*'Trend Analizi'!$D$2</f>
        <v>-1761351387.7145696</v>
      </c>
      <c r="O23" s="6">
        <f>Froto!N86*'Trend Analizi'!$D$3</f>
        <v>-1867637781.3821354</v>
      </c>
      <c r="P23" s="6">
        <f>Froto!J86*'Trend Analizi'!$D$4</f>
        <v>-1634148849.4729619</v>
      </c>
      <c r="Q23" s="6">
        <f>Froto!F86*'Trend Analizi'!$D$5</f>
        <v>-1345520369.3910491</v>
      </c>
      <c r="R23" s="6">
        <f>Froto!B86</f>
        <v>-1449033000</v>
      </c>
      <c r="S23">
        <f t="shared" si="6"/>
        <v>100</v>
      </c>
      <c r="T23" s="25">
        <f t="shared" si="7"/>
        <v>106.03436624905818</v>
      </c>
      <c r="U23" s="25">
        <f t="shared" si="8"/>
        <v>92.778128252610713</v>
      </c>
      <c r="V23" s="25">
        <f t="shared" si="9"/>
        <v>76.391365106137087</v>
      </c>
      <c r="W23" s="25">
        <f t="shared" si="10"/>
        <v>82.268252099326062</v>
      </c>
    </row>
    <row r="24" spans="1:23" x14ac:dyDescent="0.25">
      <c r="A24" t="s">
        <v>24</v>
      </c>
      <c r="B24" s="6">
        <f>Froto!R15*'Trend Analizi'!$D$2</f>
        <v>14116884.806355512</v>
      </c>
      <c r="C24" s="6">
        <f>Froto!N15*'Trend Analizi'!$D$3</f>
        <v>12921763.940274842</v>
      </c>
      <c r="D24" s="6">
        <f>Froto!J15*'Trend Analizi'!$D$4</f>
        <v>14049132.454643041</v>
      </c>
      <c r="E24" s="6">
        <f>Froto!F15*'Trend Analizi'!$D$5</f>
        <v>74301099.545121059</v>
      </c>
      <c r="F24" s="6">
        <f>Froto!B15</f>
        <v>15684000</v>
      </c>
      <c r="G24">
        <f t="shared" si="1"/>
        <v>100</v>
      </c>
      <c r="H24" s="25">
        <f t="shared" si="2"/>
        <v>91.534103433764514</v>
      </c>
      <c r="I24" s="25">
        <f t="shared" si="3"/>
        <v>99.520061595445128</v>
      </c>
      <c r="J24" s="25">
        <f t="shared" si="4"/>
        <v>526.32787307062415</v>
      </c>
      <c r="K24" s="25">
        <f t="shared" si="5"/>
        <v>111.10099866323881</v>
      </c>
      <c r="M24" t="s">
        <v>91</v>
      </c>
      <c r="N24" s="6">
        <f>Froto!R87*'Trend Analizi'!$D$2</f>
        <v>2777160172.8613987</v>
      </c>
      <c r="O24" s="6">
        <f>Froto!N87*'Trend Analizi'!$D$3</f>
        <v>2821057425.6078224</v>
      </c>
      <c r="P24" s="6">
        <f>Froto!J87*'Trend Analizi'!$D$4</f>
        <v>3040218036.2151794</v>
      </c>
      <c r="Q24" s="6">
        <f>Froto!F87*'Trend Analizi'!$D$5</f>
        <v>4173887350.7263389</v>
      </c>
      <c r="R24" s="6">
        <f>Froto!B87</f>
        <v>3412894000</v>
      </c>
      <c r="S24">
        <f t="shared" si="6"/>
        <v>100</v>
      </c>
      <c r="T24" s="25">
        <f t="shared" si="7"/>
        <v>101.58065253763144</v>
      </c>
      <c r="U24" s="25">
        <f t="shared" si="8"/>
        <v>109.472189106138</v>
      </c>
      <c r="V24" s="25">
        <f t="shared" si="9"/>
        <v>150.29336051675574</v>
      </c>
      <c r="W24" s="25">
        <f t="shared" si="10"/>
        <v>122.89150742369981</v>
      </c>
    </row>
    <row r="25" spans="1:23" x14ac:dyDescent="0.25">
      <c r="A25" t="s">
        <v>25</v>
      </c>
      <c r="B25" s="6">
        <f>Froto!R16*'Trend Analizi'!$D$2</f>
        <v>0</v>
      </c>
      <c r="C25" s="6">
        <f>Froto!N16*'Trend Analizi'!$D$3</f>
        <v>0</v>
      </c>
      <c r="D25" s="6">
        <f>Froto!J16*'Trend Analizi'!$D$4</f>
        <v>0</v>
      </c>
      <c r="E25" s="6">
        <f>Froto!F16*'Trend Analizi'!$D$5</f>
        <v>0</v>
      </c>
      <c r="F25" s="6">
        <f>Froto!B16</f>
        <v>0</v>
      </c>
      <c r="G25" t="str">
        <f t="shared" si="1"/>
        <v/>
      </c>
      <c r="H25" s="25" t="str">
        <f t="shared" si="2"/>
        <v/>
      </c>
      <c r="I25" s="25" t="str">
        <f t="shared" si="3"/>
        <v/>
      </c>
      <c r="J25" s="25" t="str">
        <f t="shared" si="4"/>
        <v/>
      </c>
      <c r="K25" s="25" t="str">
        <f t="shared" si="5"/>
        <v/>
      </c>
      <c r="M25" t="s">
        <v>92</v>
      </c>
      <c r="N25" s="6">
        <f>Froto!R88*'Trend Analizi'!$D$2</f>
        <v>-2709151578.5217762</v>
      </c>
      <c r="O25" s="6">
        <f>Froto!N88*'Trend Analizi'!$D$3</f>
        <v>-3495904670.784884</v>
      </c>
      <c r="P25" s="6">
        <f>Froto!J88*'Trend Analizi'!$D$4</f>
        <v>-1479391431.1858799</v>
      </c>
      <c r="Q25" s="6">
        <f>Froto!F88*'Trend Analizi'!$D$5</f>
        <v>-2141069453.0594277</v>
      </c>
      <c r="R25" s="6">
        <f>Froto!B88</f>
        <v>-2104872000</v>
      </c>
      <c r="S25">
        <f t="shared" si="6"/>
        <v>100</v>
      </c>
      <c r="T25" s="25">
        <f t="shared" si="7"/>
        <v>129.04057116997464</v>
      </c>
      <c r="U25" s="25">
        <f t="shared" si="8"/>
        <v>54.607185619089513</v>
      </c>
      <c r="V25" s="25">
        <f t="shared" si="9"/>
        <v>79.030995165936147</v>
      </c>
      <c r="W25" s="25">
        <f t="shared" si="10"/>
        <v>77.694877491812548</v>
      </c>
    </row>
    <row r="26" spans="1:23" x14ac:dyDescent="0.25">
      <c r="A26" t="s">
        <v>26</v>
      </c>
      <c r="B26" s="6">
        <f>Froto!R17*'Trend Analizi'!$D$2</f>
        <v>0</v>
      </c>
      <c r="C26" s="6">
        <f>Froto!N17*'Trend Analizi'!$D$3</f>
        <v>0</v>
      </c>
      <c r="D26" s="6">
        <f>Froto!J17*'Trend Analizi'!$D$4</f>
        <v>0</v>
      </c>
      <c r="E26" s="6">
        <f>Froto!F17*'Trend Analizi'!$D$5</f>
        <v>0</v>
      </c>
      <c r="F26" s="6">
        <f>Froto!B17</f>
        <v>1153083000</v>
      </c>
      <c r="G26" t="str">
        <f t="shared" si="1"/>
        <v/>
      </c>
      <c r="H26" s="25" t="str">
        <f t="shared" si="2"/>
        <v/>
      </c>
      <c r="I26" s="25" t="str">
        <f t="shared" si="3"/>
        <v/>
      </c>
      <c r="J26" s="25" t="str">
        <f t="shared" si="4"/>
        <v/>
      </c>
      <c r="K26" s="25" t="str">
        <f t="shared" si="5"/>
        <v/>
      </c>
      <c r="M26" t="s">
        <v>93</v>
      </c>
      <c r="N26" s="6">
        <f>Froto!R89*'Trend Analizi'!$D$2</f>
        <v>0</v>
      </c>
      <c r="O26" s="6">
        <f>Froto!N89*'Trend Analizi'!$D$3</f>
        <v>0</v>
      </c>
      <c r="P26" s="6">
        <f>Froto!J89*'Trend Analizi'!$D$4</f>
        <v>0</v>
      </c>
      <c r="Q26" s="6">
        <f>Froto!F89*'Trend Analizi'!$D$5</f>
        <v>0</v>
      </c>
      <c r="R26" s="6">
        <f>Froto!B89</f>
        <v>0</v>
      </c>
      <c r="S26" t="str">
        <f t="shared" si="6"/>
        <v/>
      </c>
      <c r="T26" s="25" t="str">
        <f t="shared" si="7"/>
        <v/>
      </c>
      <c r="U26" s="25" t="str">
        <f t="shared" si="8"/>
        <v/>
      </c>
      <c r="V26" s="25" t="str">
        <f t="shared" si="9"/>
        <v/>
      </c>
      <c r="W26" s="25" t="str">
        <f t="shared" si="10"/>
        <v/>
      </c>
    </row>
    <row r="27" spans="1:23" x14ac:dyDescent="0.25">
      <c r="A27" t="s">
        <v>27</v>
      </c>
      <c r="B27" s="6">
        <f>Froto!R18*'Trend Analizi'!$D$2</f>
        <v>0</v>
      </c>
      <c r="C27" s="6">
        <f>Froto!N18*'Trend Analizi'!$D$3</f>
        <v>0</v>
      </c>
      <c r="D27" s="6">
        <f>Froto!J18*'Trend Analizi'!$D$4</f>
        <v>0</v>
      </c>
      <c r="E27" s="6">
        <f>Froto!F18*'Trend Analizi'!$D$5</f>
        <v>0</v>
      </c>
      <c r="F27" s="6">
        <f>Froto!B18</f>
        <v>0</v>
      </c>
      <c r="G27" t="str">
        <f t="shared" si="1"/>
        <v/>
      </c>
      <c r="H27" s="25" t="str">
        <f t="shared" si="2"/>
        <v/>
      </c>
      <c r="I27" s="25" t="str">
        <f t="shared" si="3"/>
        <v/>
      </c>
      <c r="J27" s="25" t="str">
        <f t="shared" si="4"/>
        <v/>
      </c>
      <c r="K27" s="25" t="str">
        <f t="shared" si="5"/>
        <v/>
      </c>
      <c r="M27" s="2" t="s">
        <v>94</v>
      </c>
      <c r="N27" s="7">
        <f>Froto!R90*'Trend Analizi'!$D$2</f>
        <v>10919190568.094765</v>
      </c>
      <c r="O27" s="7">
        <f>Froto!N90*'Trend Analizi'!$D$3</f>
        <v>10780872915.169134</v>
      </c>
      <c r="P27" s="7">
        <f>Froto!J90*'Trend Analizi'!$D$4</f>
        <v>17092498207.876539</v>
      </c>
      <c r="Q27" s="7">
        <f>Froto!F90*'Trend Analizi'!$D$5</f>
        <v>18660280532.325752</v>
      </c>
      <c r="R27" s="7">
        <f>Froto!B90</f>
        <v>19140343000</v>
      </c>
      <c r="S27" s="2">
        <f t="shared" si="6"/>
        <v>100</v>
      </c>
      <c r="T27" s="11">
        <f t="shared" si="7"/>
        <v>98.733260931173902</v>
      </c>
      <c r="U27" s="11">
        <f t="shared" si="8"/>
        <v>156.53631192974888</v>
      </c>
      <c r="V27" s="11">
        <f t="shared" si="9"/>
        <v>170.89435719576136</v>
      </c>
      <c r="W27" s="11">
        <f t="shared" si="10"/>
        <v>175.29085952512781</v>
      </c>
    </row>
    <row r="28" spans="1:23" x14ac:dyDescent="0.25">
      <c r="A28" t="s">
        <v>23</v>
      </c>
      <c r="B28" s="6">
        <f>Froto!R19*'Trend Analizi'!$D$2</f>
        <v>59296650.87246418</v>
      </c>
      <c r="C28" s="6">
        <f>Froto!N19*'Trend Analizi'!$D$3</f>
        <v>99506039.574524313</v>
      </c>
      <c r="D28" s="6">
        <f>Froto!J19*'Trend Analizi'!$D$4</f>
        <v>159224686.73341897</v>
      </c>
      <c r="E28" s="6">
        <f>Froto!F19*'Trend Analizi'!$D$5</f>
        <v>98687851.768158466</v>
      </c>
      <c r="F28" s="6">
        <f>Froto!B19</f>
        <v>145942000</v>
      </c>
      <c r="G28">
        <f t="shared" si="1"/>
        <v>100</v>
      </c>
      <c r="H28" s="25">
        <f t="shared" si="2"/>
        <v>167.8105560945472</v>
      </c>
      <c r="I28" s="25">
        <f t="shared" si="3"/>
        <v>268.52222577609143</v>
      </c>
      <c r="J28" s="25">
        <f t="shared" si="4"/>
        <v>166.43073481572722</v>
      </c>
      <c r="K28" s="25">
        <f t="shared" si="5"/>
        <v>246.12182619536722</v>
      </c>
      <c r="M28" s="2" t="s">
        <v>95</v>
      </c>
      <c r="N28" s="7">
        <f>Froto!R91*'Trend Analizi'!$D$2</f>
        <v>10851181973.755142</v>
      </c>
      <c r="O28" s="7">
        <f>Froto!N91*'Trend Analizi'!$D$3</f>
        <v>11455720160.346195</v>
      </c>
      <c r="P28" s="7">
        <f>Froto!J91*'Trend Analizi'!$D$4</f>
        <v>15531671602.847239</v>
      </c>
      <c r="Q28" s="7">
        <f>Froto!F91*'Trend Analizi'!$D$5</f>
        <v>16627462634.65884</v>
      </c>
      <c r="R28" s="7">
        <f>Froto!B91</f>
        <v>17832321000</v>
      </c>
      <c r="S28" s="2">
        <f t="shared" si="6"/>
        <v>100</v>
      </c>
      <c r="T28" s="11">
        <f t="shared" si="7"/>
        <v>105.57117361088588</v>
      </c>
      <c r="U28" s="11">
        <f t="shared" si="8"/>
        <v>143.13345440535795</v>
      </c>
      <c r="V28" s="11">
        <f t="shared" si="9"/>
        <v>153.23181082829788</v>
      </c>
      <c r="W28" s="11">
        <f t="shared" si="10"/>
        <v>164.33528663632737</v>
      </c>
    </row>
    <row r="29" spans="1:23" x14ac:dyDescent="0.25">
      <c r="A29" t="s">
        <v>34</v>
      </c>
      <c r="B29" s="6">
        <f>Froto!R20*'Trend Analizi'!$D$2</f>
        <v>4458718.1869768761</v>
      </c>
      <c r="C29" s="6">
        <f>Froto!N20*'Trend Analizi'!$D$3</f>
        <v>0</v>
      </c>
      <c r="D29" s="6">
        <f>Froto!J20*'Trend Analizi'!$D$4</f>
        <v>0</v>
      </c>
      <c r="E29" s="6">
        <f>Froto!F20*'Trend Analizi'!$D$5</f>
        <v>0</v>
      </c>
      <c r="F29" s="6">
        <f>Froto!B20</f>
        <v>0</v>
      </c>
      <c r="G29">
        <f t="shared" si="1"/>
        <v>100</v>
      </c>
      <c r="H29" s="25">
        <f t="shared" si="2"/>
        <v>0</v>
      </c>
      <c r="I29" s="25">
        <f t="shared" si="3"/>
        <v>0</v>
      </c>
      <c r="J29" s="25">
        <f t="shared" si="4"/>
        <v>0</v>
      </c>
      <c r="K29" s="25">
        <f t="shared" si="5"/>
        <v>0</v>
      </c>
      <c r="M29" t="s">
        <v>96</v>
      </c>
      <c r="N29" s="6">
        <f>Froto!R92*'Trend Analizi'!$D$2</f>
        <v>1959350.9717690453</v>
      </c>
      <c r="O29" s="6">
        <f>Froto!N92*'Trend Analizi'!$D$3</f>
        <v>1878396.2737843553</v>
      </c>
      <c r="P29" s="6">
        <f>Froto!J92*'Trend Analizi'!$D$4</f>
        <v>9066136.3612367362</v>
      </c>
      <c r="Q29" s="6">
        <f>Froto!F92*'Trend Analizi'!$D$5</f>
        <v>4871814.292002935</v>
      </c>
      <c r="R29" s="6">
        <f>Froto!B92</f>
        <v>21013000</v>
      </c>
      <c r="S29">
        <f t="shared" si="6"/>
        <v>100</v>
      </c>
      <c r="T29" s="25">
        <f t="shared" si="7"/>
        <v>95.868290104676944</v>
      </c>
      <c r="U29" s="25">
        <f t="shared" si="8"/>
        <v>462.71119834396819</v>
      </c>
      <c r="V29" s="25">
        <f t="shared" si="9"/>
        <v>248.64428896086466</v>
      </c>
      <c r="W29" s="25">
        <f t="shared" si="10"/>
        <v>1072.4469634466727</v>
      </c>
    </row>
    <row r="30" spans="1:23" x14ac:dyDescent="0.25">
      <c r="A30" t="s">
        <v>29</v>
      </c>
      <c r="B30" s="6">
        <f>Froto!R21*'Trend Analizi'!$D$2</f>
        <v>0</v>
      </c>
      <c r="C30" s="6">
        <f>Froto!N21*'Trend Analizi'!$D$3</f>
        <v>0</v>
      </c>
      <c r="D30" s="6">
        <f>Froto!J21*'Trend Analizi'!$D$4</f>
        <v>0</v>
      </c>
      <c r="E30" s="6">
        <f>Froto!F21*'Trend Analizi'!$D$5</f>
        <v>0</v>
      </c>
      <c r="F30" s="6">
        <f>Froto!B21</f>
        <v>0</v>
      </c>
      <c r="G30" t="str">
        <f t="shared" si="1"/>
        <v/>
      </c>
      <c r="H30" s="25" t="str">
        <f t="shared" si="2"/>
        <v/>
      </c>
      <c r="I30" s="25" t="str">
        <f t="shared" si="3"/>
        <v/>
      </c>
      <c r="J30" s="25" t="str">
        <f t="shared" si="4"/>
        <v/>
      </c>
      <c r="K30" s="25" t="str">
        <f t="shared" si="5"/>
        <v/>
      </c>
      <c r="M30" t="s">
        <v>97</v>
      </c>
      <c r="N30" s="6">
        <f>Froto!R93*'Trend Analizi'!$D$2</f>
        <v>-18422678.039438218</v>
      </c>
      <c r="O30" s="6">
        <f>Froto!N93*'Trend Analizi'!$D$3</f>
        <v>-3178139.6670190278</v>
      </c>
      <c r="P30" s="6">
        <f>Froto!J93*'Trend Analizi'!$D$4</f>
        <v>-4833612.9128759215</v>
      </c>
      <c r="Q30" s="6">
        <f>Froto!F93*'Trend Analizi'!$D$5</f>
        <v>-74265509.992663234</v>
      </c>
      <c r="R30" s="6">
        <f>Froto!B93</f>
        <v>-34930000</v>
      </c>
      <c r="S30">
        <f t="shared" si="6"/>
        <v>100</v>
      </c>
      <c r="T30" s="25">
        <f t="shared" si="7"/>
        <v>17.2512360049687</v>
      </c>
      <c r="U30" s="25">
        <f t="shared" si="8"/>
        <v>26.237297870203228</v>
      </c>
      <c r="V30" s="25">
        <f t="shared" si="9"/>
        <v>403.12005580122428</v>
      </c>
      <c r="W30" s="25">
        <f t="shared" si="10"/>
        <v>189.60327008496728</v>
      </c>
    </row>
    <row r="31" spans="1:23" x14ac:dyDescent="0.25">
      <c r="A31" t="s">
        <v>35</v>
      </c>
      <c r="B31" s="6">
        <f>Froto!R22*'Trend Analizi'!$D$2</f>
        <v>0</v>
      </c>
      <c r="C31" s="6">
        <f>Froto!N22*'Trend Analizi'!$D$3</f>
        <v>0</v>
      </c>
      <c r="D31" s="6">
        <f>Froto!J22*'Trend Analizi'!$D$4</f>
        <v>0</v>
      </c>
      <c r="E31" s="6">
        <f>Froto!F22*'Trend Analizi'!$D$5</f>
        <v>0</v>
      </c>
      <c r="F31" s="6">
        <f>Froto!B22</f>
        <v>0</v>
      </c>
      <c r="G31" t="str">
        <f t="shared" si="1"/>
        <v/>
      </c>
      <c r="H31" s="25" t="str">
        <f t="shared" si="2"/>
        <v/>
      </c>
      <c r="I31" s="25" t="str">
        <f t="shared" si="3"/>
        <v/>
      </c>
      <c r="J31" s="25" t="str">
        <f t="shared" si="4"/>
        <v/>
      </c>
      <c r="K31" s="25" t="str">
        <f t="shared" si="5"/>
        <v/>
      </c>
      <c r="M31" t="s">
        <v>98</v>
      </c>
      <c r="N31" s="6">
        <f>Froto!R94*'Trend Analizi'!$D$2</f>
        <v>0</v>
      </c>
      <c r="O31" s="6">
        <f>Froto!N94*'Trend Analizi'!$D$3</f>
        <v>0</v>
      </c>
      <c r="P31" s="6">
        <f>Froto!J94*'Trend Analizi'!$D$4</f>
        <v>0</v>
      </c>
      <c r="Q31" s="6">
        <f>Froto!F94*'Trend Analizi'!$D$5</f>
        <v>0</v>
      </c>
      <c r="R31" s="6">
        <f>Froto!B94</f>
        <v>0</v>
      </c>
      <c r="S31" t="str">
        <f t="shared" si="6"/>
        <v/>
      </c>
      <c r="T31" s="25" t="str">
        <f t="shared" si="7"/>
        <v/>
      </c>
      <c r="U31" s="25" t="str">
        <f t="shared" si="8"/>
        <v/>
      </c>
      <c r="V31" s="25" t="str">
        <f t="shared" si="9"/>
        <v/>
      </c>
      <c r="W31" s="25" t="str">
        <f t="shared" si="10"/>
        <v/>
      </c>
    </row>
    <row r="32" spans="1:23" x14ac:dyDescent="0.25">
      <c r="A32" t="s">
        <v>28</v>
      </c>
      <c r="B32" s="6">
        <f>Froto!R23*'Trend Analizi'!$D$2</f>
        <v>0</v>
      </c>
      <c r="C32" s="6">
        <f>Froto!N23*'Trend Analizi'!$D$3</f>
        <v>0</v>
      </c>
      <c r="D32" s="6">
        <f>Froto!J23*'Trend Analizi'!$D$4</f>
        <v>0</v>
      </c>
      <c r="E32" s="6">
        <f>Froto!F23*'Trend Analizi'!$D$5</f>
        <v>0</v>
      </c>
      <c r="F32" s="6">
        <f>Froto!B23</f>
        <v>0</v>
      </c>
      <c r="G32" t="str">
        <f t="shared" si="1"/>
        <v/>
      </c>
      <c r="H32" s="25" t="str">
        <f t="shared" si="2"/>
        <v/>
      </c>
      <c r="I32" s="25" t="str">
        <f t="shared" si="3"/>
        <v/>
      </c>
      <c r="J32" s="25" t="str">
        <f t="shared" si="4"/>
        <v/>
      </c>
      <c r="K32" s="25" t="str">
        <f t="shared" si="5"/>
        <v/>
      </c>
      <c r="M32" t="s">
        <v>99</v>
      </c>
      <c r="N32" s="6">
        <f>Froto!R95*'Trend Analizi'!$D$2</f>
        <v>-449217.05206412257</v>
      </c>
      <c r="O32" s="6">
        <f>Froto!N95*'Trend Analizi'!$D$3</f>
        <v>-4152947.2119450318</v>
      </c>
      <c r="P32" s="6">
        <f>Froto!J95*'Trend Analizi'!$D$4</f>
        <v>0</v>
      </c>
      <c r="Q32" s="6">
        <f>Froto!F95*'Trend Analizi'!$D$5</f>
        <v>0</v>
      </c>
      <c r="R32" s="6">
        <f>Froto!B95</f>
        <v>0</v>
      </c>
      <c r="S32">
        <f t="shared" si="6"/>
        <v>100</v>
      </c>
      <c r="T32" s="25">
        <f t="shared" si="7"/>
        <v>924.48565629076518</v>
      </c>
      <c r="U32" s="25">
        <f t="shared" si="8"/>
        <v>0</v>
      </c>
      <c r="V32" s="25">
        <f t="shared" si="9"/>
        <v>0</v>
      </c>
      <c r="W32" s="25">
        <f t="shared" si="10"/>
        <v>0</v>
      </c>
    </row>
    <row r="33" spans="1:23" x14ac:dyDescent="0.25">
      <c r="A33" t="s">
        <v>36</v>
      </c>
      <c r="B33" s="6">
        <f>Froto!R24*'Trend Analizi'!$D$2</f>
        <v>0</v>
      </c>
      <c r="C33" s="6">
        <f>Froto!N24*'Trend Analizi'!$D$3</f>
        <v>443844564.08562368</v>
      </c>
      <c r="D33" s="6">
        <f>Froto!J24*'Trend Analizi'!$D$4</f>
        <v>245127129.02317563</v>
      </c>
      <c r="E33" s="6">
        <f>Froto!F24*'Trend Analizi'!$D$5</f>
        <v>135965930.77035949</v>
      </c>
      <c r="F33" s="6">
        <f>Froto!B24</f>
        <v>164475000</v>
      </c>
      <c r="G33" t="str">
        <f t="shared" si="1"/>
        <v/>
      </c>
      <c r="H33" s="25" t="str">
        <f t="shared" si="2"/>
        <v/>
      </c>
      <c r="I33" s="25" t="str">
        <f t="shared" si="3"/>
        <v/>
      </c>
      <c r="J33" s="25" t="str">
        <f t="shared" si="4"/>
        <v/>
      </c>
      <c r="K33" s="25" t="str">
        <f t="shared" si="5"/>
        <v/>
      </c>
      <c r="M33" t="s">
        <v>100</v>
      </c>
      <c r="N33" s="6">
        <f>Froto!R96*'Trend Analizi'!$D$2</f>
        <v>10902278023.975033</v>
      </c>
      <c r="O33" s="6">
        <f>Froto!N96*'Trend Analizi'!$D$3</f>
        <v>10775420224.563953</v>
      </c>
      <c r="P33" s="6">
        <f>Froto!J96*'Trend Analizi'!$D$4</f>
        <v>17096730731.3249</v>
      </c>
      <c r="Q33" s="6">
        <f>Froto!F96*'Trend Analizi'!$D$5</f>
        <v>18590886836.625092</v>
      </c>
      <c r="R33" s="6">
        <f>Froto!B96</f>
        <v>19126426000</v>
      </c>
      <c r="S33">
        <f t="shared" si="6"/>
        <v>100</v>
      </c>
      <c r="T33" s="25">
        <f t="shared" si="7"/>
        <v>98.836410160040785</v>
      </c>
      <c r="U33" s="25">
        <f t="shared" si="8"/>
        <v>156.81796679306601</v>
      </c>
      <c r="V33" s="25">
        <f t="shared" si="9"/>
        <v>170.52295672282577</v>
      </c>
      <c r="W33" s="25">
        <f t="shared" si="10"/>
        <v>175.43513344586671</v>
      </c>
    </row>
    <row r="34" spans="1:23" x14ac:dyDescent="0.25">
      <c r="A34" t="s">
        <v>37</v>
      </c>
      <c r="B34" s="6">
        <f>Froto!R25*'Trend Analizi'!$D$2</f>
        <v>18746434503.546604</v>
      </c>
      <c r="C34" s="6">
        <f>Froto!N25*'Trend Analizi'!$D$3</f>
        <v>19747855999.207188</v>
      </c>
      <c r="D34" s="6">
        <f>Froto!J25*'Trend Analizi'!$D$4</f>
        <v>15661663423.84782</v>
      </c>
      <c r="E34" s="6">
        <f>Froto!F25*'Trend Analizi'!$D$5</f>
        <v>10180753307.674248</v>
      </c>
      <c r="F34" s="6">
        <f>Froto!B25</f>
        <v>20145190000</v>
      </c>
      <c r="G34">
        <f t="shared" si="1"/>
        <v>100</v>
      </c>
      <c r="H34" s="25">
        <f t="shared" si="2"/>
        <v>105.34193046400971</v>
      </c>
      <c r="I34" s="25">
        <f t="shared" si="3"/>
        <v>83.54475844931909</v>
      </c>
      <c r="J34" s="25">
        <f t="shared" si="4"/>
        <v>54.307678112060017</v>
      </c>
      <c r="K34" s="25">
        <f t="shared" si="5"/>
        <v>107.46144818199306</v>
      </c>
      <c r="M34" t="s">
        <v>101</v>
      </c>
      <c r="N34" s="6">
        <f>Froto!R97*'Trend Analizi'!$D$2</f>
        <v>9469987684.7070503</v>
      </c>
      <c r="O34" s="6">
        <f>Froto!N97*'Trend Analizi'!$D$3</f>
        <v>5277318721.7891121</v>
      </c>
      <c r="P34" s="6">
        <f>Froto!J97*'Trend Analizi'!$D$4</f>
        <v>6599016226.8991852</v>
      </c>
      <c r="Q34" s="6">
        <f>Froto!F97*'Trend Analizi'!$D$5</f>
        <v>11490972795.421864</v>
      </c>
      <c r="R34" s="6">
        <f>Froto!B97</f>
        <v>6694430000</v>
      </c>
      <c r="S34">
        <f t="shared" si="6"/>
        <v>100</v>
      </c>
      <c r="T34" s="25">
        <f t="shared" si="7"/>
        <v>55.72677491768421</v>
      </c>
      <c r="U34" s="25">
        <f t="shared" si="8"/>
        <v>69.683472107950507</v>
      </c>
      <c r="V34" s="25">
        <f t="shared" si="9"/>
        <v>121.3409476126191</v>
      </c>
      <c r="W34" s="25">
        <f t="shared" si="10"/>
        <v>70.691010620961421</v>
      </c>
    </row>
    <row r="35" spans="1:23" x14ac:dyDescent="0.25">
      <c r="A35" t="s">
        <v>38</v>
      </c>
      <c r="B35" s="6">
        <f>Froto!R26*'Trend Analizi'!$D$2</f>
        <v>0</v>
      </c>
      <c r="C35" s="6">
        <f>Froto!N26*'Trend Analizi'!$D$3</f>
        <v>0</v>
      </c>
      <c r="D35" s="6">
        <f>Froto!J26*'Trend Analizi'!$D$4</f>
        <v>0</v>
      </c>
      <c r="E35" s="6">
        <f>Froto!F26*'Trend Analizi'!$D$5</f>
        <v>0</v>
      </c>
      <c r="F35" s="6">
        <f>Froto!B26</f>
        <v>503941000</v>
      </c>
      <c r="G35" t="str">
        <f t="shared" si="1"/>
        <v/>
      </c>
      <c r="H35" s="25" t="str">
        <f t="shared" si="2"/>
        <v/>
      </c>
      <c r="I35" s="25" t="str">
        <f t="shared" si="3"/>
        <v/>
      </c>
      <c r="J35" s="25" t="str">
        <f t="shared" si="4"/>
        <v/>
      </c>
      <c r="K35" s="25" t="str">
        <f t="shared" si="5"/>
        <v/>
      </c>
      <c r="M35" t="s">
        <v>102</v>
      </c>
      <c r="N35" s="6">
        <f>Froto!R98*'Trend Analizi'!$D$2</f>
        <v>-11956079102.354944</v>
      </c>
      <c r="O35" s="6">
        <f>Froto!N98*'Trend Analizi'!$D$3</f>
        <v>-7372175684.659091</v>
      </c>
      <c r="P35" s="6">
        <f>Froto!J98*'Trend Analizi'!$D$4</f>
        <v>-9083475480.4054413</v>
      </c>
      <c r="Q35" s="6">
        <f>Froto!F98*'Trend Analizi'!$D$5</f>
        <v>-12906422680.997799</v>
      </c>
      <c r="R35" s="6">
        <f>Froto!B98</f>
        <v>-10197649000</v>
      </c>
      <c r="S35">
        <f t="shared" si="6"/>
        <v>100</v>
      </c>
      <c r="T35" s="25">
        <f t="shared" si="7"/>
        <v>61.660479338975108</v>
      </c>
      <c r="U35" s="25">
        <f t="shared" si="8"/>
        <v>75.973698422723743</v>
      </c>
      <c r="V35" s="25">
        <f t="shared" si="9"/>
        <v>107.94862237450127</v>
      </c>
      <c r="W35" s="25">
        <f t="shared" si="10"/>
        <v>85.292585576749886</v>
      </c>
    </row>
    <row r="36" spans="1:23" x14ac:dyDescent="0.25">
      <c r="A36" t="s">
        <v>39</v>
      </c>
      <c r="B36" s="6">
        <f>Froto!R27*'Trend Analizi'!$D$2</f>
        <v>3934673043.4104128</v>
      </c>
      <c r="C36" s="6">
        <f>Froto!N27*'Trend Analizi'!$D$3</f>
        <v>3699799690.010571</v>
      </c>
      <c r="D36" s="6">
        <f>Froto!J27*'Trend Analizi'!$D$4</f>
        <v>3218279230.6650009</v>
      </c>
      <c r="E36" s="6">
        <f>Froto!F27*'Trend Analizi'!$D$5</f>
        <v>2939651557.4761553</v>
      </c>
      <c r="F36" s="6">
        <f>Froto!B27</f>
        <v>6950343000</v>
      </c>
      <c r="G36">
        <f t="shared" si="1"/>
        <v>100</v>
      </c>
      <c r="H36" s="25">
        <f t="shared" si="2"/>
        <v>94.030676734546077</v>
      </c>
      <c r="I36" s="25">
        <f t="shared" si="3"/>
        <v>81.792799431068588</v>
      </c>
      <c r="J36" s="25">
        <f t="shared" si="4"/>
        <v>74.711456963351296</v>
      </c>
      <c r="K36" s="25">
        <f t="shared" si="5"/>
        <v>176.64347007536182</v>
      </c>
      <c r="M36" t="s">
        <v>103</v>
      </c>
      <c r="N36" s="6">
        <f>Froto!R99*'Trend Analizi'!$D$2</f>
        <v>-16463327.067669174</v>
      </c>
      <c r="O36" s="6">
        <f>Froto!N99*'Trend Analizi'!$D$3</f>
        <v>-1299743.3932346723</v>
      </c>
      <c r="P36" s="6">
        <f>Froto!J99*'Trend Analizi'!$D$4</f>
        <v>4232523.4483608147</v>
      </c>
      <c r="Q36" s="6">
        <f>Froto!F99*'Trend Analizi'!$D$5</f>
        <v>-69393695.700660303</v>
      </c>
      <c r="R36" s="6">
        <f>Froto!B99</f>
        <v>-13917000</v>
      </c>
      <c r="S36">
        <f t="shared" si="6"/>
        <v>100</v>
      </c>
      <c r="T36" s="25">
        <f t="shared" si="7"/>
        <v>7.8947796389656846</v>
      </c>
      <c r="U36" s="25">
        <f t="shared" si="8"/>
        <v>-25.708797686906689</v>
      </c>
      <c r="V36" s="25">
        <f t="shared" si="9"/>
        <v>421.5046898809187</v>
      </c>
      <c r="W36" s="25">
        <f t="shared" si="10"/>
        <v>84.533338509263572</v>
      </c>
    </row>
    <row r="37" spans="1:23" x14ac:dyDescent="0.25">
      <c r="A37" t="s">
        <v>40</v>
      </c>
      <c r="B37" s="6">
        <f>Froto!R28*'Trend Analizi'!$D$2</f>
        <v>3078451005.4617677</v>
      </c>
      <c r="C37" s="6">
        <f>Froto!N28*'Trend Analizi'!$D$3</f>
        <v>2893914274.4450316</v>
      </c>
      <c r="D37" s="6">
        <f>Froto!J28*'Trend Analizi'!$D$4</f>
        <v>3394007202.1046333</v>
      </c>
      <c r="E37" s="6">
        <f>Froto!F28*'Trend Analizi'!$D$5</f>
        <v>3392813328.9214964</v>
      </c>
      <c r="F37" s="6">
        <f>Froto!B28</f>
        <v>5374582000</v>
      </c>
      <c r="G37">
        <f t="shared" si="1"/>
        <v>100</v>
      </c>
      <c r="H37" s="25">
        <f t="shared" si="2"/>
        <v>94.00553295506954</v>
      </c>
      <c r="I37" s="25">
        <f t="shared" si="3"/>
        <v>110.25048623749439</v>
      </c>
      <c r="J37" s="25">
        <f t="shared" si="4"/>
        <v>110.21170461709443</v>
      </c>
      <c r="K37" s="25">
        <f t="shared" si="5"/>
        <v>174.58721904179899</v>
      </c>
      <c r="M37" s="2" t="s">
        <v>104</v>
      </c>
      <c r="N37" s="7">
        <f>Froto!R100*'Trend Analizi'!$D$2</f>
        <v>8416186606.3271389</v>
      </c>
      <c r="O37" s="7">
        <f>Froto!N100*'Trend Analizi'!$D$3</f>
        <v>8680563261.6939754</v>
      </c>
      <c r="P37" s="7">
        <f>Froto!J100*'Trend Analizi'!$D$4</f>
        <v>14612271477.818644</v>
      </c>
      <c r="Q37" s="7">
        <f>Froto!F100*'Trend Analizi'!$D$5</f>
        <v>17175436951.049156</v>
      </c>
      <c r="R37" s="7">
        <f>Froto!B100</f>
        <v>15623207000</v>
      </c>
      <c r="S37" s="2">
        <f t="shared" si="6"/>
        <v>100</v>
      </c>
      <c r="T37" s="11">
        <f t="shared" si="7"/>
        <v>103.14128794587425</v>
      </c>
      <c r="U37" s="11">
        <f t="shared" si="8"/>
        <v>173.62104907266905</v>
      </c>
      <c r="V37" s="11">
        <f t="shared" si="9"/>
        <v>204.07623730843812</v>
      </c>
      <c r="W37" s="11">
        <f t="shared" si="10"/>
        <v>185.63284930320759</v>
      </c>
    </row>
    <row r="38" spans="1:23" x14ac:dyDescent="0.25">
      <c r="A38" t="s">
        <v>41</v>
      </c>
      <c r="B38" s="6">
        <f>Froto!R29*'Trend Analizi'!$D$2</f>
        <v>1827548777.1315081</v>
      </c>
      <c r="C38" s="6">
        <f>Froto!N29*'Trend Analizi'!$D$3</f>
        <v>920111494.18604648</v>
      </c>
      <c r="D38" s="6">
        <f>Froto!J29*'Trend Analizi'!$D$4</f>
        <v>1296656677.2308939</v>
      </c>
      <c r="E38" s="6">
        <f>Froto!F29*'Trend Analizi'!$D$5</f>
        <v>2908281344.1819515</v>
      </c>
      <c r="F38" s="6">
        <f>Froto!B29</f>
        <v>6474489000</v>
      </c>
      <c r="G38">
        <f t="shared" si="1"/>
        <v>100</v>
      </c>
      <c r="H38" s="25">
        <f t="shared" si="2"/>
        <v>50.346754390339122</v>
      </c>
      <c r="I38" s="25">
        <f t="shared" si="3"/>
        <v>70.950592041986752</v>
      </c>
      <c r="J38" s="25">
        <f t="shared" si="4"/>
        <v>159.13563460378575</v>
      </c>
      <c r="K38" s="25">
        <f t="shared" si="5"/>
        <v>354.27174809321673</v>
      </c>
      <c r="M38" t="s">
        <v>105</v>
      </c>
      <c r="N38" s="6">
        <f>Froto!R101*'Trend Analizi'!$D$2</f>
        <v>-372353147.11306572</v>
      </c>
      <c r="O38" s="6">
        <f>Froto!N101*'Trend Analizi'!$D$3</f>
        <v>41444899.775369979</v>
      </c>
      <c r="P38" s="6">
        <f>Froto!J101*'Trend Analizi'!$D$4</f>
        <v>307953426.66338187</v>
      </c>
      <c r="Q38" s="6">
        <f>Froto!F101*'Trend Analizi'!$D$5</f>
        <v>225886889.44974321</v>
      </c>
      <c r="R38" s="6">
        <f>Froto!B101</f>
        <v>2990736000</v>
      </c>
      <c r="S38">
        <f t="shared" si="6"/>
        <v>100</v>
      </c>
      <c r="T38" s="25">
        <f t="shared" si="7"/>
        <v>-11.130535647865804</v>
      </c>
      <c r="U38" s="25">
        <f t="shared" si="8"/>
        <v>-82.704666000814342</v>
      </c>
      <c r="V38" s="25">
        <f t="shared" si="9"/>
        <v>-60.664691892922882</v>
      </c>
      <c r="W38" s="25">
        <f t="shared" si="10"/>
        <v>-803.19879748239578</v>
      </c>
    </row>
    <row r="39" spans="1:23" x14ac:dyDescent="0.25">
      <c r="A39" s="2" t="s">
        <v>42</v>
      </c>
      <c r="B39" s="7">
        <f>Froto!R30*'Trend Analizi'!$D$2</f>
        <v>63007183722.513832</v>
      </c>
      <c r="C39" s="7">
        <f>Froto!N30*'Trend Analizi'!$D$3</f>
        <v>73027649362.843552</v>
      </c>
      <c r="D39" s="7">
        <f>Froto!J30*'Trend Analizi'!$D$4</f>
        <v>86603757198.18045</v>
      </c>
      <c r="E39" s="7">
        <f>Froto!F30*'Trend Analizi'!$D$5</f>
        <v>84609915925.722672</v>
      </c>
      <c r="F39" s="7">
        <f>Froto!B30</f>
        <v>96052247000</v>
      </c>
      <c r="G39" s="2">
        <f t="shared" si="1"/>
        <v>100</v>
      </c>
      <c r="H39" s="11">
        <f t="shared" si="2"/>
        <v>115.9036875611839</v>
      </c>
      <c r="I39" s="11">
        <f t="shared" si="3"/>
        <v>137.45060813952082</v>
      </c>
      <c r="J39" s="11">
        <f t="shared" si="4"/>
        <v>134.28614155863266</v>
      </c>
      <c r="K39" s="11">
        <f t="shared" si="5"/>
        <v>152.44650105774915</v>
      </c>
      <c r="M39" t="s">
        <v>106</v>
      </c>
      <c r="N39" s="6">
        <f>Froto!R102*'Trend Analizi'!$D$2</f>
        <v>-81093235.70719251</v>
      </c>
      <c r="O39" s="6">
        <f>Froto!N102*'Trend Analizi'!$D$3</f>
        <v>-94551880.681818187</v>
      </c>
      <c r="P39" s="6">
        <f>Froto!J102*'Trend Analizi'!$D$4</f>
        <v>-141554790.52211097</v>
      </c>
      <c r="Q39" s="6">
        <f>Froto!F102*'Trend Analizi'!$D$5</f>
        <v>-152145336.75715333</v>
      </c>
      <c r="R39" s="6">
        <f>Froto!B102</f>
        <v>-94210000</v>
      </c>
      <c r="S39">
        <f t="shared" si="6"/>
        <v>100</v>
      </c>
      <c r="T39" s="25">
        <f t="shared" si="7"/>
        <v>116.59650753513091</v>
      </c>
      <c r="U39" s="25">
        <f t="shared" si="8"/>
        <v>174.55807415704817</v>
      </c>
      <c r="V39" s="25">
        <f t="shared" si="9"/>
        <v>187.61779010337222</v>
      </c>
      <c r="W39" s="25">
        <f t="shared" si="10"/>
        <v>116.17491789348358</v>
      </c>
    </row>
    <row r="40" spans="1:23" x14ac:dyDescent="0.25">
      <c r="A40" t="s">
        <v>43</v>
      </c>
      <c r="B40" s="6">
        <f>Froto!R31*'Trend Analizi'!$D$2</f>
        <v>0</v>
      </c>
      <c r="C40" s="6">
        <f>Froto!N31*'Trend Analizi'!$D$3</f>
        <v>0</v>
      </c>
      <c r="D40" s="6">
        <f>Froto!J31*'Trend Analizi'!$D$4</f>
        <v>0</v>
      </c>
      <c r="E40" s="6">
        <f>Froto!F31*'Trend Analizi'!$D$5</f>
        <v>0</v>
      </c>
      <c r="F40" s="6">
        <f>Froto!B31</f>
        <v>0</v>
      </c>
      <c r="G40" t="str">
        <f t="shared" si="1"/>
        <v/>
      </c>
      <c r="H40" s="25" t="str">
        <f t="shared" si="2"/>
        <v/>
      </c>
      <c r="I40" s="25" t="str">
        <f t="shared" si="3"/>
        <v/>
      </c>
      <c r="J40" s="25" t="str">
        <f t="shared" si="4"/>
        <v/>
      </c>
      <c r="K40" s="25" t="str">
        <f t="shared" si="5"/>
        <v/>
      </c>
      <c r="M40" t="s">
        <v>107</v>
      </c>
      <c r="N40" s="6">
        <f>Froto!R103*'Trend Analizi'!$D$2</f>
        <v>-291259911.40587318</v>
      </c>
      <c r="O40" s="6">
        <f>Froto!N103*'Trend Analizi'!$D$3</f>
        <v>135996780.45718816</v>
      </c>
      <c r="P40" s="6">
        <f>Froto!J103*'Trend Analizi'!$D$4</f>
        <v>449508217.18549281</v>
      </c>
      <c r="Q40" s="6">
        <f>Froto!F103*'Trend Analizi'!$D$5</f>
        <v>378032226.20689654</v>
      </c>
      <c r="R40" s="6">
        <f>Froto!B103</f>
        <v>3084946000</v>
      </c>
      <c r="S40">
        <f t="shared" si="6"/>
        <v>100</v>
      </c>
      <c r="T40" s="25">
        <f t="shared" si="7"/>
        <v>-46.692584571886201</v>
      </c>
      <c r="U40" s="25">
        <f t="shared" si="8"/>
        <v>-154.33233328121813</v>
      </c>
      <c r="V40" s="25">
        <f t="shared" si="9"/>
        <v>-129.79205561870319</v>
      </c>
      <c r="W40" s="25">
        <f t="shared" si="10"/>
        <v>-1059.1728827731122</v>
      </c>
    </row>
    <row r="41" spans="1:23" x14ac:dyDescent="0.25">
      <c r="A41" s="2" t="s">
        <v>44</v>
      </c>
      <c r="B41" s="7">
        <f>Froto!R32*'Trend Analizi'!$D$2</f>
        <v>34501838507.306</v>
      </c>
      <c r="C41" s="7">
        <f>Froto!N32*'Trend Analizi'!$D$3</f>
        <v>38482067942.851479</v>
      </c>
      <c r="D41" s="7">
        <f>Froto!J32*'Trend Analizi'!$D$4</f>
        <v>44390922887.694229</v>
      </c>
      <c r="E41" s="7">
        <f>Froto!F32*'Trend Analizi'!$D$5</f>
        <v>41090400226.324287</v>
      </c>
      <c r="F41" s="7">
        <f>Froto!B32</f>
        <v>46205980000</v>
      </c>
      <c r="G41" s="2">
        <f t="shared" si="1"/>
        <v>100</v>
      </c>
      <c r="H41" s="11">
        <f t="shared" si="2"/>
        <v>111.53628214537797</v>
      </c>
      <c r="I41" s="11">
        <f t="shared" si="3"/>
        <v>128.66248527102158</v>
      </c>
      <c r="J41" s="11">
        <f t="shared" si="4"/>
        <v>119.09626270386464</v>
      </c>
      <c r="K41" s="11">
        <f t="shared" si="5"/>
        <v>133.92324003318132</v>
      </c>
      <c r="M41" t="s">
        <v>108</v>
      </c>
      <c r="N41" s="6">
        <f>Froto!R104*'Trend Analizi'!$D$2</f>
        <v>0</v>
      </c>
      <c r="O41" s="6">
        <f>Froto!N104*'Trend Analizi'!$D$3</f>
        <v>0</v>
      </c>
      <c r="P41" s="6">
        <f>Froto!J104*'Trend Analizi'!$D$4</f>
        <v>0</v>
      </c>
      <c r="Q41" s="6">
        <f>Froto!F104*'Trend Analizi'!$D$5</f>
        <v>0</v>
      </c>
      <c r="R41" s="6">
        <f>Froto!B104</f>
        <v>0</v>
      </c>
      <c r="S41" t="str">
        <f t="shared" si="6"/>
        <v/>
      </c>
      <c r="T41" s="25" t="str">
        <f t="shared" si="7"/>
        <v/>
      </c>
      <c r="U41" s="25" t="str">
        <f t="shared" si="8"/>
        <v/>
      </c>
      <c r="V41" s="25" t="str">
        <f t="shared" si="9"/>
        <v/>
      </c>
      <c r="W41" s="25" t="str">
        <f t="shared" si="10"/>
        <v/>
      </c>
    </row>
    <row r="42" spans="1:23" x14ac:dyDescent="0.25">
      <c r="A42" t="s">
        <v>45</v>
      </c>
      <c r="B42" s="6">
        <f>Froto!R33*'Trend Analizi'!$D$2</f>
        <v>13401305936.94141</v>
      </c>
      <c r="C42" s="6">
        <f>Froto!N33*'Trend Analizi'!$D$3</f>
        <v>16238379692.785412</v>
      </c>
      <c r="D42" s="6">
        <f>Froto!J33*'Trend Analizi'!$D$4</f>
        <v>13988244581.607336</v>
      </c>
      <c r="E42" s="6">
        <f>Froto!F33*'Trend Analizi'!$D$5</f>
        <v>16325558438.356565</v>
      </c>
      <c r="F42" s="6">
        <f>Froto!B33</f>
        <v>13218603000</v>
      </c>
      <c r="G42">
        <f t="shared" si="1"/>
        <v>100</v>
      </c>
      <c r="H42" s="25">
        <f t="shared" si="2"/>
        <v>121.17012900976655</v>
      </c>
      <c r="I42" s="25">
        <f t="shared" si="3"/>
        <v>104.37971230138101</v>
      </c>
      <c r="J42" s="25">
        <f t="shared" si="4"/>
        <v>121.82065326450238</v>
      </c>
      <c r="K42" s="25">
        <f t="shared" si="5"/>
        <v>98.636678113304015</v>
      </c>
      <c r="M42" s="2" t="s">
        <v>109</v>
      </c>
      <c r="N42" s="7">
        <f>Froto!R105*'Trend Analizi'!$D$2</f>
        <v>8043833459.2140732</v>
      </c>
      <c r="O42" s="7">
        <f>Froto!N105*'Trend Analizi'!$D$3</f>
        <v>8722008161.4693451</v>
      </c>
      <c r="P42" s="7">
        <f>Froto!J105*'Trend Analizi'!$D$4</f>
        <v>14920224904.482025</v>
      </c>
      <c r="Q42" s="7">
        <f>Froto!F105*'Trend Analizi'!$D$5</f>
        <v>17401323840.498898</v>
      </c>
      <c r="R42" s="7">
        <f>Froto!B105</f>
        <v>18613943000</v>
      </c>
      <c r="S42" s="2">
        <f t="shared" si="6"/>
        <v>100</v>
      </c>
      <c r="T42" s="11">
        <f t="shared" si="7"/>
        <v>108.43098885244117</v>
      </c>
      <c r="U42" s="11">
        <f t="shared" si="8"/>
        <v>185.48649695613929</v>
      </c>
      <c r="V42" s="11">
        <f t="shared" si="9"/>
        <v>216.33122973929773</v>
      </c>
      <c r="W42" s="11">
        <f t="shared" si="10"/>
        <v>231.40636979098628</v>
      </c>
    </row>
    <row r="43" spans="1:23" x14ac:dyDescent="0.25">
      <c r="A43" t="s">
        <v>46</v>
      </c>
      <c r="B43" s="6">
        <f>Froto!R34*'Trend Analizi'!$D$2</f>
        <v>0</v>
      </c>
      <c r="C43" s="6">
        <f>Froto!N34*'Trend Analizi'!$D$3</f>
        <v>0</v>
      </c>
      <c r="D43" s="6">
        <f>Froto!J34*'Trend Analizi'!$D$4</f>
        <v>0</v>
      </c>
      <c r="E43" s="6">
        <f>Froto!F34*'Trend Analizi'!$D$5</f>
        <v>0</v>
      </c>
      <c r="F43" s="6">
        <f>Froto!B34</f>
        <v>0</v>
      </c>
      <c r="G43" t="str">
        <f t="shared" si="1"/>
        <v/>
      </c>
      <c r="H43" s="25" t="str">
        <f t="shared" si="2"/>
        <v/>
      </c>
      <c r="I43" s="25" t="str">
        <f t="shared" si="3"/>
        <v/>
      </c>
      <c r="J43" s="25" t="str">
        <f t="shared" si="4"/>
        <v/>
      </c>
      <c r="K43" s="25" t="str">
        <f t="shared" si="5"/>
        <v/>
      </c>
      <c r="M43" t="s">
        <v>110</v>
      </c>
      <c r="N43" s="6">
        <f>Froto!R106*'Trend Analizi'!$D$2</f>
        <v>0</v>
      </c>
      <c r="O43" s="6">
        <f>Froto!N106*'Trend Analizi'!$D$3</f>
        <v>0</v>
      </c>
      <c r="P43" s="6">
        <f>Froto!J106*'Trend Analizi'!$D$4</f>
        <v>0</v>
      </c>
      <c r="Q43" s="6">
        <f>Froto!F106*'Trend Analizi'!$D$5</f>
        <v>0</v>
      </c>
      <c r="R43" s="6">
        <f>Froto!B106</f>
        <v>0</v>
      </c>
      <c r="S43" t="str">
        <f t="shared" si="6"/>
        <v/>
      </c>
      <c r="T43" s="25" t="str">
        <f t="shared" si="7"/>
        <v/>
      </c>
      <c r="U43" s="25" t="str">
        <f t="shared" si="8"/>
        <v/>
      </c>
      <c r="V43" s="25" t="str">
        <f t="shared" si="9"/>
        <v/>
      </c>
      <c r="W43" s="25" t="str">
        <f t="shared" si="10"/>
        <v/>
      </c>
    </row>
    <row r="44" spans="1:23" x14ac:dyDescent="0.25">
      <c r="A44" t="s">
        <v>47</v>
      </c>
      <c r="B44" s="6">
        <f>Froto!R35*'Trend Analizi'!$D$2</f>
        <v>19224038250.17733</v>
      </c>
      <c r="C44" s="6">
        <f>Froto!N35*'Trend Analizi'!$D$3</f>
        <v>20232464433.139534</v>
      </c>
      <c r="D44" s="6">
        <f>Froto!J35*'Trend Analizi'!$D$4</f>
        <v>27556903819.786369</v>
      </c>
      <c r="E44" s="6">
        <f>Froto!F35*'Trend Analizi'!$D$5</f>
        <v>22497872315.891415</v>
      </c>
      <c r="F44" s="6">
        <f>Froto!B35</f>
        <v>30146246000</v>
      </c>
      <c r="G44">
        <f t="shared" si="1"/>
        <v>100</v>
      </c>
      <c r="H44" s="25">
        <f t="shared" si="2"/>
        <v>105.24565218732282</v>
      </c>
      <c r="I44" s="25">
        <f t="shared" si="3"/>
        <v>143.34607256377143</v>
      </c>
      <c r="J44" s="25">
        <f t="shared" si="4"/>
        <v>117.02989779311268</v>
      </c>
      <c r="K44" s="25">
        <f t="shared" si="5"/>
        <v>156.8153663017286</v>
      </c>
      <c r="M44" t="s">
        <v>111</v>
      </c>
      <c r="N44" s="6">
        <f>Froto!R107*'Trend Analizi'!$D$2</f>
        <v>0</v>
      </c>
      <c r="O44" s="6">
        <f>Froto!N107*'Trend Analizi'!$D$3</f>
        <v>0</v>
      </c>
      <c r="P44" s="6">
        <f>Froto!J107*'Trend Analizi'!$D$4</f>
        <v>0</v>
      </c>
      <c r="Q44" s="6">
        <f>Froto!F107*'Trend Analizi'!$D$5</f>
        <v>0</v>
      </c>
      <c r="R44" s="6">
        <f>Froto!B107</f>
        <v>0</v>
      </c>
      <c r="S44" t="str">
        <f t="shared" si="6"/>
        <v/>
      </c>
      <c r="T44" s="25" t="str">
        <f t="shared" si="7"/>
        <v/>
      </c>
      <c r="U44" s="25" t="str">
        <f t="shared" si="8"/>
        <v/>
      </c>
      <c r="V44" s="25" t="str">
        <f t="shared" si="9"/>
        <v/>
      </c>
      <c r="W44" s="25" t="str">
        <f t="shared" si="10"/>
        <v/>
      </c>
    </row>
    <row r="45" spans="1:23" x14ac:dyDescent="0.25">
      <c r="A45" t="s">
        <v>48</v>
      </c>
      <c r="B45" s="6">
        <f>Froto!R36*'Trend Analizi'!$D$2</f>
        <v>315321697.12015891</v>
      </c>
      <c r="C45" s="6">
        <f>Froto!N36*'Trend Analizi'!$D$3</f>
        <v>334541486.1257928</v>
      </c>
      <c r="D45" s="6">
        <f>Froto!J36*'Trend Analizi'!$D$4</f>
        <v>626683782.77931273</v>
      </c>
      <c r="E45" s="6">
        <f>Froto!F36*'Trend Analizi'!$D$5</f>
        <v>512096093.1181218</v>
      </c>
      <c r="F45" s="6">
        <f>Froto!B36</f>
        <v>735355000</v>
      </c>
      <c r="G45">
        <f t="shared" si="1"/>
        <v>100</v>
      </c>
      <c r="H45" s="25">
        <f t="shared" si="2"/>
        <v>106.09529543357425</v>
      </c>
      <c r="I45" s="25">
        <f t="shared" si="3"/>
        <v>198.74426292349423</v>
      </c>
      <c r="J45" s="25">
        <f t="shared" si="4"/>
        <v>162.40433113074948</v>
      </c>
      <c r="K45" s="25">
        <f t="shared" si="5"/>
        <v>233.20786571809552</v>
      </c>
      <c r="M45" s="2" t="s">
        <v>112</v>
      </c>
      <c r="N45" s="7">
        <f>Froto!R108*'Trend Analizi'!$D$2</f>
        <v>8043833459.2140732</v>
      </c>
      <c r="O45" s="7">
        <f>Froto!N108*'Trend Analizi'!$D$3</f>
        <v>8722008161.4693451</v>
      </c>
      <c r="P45" s="7">
        <f>Froto!J108*'Trend Analizi'!$D$4</f>
        <v>14920224904.482025</v>
      </c>
      <c r="Q45" s="7">
        <f>Froto!F108*'Trend Analizi'!$D$5</f>
        <v>17401323840.498898</v>
      </c>
      <c r="R45" s="7">
        <f>Froto!B108</f>
        <v>18613943000</v>
      </c>
      <c r="S45" s="2">
        <f t="shared" si="6"/>
        <v>100</v>
      </c>
      <c r="T45" s="11">
        <f t="shared" si="7"/>
        <v>108.43098885244117</v>
      </c>
      <c r="U45" s="11">
        <f t="shared" si="8"/>
        <v>185.48649695613929</v>
      </c>
      <c r="V45" s="11">
        <f t="shared" si="9"/>
        <v>216.33122973929773</v>
      </c>
      <c r="W45" s="11">
        <f t="shared" si="10"/>
        <v>231.40636979098628</v>
      </c>
    </row>
    <row r="46" spans="1:23" x14ac:dyDescent="0.25">
      <c r="A46" t="s">
        <v>49</v>
      </c>
      <c r="B46" s="6">
        <f>Froto!R37*'Trend Analizi'!$D$2</f>
        <v>0</v>
      </c>
      <c r="C46" s="6">
        <f>Froto!N37*'Trend Analizi'!$D$3</f>
        <v>0</v>
      </c>
      <c r="D46" s="6">
        <f>Froto!J37*'Trend Analizi'!$D$4</f>
        <v>0</v>
      </c>
      <c r="E46" s="6">
        <f>Froto!F37*'Trend Analizi'!$D$5</f>
        <v>0</v>
      </c>
      <c r="F46" s="6">
        <f>Froto!B37</f>
        <v>0</v>
      </c>
      <c r="G46" t="str">
        <f t="shared" si="1"/>
        <v/>
      </c>
      <c r="H46" s="25" t="str">
        <f t="shared" si="2"/>
        <v/>
      </c>
      <c r="I46" s="25" t="str">
        <f t="shared" si="3"/>
        <v/>
      </c>
      <c r="J46" s="25" t="str">
        <f t="shared" si="4"/>
        <v/>
      </c>
      <c r="K46" s="25" t="str">
        <f t="shared" si="5"/>
        <v/>
      </c>
    </row>
    <row r="47" spans="1:23" x14ac:dyDescent="0.25">
      <c r="A47" t="s">
        <v>50</v>
      </c>
      <c r="B47" s="6">
        <f>Froto!R38*'Trend Analizi'!$D$2</f>
        <v>0</v>
      </c>
      <c r="C47" s="6">
        <f>Froto!N38*'Trend Analizi'!$D$3</f>
        <v>0</v>
      </c>
      <c r="D47" s="6">
        <f>Froto!J38*'Trend Analizi'!$D$4</f>
        <v>0</v>
      </c>
      <c r="E47" s="6">
        <f>Froto!F38*'Trend Analizi'!$D$5</f>
        <v>0</v>
      </c>
      <c r="F47" s="6">
        <f>Froto!B38</f>
        <v>0</v>
      </c>
      <c r="G47" t="str">
        <f t="shared" si="1"/>
        <v/>
      </c>
      <c r="H47" s="25" t="str">
        <f t="shared" si="2"/>
        <v/>
      </c>
      <c r="I47" s="25" t="str">
        <f t="shared" si="3"/>
        <v/>
      </c>
      <c r="J47" s="25" t="str">
        <f t="shared" si="4"/>
        <v/>
      </c>
      <c r="K47" s="25" t="str">
        <f t="shared" si="5"/>
        <v/>
      </c>
    </row>
    <row r="48" spans="1:23" x14ac:dyDescent="0.25">
      <c r="A48" t="s">
        <v>51</v>
      </c>
      <c r="B48" s="6">
        <f>Froto!R39*'Trend Analizi'!$D$2</f>
        <v>0</v>
      </c>
      <c r="C48" s="6">
        <f>Froto!N39*'Trend Analizi'!$D$3</f>
        <v>0</v>
      </c>
      <c r="D48" s="6">
        <f>Froto!J39*'Trend Analizi'!$D$4</f>
        <v>0</v>
      </c>
      <c r="E48" s="6">
        <f>Froto!F39*'Trend Analizi'!$D$5</f>
        <v>0</v>
      </c>
      <c r="F48" s="6">
        <f>Froto!B39</f>
        <v>0</v>
      </c>
      <c r="G48" t="str">
        <f t="shared" si="1"/>
        <v/>
      </c>
      <c r="H48" s="25" t="str">
        <f t="shared" si="2"/>
        <v/>
      </c>
      <c r="I48" s="25" t="str">
        <f t="shared" si="3"/>
        <v/>
      </c>
      <c r="J48" s="25" t="str">
        <f t="shared" si="4"/>
        <v/>
      </c>
      <c r="K48" s="25" t="str">
        <f t="shared" si="5"/>
        <v/>
      </c>
    </row>
    <row r="49" spans="1:11" x14ac:dyDescent="0.25">
      <c r="A49" t="s">
        <v>52</v>
      </c>
      <c r="B49" s="6">
        <f>Froto!R40*'Trend Analizi'!$D$2</f>
        <v>63172342.672719538</v>
      </c>
      <c r="C49" s="6">
        <f>Froto!N40*'Trend Analizi'!$D$3</f>
        <v>106071524.1807611</v>
      </c>
      <c r="D49" s="6">
        <f>Froto!J40*'Trend Analizi'!$D$4</f>
        <v>153071522.39252469</v>
      </c>
      <c r="E49" s="6">
        <f>Froto!F40*'Trend Analizi'!$D$5</f>
        <v>127983985.0330154</v>
      </c>
      <c r="F49" s="6">
        <f>Froto!B40</f>
        <v>151546000</v>
      </c>
      <c r="G49">
        <f t="shared" si="1"/>
        <v>100</v>
      </c>
      <c r="H49" s="25">
        <f t="shared" si="2"/>
        <v>167.90816945050105</v>
      </c>
      <c r="I49" s="25">
        <f t="shared" si="3"/>
        <v>242.30781369871119</v>
      </c>
      <c r="J49" s="25">
        <f t="shared" si="4"/>
        <v>202.59496421728275</v>
      </c>
      <c r="K49" s="25">
        <f t="shared" si="5"/>
        <v>239.89295566435263</v>
      </c>
    </row>
    <row r="50" spans="1:11" x14ac:dyDescent="0.25">
      <c r="A50" t="s">
        <v>53</v>
      </c>
      <c r="B50" s="6">
        <f>Froto!R41*'Trend Analizi'!$D$2</f>
        <v>40764058.022414528</v>
      </c>
      <c r="C50" s="6">
        <f>Froto!N41*'Trend Analizi'!$D$3</f>
        <v>51090598.176532768</v>
      </c>
      <c r="D50" s="6">
        <f>Froto!J41*'Trend Analizi'!$D$4</f>
        <v>62427942.492125228</v>
      </c>
      <c r="E50" s="6">
        <f>Froto!F41*'Trend Analizi'!$D$5</f>
        <v>25911171.386647101</v>
      </c>
      <c r="F50" s="6">
        <f>Froto!B41</f>
        <v>0</v>
      </c>
      <c r="G50">
        <f t="shared" si="1"/>
        <v>100</v>
      </c>
      <c r="H50" s="25">
        <f t="shared" si="2"/>
        <v>125.33246358456287</v>
      </c>
      <c r="I50" s="25">
        <f t="shared" si="3"/>
        <v>153.14457274542832</v>
      </c>
      <c r="J50" s="25">
        <f t="shared" si="4"/>
        <v>63.563768289211012</v>
      </c>
      <c r="K50" s="25">
        <f t="shared" si="5"/>
        <v>0</v>
      </c>
    </row>
    <row r="51" spans="1:11" x14ac:dyDescent="0.25">
      <c r="A51" t="s">
        <v>54</v>
      </c>
      <c r="B51" s="6">
        <f>Froto!R42*'Trend Analizi'!$D$2</f>
        <v>741815056.81656981</v>
      </c>
      <c r="C51" s="6">
        <f>Froto!N42*'Trend Analizi'!$D$3</f>
        <v>539046316.46405923</v>
      </c>
      <c r="D51" s="6">
        <f>Froto!J42*'Trend Analizi'!$D$4</f>
        <v>971862075.3339082</v>
      </c>
      <c r="E51" s="6">
        <f>Froto!F42*'Trend Analizi'!$D$5</f>
        <v>771425298.69405723</v>
      </c>
      <c r="F51" s="6">
        <f>Froto!B42</f>
        <v>575911000</v>
      </c>
      <c r="G51">
        <f t="shared" si="1"/>
        <v>100</v>
      </c>
      <c r="H51" s="25">
        <f t="shared" si="2"/>
        <v>72.665863480491524</v>
      </c>
      <c r="I51" s="25">
        <f t="shared" si="3"/>
        <v>131.0113708805755</v>
      </c>
      <c r="J51" s="25">
        <f t="shared" si="4"/>
        <v>103.99159353876652</v>
      </c>
      <c r="K51" s="25">
        <f t="shared" si="5"/>
        <v>77.635388323265957</v>
      </c>
    </row>
    <row r="52" spans="1:11" x14ac:dyDescent="0.25">
      <c r="A52" t="s">
        <v>55</v>
      </c>
      <c r="B52" s="6">
        <f>Froto!R43*'Trend Analizi'!$D$2</f>
        <v>715421165.55539799</v>
      </c>
      <c r="C52" s="6">
        <f>Froto!N43*'Trend Analizi'!$D$3</f>
        <v>980473891.97938693</v>
      </c>
      <c r="D52" s="6">
        <f>Froto!J43*'Trend Analizi'!$D$4</f>
        <v>1031729163.3026555</v>
      </c>
      <c r="E52" s="6">
        <f>Froto!F43*'Trend Analizi'!$D$5</f>
        <v>829552923.84446073</v>
      </c>
      <c r="F52" s="6">
        <f>Froto!B43</f>
        <v>1378319000</v>
      </c>
      <c r="G52">
        <f t="shared" si="1"/>
        <v>100</v>
      </c>
      <c r="H52" s="25">
        <f t="shared" si="2"/>
        <v>137.04848824513354</v>
      </c>
      <c r="I52" s="25">
        <f t="shared" si="3"/>
        <v>144.2128375530657</v>
      </c>
      <c r="J52" s="25">
        <f t="shared" si="4"/>
        <v>115.95308662701636</v>
      </c>
      <c r="K52" s="25">
        <f t="shared" si="5"/>
        <v>192.6584040786631</v>
      </c>
    </row>
    <row r="53" spans="1:11" x14ac:dyDescent="0.25">
      <c r="A53" t="s">
        <v>31</v>
      </c>
      <c r="B53" s="6">
        <f>Froto!R44*'Trend Analizi'!$D$2</f>
        <v>34501838507.306</v>
      </c>
      <c r="C53" s="6">
        <f>Froto!N44*'Trend Analizi'!$D$3</f>
        <v>38482067942.851479</v>
      </c>
      <c r="D53" s="6">
        <f>Froto!J44*'Trend Analizi'!$D$4</f>
        <v>44390922887.694229</v>
      </c>
      <c r="E53" s="6">
        <f>Froto!F44*'Trend Analizi'!$D$5</f>
        <v>41090400226.324287</v>
      </c>
      <c r="F53" s="6">
        <f>Froto!B44</f>
        <v>46205980000</v>
      </c>
      <c r="G53">
        <f t="shared" si="1"/>
        <v>100</v>
      </c>
      <c r="H53" s="25">
        <f t="shared" si="2"/>
        <v>111.53628214537797</v>
      </c>
      <c r="I53" s="25">
        <f t="shared" si="3"/>
        <v>128.66248527102158</v>
      </c>
      <c r="J53" s="25">
        <f t="shared" si="4"/>
        <v>119.09626270386464</v>
      </c>
      <c r="K53" s="25">
        <f t="shared" si="5"/>
        <v>133.92324003318132</v>
      </c>
    </row>
    <row r="54" spans="1:11" x14ac:dyDescent="0.25">
      <c r="A54" t="s">
        <v>56</v>
      </c>
      <c r="B54" s="6">
        <f>Froto!R45*'Trend Analizi'!$D$2</f>
        <v>0</v>
      </c>
      <c r="C54" s="6">
        <f>Froto!N45*'Trend Analizi'!$D$3</f>
        <v>0</v>
      </c>
      <c r="D54" s="6">
        <f>Froto!J45*'Trend Analizi'!$D$4</f>
        <v>0</v>
      </c>
      <c r="E54" s="6">
        <f>Froto!F45*'Trend Analizi'!$D$5</f>
        <v>0</v>
      </c>
      <c r="F54" s="6">
        <f>Froto!B45</f>
        <v>0</v>
      </c>
      <c r="G54" t="str">
        <f t="shared" si="1"/>
        <v/>
      </c>
      <c r="H54" s="25" t="str">
        <f t="shared" si="2"/>
        <v/>
      </c>
      <c r="I54" s="25" t="str">
        <f t="shared" si="3"/>
        <v/>
      </c>
      <c r="J54" s="25" t="str">
        <f t="shared" si="4"/>
        <v/>
      </c>
      <c r="K54" s="25" t="str">
        <f t="shared" si="5"/>
        <v/>
      </c>
    </row>
    <row r="55" spans="1:11" x14ac:dyDescent="0.25">
      <c r="A55" s="2" t="s">
        <v>57</v>
      </c>
      <c r="B55" s="7">
        <f>Froto!R46*'Trend Analizi'!$D$2</f>
        <v>9899926634.7708893</v>
      </c>
      <c r="C55" s="7">
        <f>Froto!N46*'Trend Analizi'!$D$3</f>
        <v>13781197003.171247</v>
      </c>
      <c r="D55" s="7">
        <f>Froto!J46*'Trend Analizi'!$D$4</f>
        <v>17159489450.859627</v>
      </c>
      <c r="E55" s="7">
        <f>Froto!F46*'Trend Analizi'!$D$5</f>
        <v>23453853170.44754</v>
      </c>
      <c r="F55" s="7">
        <f>Froto!B46</f>
        <v>28444093000</v>
      </c>
      <c r="G55" s="2">
        <f t="shared" si="1"/>
        <v>100</v>
      </c>
      <c r="H55" s="11">
        <f t="shared" si="2"/>
        <v>139.20504172999037</v>
      </c>
      <c r="I55" s="11">
        <f t="shared" si="3"/>
        <v>173.32946075167297</v>
      </c>
      <c r="J55" s="11">
        <f t="shared" si="4"/>
        <v>236.9093634297455</v>
      </c>
      <c r="K55" s="11">
        <f t="shared" si="5"/>
        <v>287.31619990089223</v>
      </c>
    </row>
    <row r="56" spans="1:11" x14ac:dyDescent="0.25">
      <c r="A56" t="s">
        <v>45</v>
      </c>
      <c r="B56" s="6">
        <f>Froto!R47*'Trend Analizi'!$D$2</f>
        <v>8021649783.0897999</v>
      </c>
      <c r="C56" s="6">
        <f>Froto!N47*'Trend Analizi'!$D$3</f>
        <v>11394725695.560253</v>
      </c>
      <c r="D56" s="6">
        <f>Froto!J47*'Trend Analizi'!$D$4</f>
        <v>14753342551.375227</v>
      </c>
      <c r="E56" s="6">
        <f>Froto!F47*'Trend Analizi'!$D$5</f>
        <v>21352363254.115921</v>
      </c>
      <c r="F56" s="6">
        <f>Froto!B47</f>
        <v>24699772000</v>
      </c>
      <c r="G56">
        <f t="shared" si="1"/>
        <v>100</v>
      </c>
      <c r="H56" s="25">
        <f t="shared" si="2"/>
        <v>142.04965317210849</v>
      </c>
      <c r="I56" s="25">
        <f t="shared" si="3"/>
        <v>183.91905593380937</v>
      </c>
      <c r="J56" s="25">
        <f t="shared" si="4"/>
        <v>266.18418693780671</v>
      </c>
      <c r="K56" s="25">
        <f t="shared" si="5"/>
        <v>307.91386644763338</v>
      </c>
    </row>
    <row r="57" spans="1:11" x14ac:dyDescent="0.25">
      <c r="A57" t="s">
        <v>46</v>
      </c>
      <c r="B57" s="6">
        <f>Froto!R48*'Trend Analizi'!$D$2</f>
        <v>0</v>
      </c>
      <c r="C57" s="6">
        <f>Froto!N48*'Trend Analizi'!$D$3</f>
        <v>0</v>
      </c>
      <c r="D57" s="6">
        <f>Froto!J48*'Trend Analizi'!$D$4</f>
        <v>0</v>
      </c>
      <c r="E57" s="6">
        <f>Froto!F48*'Trend Analizi'!$D$5</f>
        <v>0</v>
      </c>
      <c r="F57" s="6">
        <f>Froto!B48</f>
        <v>0</v>
      </c>
      <c r="G57" t="str">
        <f t="shared" si="1"/>
        <v/>
      </c>
      <c r="H57" s="25" t="str">
        <f t="shared" si="2"/>
        <v/>
      </c>
      <c r="I57" s="25" t="str">
        <f t="shared" si="3"/>
        <v/>
      </c>
      <c r="J57" s="25" t="str">
        <f t="shared" si="4"/>
        <v/>
      </c>
      <c r="K57" s="25" t="str">
        <f t="shared" si="5"/>
        <v/>
      </c>
    </row>
    <row r="58" spans="1:11" x14ac:dyDescent="0.25">
      <c r="A58" t="s">
        <v>47</v>
      </c>
      <c r="B58" s="6">
        <f>Froto!R49*'Trend Analizi'!$D$2</f>
        <v>0</v>
      </c>
      <c r="C58" s="6">
        <f>Froto!N49*'Trend Analizi'!$D$3</f>
        <v>0</v>
      </c>
      <c r="D58" s="6">
        <f>Froto!J49*'Trend Analizi'!$D$4</f>
        <v>0</v>
      </c>
      <c r="E58" s="6">
        <f>Froto!F49*'Trend Analizi'!$D$5</f>
        <v>0</v>
      </c>
      <c r="F58" s="6">
        <f>Froto!B49</f>
        <v>0</v>
      </c>
      <c r="G58" t="str">
        <f t="shared" si="1"/>
        <v/>
      </c>
      <c r="H58" s="25" t="str">
        <f t="shared" si="2"/>
        <v/>
      </c>
      <c r="I58" s="25" t="str">
        <f t="shared" si="3"/>
        <v/>
      </c>
      <c r="J58" s="25" t="str">
        <f t="shared" si="4"/>
        <v/>
      </c>
      <c r="K58" s="25" t="str">
        <f t="shared" si="5"/>
        <v/>
      </c>
    </row>
    <row r="59" spans="1:11" x14ac:dyDescent="0.25">
      <c r="A59" t="s">
        <v>48</v>
      </c>
      <c r="B59" s="6">
        <f>Froto!R50*'Trend Analizi'!$D$2</f>
        <v>0</v>
      </c>
      <c r="C59" s="6">
        <f>Froto!N50*'Trend Analizi'!$D$3</f>
        <v>0</v>
      </c>
      <c r="D59" s="6">
        <f>Froto!J50*'Trend Analizi'!$D$4</f>
        <v>0</v>
      </c>
      <c r="E59" s="6">
        <f>Froto!F50*'Trend Analizi'!$D$5</f>
        <v>0</v>
      </c>
      <c r="F59" s="6">
        <f>Froto!B50</f>
        <v>0</v>
      </c>
      <c r="G59" t="str">
        <f t="shared" si="1"/>
        <v/>
      </c>
      <c r="H59" s="25" t="str">
        <f t="shared" si="2"/>
        <v/>
      </c>
      <c r="I59" s="25" t="str">
        <f t="shared" si="3"/>
        <v/>
      </c>
      <c r="J59" s="25" t="str">
        <f t="shared" si="4"/>
        <v/>
      </c>
      <c r="K59" s="25" t="str">
        <f t="shared" si="5"/>
        <v/>
      </c>
    </row>
    <row r="60" spans="1:11" x14ac:dyDescent="0.25">
      <c r="A60" t="s">
        <v>58</v>
      </c>
      <c r="B60" s="6">
        <f>Froto!R51*'Trend Analizi'!$D$2</f>
        <v>0</v>
      </c>
      <c r="C60" s="6">
        <f>Froto!N51*'Trend Analizi'!$D$3</f>
        <v>0</v>
      </c>
      <c r="D60" s="6">
        <f>Froto!J51*'Trend Analizi'!$D$4</f>
        <v>0</v>
      </c>
      <c r="E60" s="6">
        <f>Froto!F51*'Trend Analizi'!$D$5</f>
        <v>0</v>
      </c>
      <c r="F60" s="6">
        <f>Froto!B51</f>
        <v>0</v>
      </c>
      <c r="G60" t="str">
        <f t="shared" si="1"/>
        <v/>
      </c>
      <c r="H60" s="25" t="str">
        <f t="shared" si="2"/>
        <v/>
      </c>
      <c r="I60" s="25" t="str">
        <f t="shared" si="3"/>
        <v/>
      </c>
      <c r="J60" s="25" t="str">
        <f t="shared" si="4"/>
        <v/>
      </c>
      <c r="K60" s="25" t="str">
        <f t="shared" si="5"/>
        <v/>
      </c>
    </row>
    <row r="61" spans="1:11" x14ac:dyDescent="0.25">
      <c r="A61" t="s">
        <v>50</v>
      </c>
      <c r="B61" s="6">
        <f>Froto!R52*'Trend Analizi'!$D$2</f>
        <v>0</v>
      </c>
      <c r="C61" s="6">
        <f>Froto!N52*'Trend Analizi'!$D$3</f>
        <v>0</v>
      </c>
      <c r="D61" s="6">
        <f>Froto!J52*'Trend Analizi'!$D$4</f>
        <v>0</v>
      </c>
      <c r="E61" s="6">
        <f>Froto!F52*'Trend Analizi'!$D$5</f>
        <v>0</v>
      </c>
      <c r="F61" s="6">
        <f>Froto!B52</f>
        <v>0</v>
      </c>
      <c r="G61" t="str">
        <f t="shared" si="1"/>
        <v/>
      </c>
      <c r="H61" s="25" t="str">
        <f t="shared" si="2"/>
        <v/>
      </c>
      <c r="I61" s="25" t="str">
        <f t="shared" si="3"/>
        <v/>
      </c>
      <c r="J61" s="25" t="str">
        <f t="shared" si="4"/>
        <v/>
      </c>
      <c r="K61" s="25" t="str">
        <f t="shared" si="5"/>
        <v/>
      </c>
    </row>
    <row r="62" spans="1:11" x14ac:dyDescent="0.25">
      <c r="A62" t="s">
        <v>51</v>
      </c>
      <c r="B62" s="6">
        <f>Froto!R53*'Trend Analizi'!$D$2</f>
        <v>0</v>
      </c>
      <c r="C62" s="6">
        <f>Froto!N53*'Trend Analizi'!$D$3</f>
        <v>0</v>
      </c>
      <c r="D62" s="6">
        <f>Froto!J53*'Trend Analizi'!$D$4</f>
        <v>0</v>
      </c>
      <c r="E62" s="6">
        <f>Froto!F53*'Trend Analizi'!$D$5</f>
        <v>0</v>
      </c>
      <c r="F62" s="6">
        <f>Froto!B53</f>
        <v>0</v>
      </c>
      <c r="G62" t="str">
        <f t="shared" si="1"/>
        <v/>
      </c>
      <c r="H62" s="25" t="str">
        <f t="shared" si="2"/>
        <v/>
      </c>
      <c r="I62" s="25" t="str">
        <f t="shared" si="3"/>
        <v/>
      </c>
      <c r="J62" s="25" t="str">
        <f t="shared" si="4"/>
        <v/>
      </c>
      <c r="K62" s="25" t="str">
        <f t="shared" si="5"/>
        <v/>
      </c>
    </row>
    <row r="63" spans="1:11" x14ac:dyDescent="0.25">
      <c r="A63" t="s">
        <v>59</v>
      </c>
      <c r="B63" s="6">
        <f>Froto!R54*'Trend Analizi'!$D$2</f>
        <v>35741429.067952901</v>
      </c>
      <c r="C63" s="6">
        <f>Froto!N54*'Trend Analizi'!$D$3</f>
        <v>48241845.533826642</v>
      </c>
      <c r="D63" s="6">
        <f>Froto!J54*'Trend Analizi'!$D$4</f>
        <v>78390602.354514584</v>
      </c>
      <c r="E63" s="6">
        <f>Froto!F54*'Trend Analizi'!$D$5</f>
        <v>124925260.7190022</v>
      </c>
      <c r="F63" s="6">
        <f>Froto!B54</f>
        <v>493991000</v>
      </c>
      <c r="G63">
        <f t="shared" si="1"/>
        <v>100</v>
      </c>
      <c r="H63" s="25">
        <f t="shared" si="2"/>
        <v>134.97458493365639</v>
      </c>
      <c r="I63" s="25">
        <f t="shared" si="3"/>
        <v>219.32699502718685</v>
      </c>
      <c r="J63" s="25">
        <f t="shared" si="4"/>
        <v>349.52508608844306</v>
      </c>
      <c r="K63" s="25">
        <f t="shared" si="5"/>
        <v>1382.1243662664031</v>
      </c>
    </row>
    <row r="64" spans="1:11" x14ac:dyDescent="0.25">
      <c r="A64" t="s">
        <v>60</v>
      </c>
      <c r="B64" s="6">
        <f>Froto!R55*'Trend Analizi'!$D$2</f>
        <v>1591604688.8920414</v>
      </c>
      <c r="C64" s="6">
        <f>Froto!N55*'Trend Analizi'!$D$3</f>
        <v>2059220847.7801268</v>
      </c>
      <c r="D64" s="6">
        <f>Froto!J55*'Trend Analizi'!$D$4</f>
        <v>2256792172.893167</v>
      </c>
      <c r="E64" s="6">
        <f>Froto!F55*'Trend Analizi'!$D$5</f>
        <v>1946580457.6669111</v>
      </c>
      <c r="F64" s="6">
        <f>Froto!B55</f>
        <v>2677072000</v>
      </c>
      <c r="G64">
        <f t="shared" si="1"/>
        <v>100</v>
      </c>
      <c r="H64" s="25">
        <f t="shared" si="2"/>
        <v>129.38016972126448</v>
      </c>
      <c r="I64" s="25">
        <f t="shared" si="3"/>
        <v>141.79351120561103</v>
      </c>
      <c r="J64" s="25">
        <f t="shared" si="4"/>
        <v>122.3030109959011</v>
      </c>
      <c r="K64" s="25">
        <f t="shared" si="5"/>
        <v>168.19955474393464</v>
      </c>
    </row>
    <row r="65" spans="1:11" x14ac:dyDescent="0.25">
      <c r="A65" t="s">
        <v>61</v>
      </c>
      <c r="B65" s="6">
        <f>Froto!R56*'Trend Analizi'!$D$2</f>
        <v>0</v>
      </c>
      <c r="C65" s="6">
        <f>Froto!N56*'Trend Analizi'!$D$3</f>
        <v>0</v>
      </c>
      <c r="D65" s="6">
        <f>Froto!J56*'Trend Analizi'!$D$4</f>
        <v>0</v>
      </c>
      <c r="E65" s="6">
        <f>Froto!F56*'Trend Analizi'!$D$5</f>
        <v>0</v>
      </c>
      <c r="F65" s="6">
        <f>Froto!B56</f>
        <v>0</v>
      </c>
      <c r="G65" t="str">
        <f t="shared" si="1"/>
        <v/>
      </c>
      <c r="H65" s="25" t="str">
        <f t="shared" si="2"/>
        <v/>
      </c>
      <c r="I65" s="25" t="str">
        <f t="shared" si="3"/>
        <v/>
      </c>
      <c r="J65" s="25" t="str">
        <f t="shared" si="4"/>
        <v/>
      </c>
      <c r="K65" s="25" t="str">
        <f t="shared" si="5"/>
        <v/>
      </c>
    </row>
    <row r="66" spans="1:11" x14ac:dyDescent="0.25">
      <c r="A66" t="s">
        <v>62</v>
      </c>
      <c r="B66" s="6">
        <f>Froto!R57*'Trend Analizi'!$D$2</f>
        <v>0</v>
      </c>
      <c r="C66" s="6">
        <f>Froto!N57*'Trend Analizi'!$D$3</f>
        <v>0</v>
      </c>
      <c r="D66" s="6">
        <f>Froto!J57*'Trend Analizi'!$D$4</f>
        <v>0</v>
      </c>
      <c r="E66" s="6">
        <f>Froto!F57*'Trend Analizi'!$D$5</f>
        <v>0</v>
      </c>
      <c r="F66" s="6">
        <f>Froto!B57</f>
        <v>567819000</v>
      </c>
      <c r="G66" t="str">
        <f t="shared" si="1"/>
        <v/>
      </c>
      <c r="H66" s="25" t="str">
        <f t="shared" si="2"/>
        <v/>
      </c>
      <c r="I66" s="25" t="str">
        <f t="shared" si="3"/>
        <v/>
      </c>
      <c r="J66" s="25" t="str">
        <f t="shared" si="4"/>
        <v/>
      </c>
      <c r="K66" s="25" t="str">
        <f t="shared" si="5"/>
        <v/>
      </c>
    </row>
    <row r="67" spans="1:11" x14ac:dyDescent="0.25">
      <c r="A67" t="s">
        <v>63</v>
      </c>
      <c r="B67" s="6">
        <f>Froto!R58*'Trend Analizi'!$D$2</f>
        <v>250930733.7210952</v>
      </c>
      <c r="C67" s="6">
        <f>Froto!N58*'Trend Analizi'!$D$3</f>
        <v>279008614.29704016</v>
      </c>
      <c r="D67" s="6">
        <f>Froto!J58*'Trend Analizi'!$D$4</f>
        <v>70964124.236718461</v>
      </c>
      <c r="E67" s="6">
        <f>Froto!F58*'Trend Analizi'!$D$5</f>
        <v>29984197.945707995</v>
      </c>
      <c r="F67" s="6">
        <f>Froto!B58</f>
        <v>5439000</v>
      </c>
      <c r="G67">
        <f t="shared" si="1"/>
        <v>100</v>
      </c>
      <c r="H67" s="25">
        <f t="shared" si="2"/>
        <v>111.18949447107305</v>
      </c>
      <c r="I67" s="25">
        <f t="shared" si="3"/>
        <v>28.280363741969428</v>
      </c>
      <c r="J67" s="25">
        <f t="shared" si="4"/>
        <v>11.949193110412242</v>
      </c>
      <c r="K67" s="25">
        <f t="shared" si="5"/>
        <v>2.1675304253664462</v>
      </c>
    </row>
    <row r="68" spans="1:11" x14ac:dyDescent="0.25">
      <c r="A68" s="2" t="s">
        <v>64</v>
      </c>
      <c r="B68" s="7">
        <f>Froto!R59*'Trend Analizi'!$D$2</f>
        <v>18605418580.436943</v>
      </c>
      <c r="C68" s="7">
        <f>Froto!N59*'Trend Analizi'!$D$3</f>
        <v>20764384416.820824</v>
      </c>
      <c r="D68" s="7">
        <f>Froto!J59*'Trend Analizi'!$D$4</f>
        <v>25053344859.626587</v>
      </c>
      <c r="E68" s="7">
        <f>Froto!F59*'Trend Analizi'!$D$5</f>
        <v>20065662528.950844</v>
      </c>
      <c r="F68" s="7">
        <f>Froto!B59</f>
        <v>21402174000</v>
      </c>
      <c r="G68" s="2">
        <f t="shared" si="1"/>
        <v>100</v>
      </c>
      <c r="H68" s="11">
        <f t="shared" si="2"/>
        <v>111.60396272220379</v>
      </c>
      <c r="I68" s="11">
        <f t="shared" si="3"/>
        <v>134.65617422856292</v>
      </c>
      <c r="J68" s="11">
        <f t="shared" si="4"/>
        <v>107.84848748336844</v>
      </c>
      <c r="K68" s="11">
        <f t="shared" si="5"/>
        <v>115.031940332177</v>
      </c>
    </row>
    <row r="69" spans="1:11" x14ac:dyDescent="0.25">
      <c r="A69" t="s">
        <v>65</v>
      </c>
      <c r="B69" s="6">
        <f>Froto!R60*'Trend Analizi'!$D$2</f>
        <v>18605418580.436943</v>
      </c>
      <c r="C69" s="6">
        <f>Froto!N60*'Trend Analizi'!$D$3</f>
        <v>20764384416.820824</v>
      </c>
      <c r="D69" s="6">
        <f>Froto!J60*'Trend Analizi'!$D$4</f>
        <v>25053344859.626587</v>
      </c>
      <c r="E69" s="6">
        <f>Froto!F60*'Trend Analizi'!$D$5</f>
        <v>20065662528.950844</v>
      </c>
      <c r="F69" s="6">
        <f>Froto!B60</f>
        <v>21402174000</v>
      </c>
      <c r="G69">
        <f t="shared" si="1"/>
        <v>100</v>
      </c>
      <c r="H69" s="25">
        <f t="shared" si="2"/>
        <v>111.60396272220379</v>
      </c>
      <c r="I69" s="25">
        <f t="shared" si="3"/>
        <v>134.65617422856292</v>
      </c>
      <c r="J69" s="25">
        <f t="shared" si="4"/>
        <v>107.84848748336844</v>
      </c>
      <c r="K69" s="25">
        <f t="shared" si="5"/>
        <v>115.031940332177</v>
      </c>
    </row>
    <row r="70" spans="1:11" x14ac:dyDescent="0.25">
      <c r="A70" t="s">
        <v>66</v>
      </c>
      <c r="B70" s="6">
        <f>Froto!R61*'Trend Analizi'!$D$2</f>
        <v>1676965486.5938432</v>
      </c>
      <c r="C70" s="6">
        <f>Froto!N61*'Trend Analizi'!$D$3</f>
        <v>1561962171.6437633</v>
      </c>
      <c r="D70" s="6">
        <f>Froto!J61*'Trend Analizi'!$D$4</f>
        <v>1248096473.3313391</v>
      </c>
      <c r="E70" s="6">
        <f>Froto!F61*'Trend Analizi'!$D$5</f>
        <v>693818325.16507697</v>
      </c>
      <c r="F70" s="6">
        <f>Froto!B61</f>
        <v>350910000</v>
      </c>
      <c r="G70">
        <f t="shared" si="1"/>
        <v>100</v>
      </c>
      <c r="H70" s="25">
        <f t="shared" si="2"/>
        <v>93.142177589852011</v>
      </c>
      <c r="I70" s="25">
        <f t="shared" si="3"/>
        <v>74.425889102011368</v>
      </c>
      <c r="J70" s="25">
        <f t="shared" si="4"/>
        <v>41.37344093910491</v>
      </c>
      <c r="K70" s="25">
        <f t="shared" si="5"/>
        <v>20.925296483754618</v>
      </c>
    </row>
    <row r="71" spans="1:11" x14ac:dyDescent="0.25">
      <c r="A71" t="s">
        <v>67</v>
      </c>
      <c r="B71" s="6">
        <f>Froto!R62*'Trend Analizi'!$D$2</f>
        <v>0</v>
      </c>
      <c r="C71" s="6">
        <f>Froto!N62*'Trend Analizi'!$D$3</f>
        <v>0</v>
      </c>
      <c r="D71" s="6">
        <f>Froto!J62*'Trend Analizi'!$D$4</f>
        <v>0</v>
      </c>
      <c r="E71" s="6">
        <f>Froto!F62*'Trend Analizi'!$D$5</f>
        <v>0</v>
      </c>
      <c r="F71" s="6">
        <f>Froto!B62</f>
        <v>0</v>
      </c>
      <c r="G71" t="str">
        <f t="shared" si="1"/>
        <v/>
      </c>
      <c r="H71" s="25" t="str">
        <f t="shared" si="2"/>
        <v/>
      </c>
      <c r="I71" s="25" t="str">
        <f t="shared" si="3"/>
        <v/>
      </c>
      <c r="J71" s="25" t="str">
        <f t="shared" si="4"/>
        <v/>
      </c>
      <c r="K71" s="25" t="str">
        <f t="shared" si="5"/>
        <v/>
      </c>
    </row>
    <row r="72" spans="1:11" x14ac:dyDescent="0.25">
      <c r="A72" t="s">
        <v>68</v>
      </c>
      <c r="B72" s="6">
        <f>Froto!R63*'Trend Analizi'!$D$2</f>
        <v>38231.238473542347</v>
      </c>
      <c r="C72" s="6">
        <f>Froto!N63*'Trend Analizi'!$D$3</f>
        <v>35609.408033826636</v>
      </c>
      <c r="D72" s="6">
        <f>Froto!J63*'Trend Analizi'!$D$4</f>
        <v>28453.939148644131</v>
      </c>
      <c r="E72" s="6">
        <f>Froto!F63*'Trend Analizi'!$D$5</f>
        <v>15817.578870139398</v>
      </c>
      <c r="F72" s="6">
        <f>Froto!B63</f>
        <v>8000</v>
      </c>
      <c r="G72">
        <f t="shared" si="1"/>
        <v>100</v>
      </c>
      <c r="H72" s="25">
        <f t="shared" si="2"/>
        <v>93.142177589852011</v>
      </c>
      <c r="I72" s="25">
        <f t="shared" si="3"/>
        <v>74.425889102011368</v>
      </c>
      <c r="J72" s="25">
        <f t="shared" si="4"/>
        <v>41.37344093910491</v>
      </c>
      <c r="K72" s="25">
        <f t="shared" si="5"/>
        <v>20.925296483754618</v>
      </c>
    </row>
    <row r="73" spans="1:11" x14ac:dyDescent="0.25">
      <c r="A73" t="s">
        <v>69</v>
      </c>
      <c r="B73" s="6">
        <f>Froto!R64*'Trend Analizi'!$D$2</f>
        <v>0</v>
      </c>
      <c r="C73" s="6">
        <f>Froto!N64*'Trend Analizi'!$D$3</f>
        <v>0</v>
      </c>
      <c r="D73" s="6">
        <f>Froto!J64*'Trend Analizi'!$D$4</f>
        <v>0</v>
      </c>
      <c r="E73" s="6">
        <f>Froto!F64*'Trend Analizi'!$D$5</f>
        <v>0</v>
      </c>
      <c r="F73" s="6">
        <f>Froto!B64</f>
        <v>0</v>
      </c>
      <c r="G73" t="str">
        <f t="shared" si="1"/>
        <v/>
      </c>
      <c r="H73" s="25" t="str">
        <f t="shared" si="2"/>
        <v/>
      </c>
      <c r="I73" s="25" t="str">
        <f t="shared" si="3"/>
        <v/>
      </c>
      <c r="J73" s="25" t="str">
        <f t="shared" si="4"/>
        <v/>
      </c>
      <c r="K73" s="25" t="str">
        <f t="shared" si="5"/>
        <v/>
      </c>
    </row>
    <row r="74" spans="1:11" x14ac:dyDescent="0.25">
      <c r="A74" t="s">
        <v>70</v>
      </c>
      <c r="B74" s="6">
        <f>Froto!R65*'Trend Analizi'!$D$2</f>
        <v>0</v>
      </c>
      <c r="C74" s="6">
        <f>Froto!N65*'Trend Analizi'!$D$3</f>
        <v>0</v>
      </c>
      <c r="D74" s="6">
        <f>Froto!J65*'Trend Analizi'!$D$4</f>
        <v>0</v>
      </c>
      <c r="E74" s="6">
        <f>Froto!F65*'Trend Analizi'!$D$5</f>
        <v>0</v>
      </c>
      <c r="F74" s="6">
        <f>Froto!B65</f>
        <v>1674943000</v>
      </c>
      <c r="G74" t="str">
        <f t="shared" si="1"/>
        <v/>
      </c>
      <c r="H74" s="25" t="str">
        <f t="shared" si="2"/>
        <v/>
      </c>
      <c r="I74" s="25" t="str">
        <f t="shared" si="3"/>
        <v/>
      </c>
      <c r="J74" s="25" t="str">
        <f t="shared" si="4"/>
        <v/>
      </c>
      <c r="K74" s="25" t="str">
        <f t="shared" si="5"/>
        <v/>
      </c>
    </row>
    <row r="75" spans="1:11" x14ac:dyDescent="0.25">
      <c r="A75" t="s">
        <v>71</v>
      </c>
      <c r="B75" s="6">
        <f>Froto!R66*'Trend Analizi'!$D$2</f>
        <v>1771057343.38204</v>
      </c>
      <c r="C75" s="6">
        <f>Froto!N66*'Trend Analizi'!$D$3</f>
        <v>1347655851.7441862</v>
      </c>
      <c r="D75" s="6">
        <f>Froto!J66*'Trend Analizi'!$D$4</f>
        <v>1460017855.368047</v>
      </c>
      <c r="E75" s="6">
        <f>Froto!F66*'Trend Analizi'!$D$5</f>
        <v>1515157971.1812179</v>
      </c>
      <c r="F75" s="6">
        <f>Froto!B66</f>
        <v>1420763000</v>
      </c>
      <c r="G75">
        <f t="shared" si="1"/>
        <v>100</v>
      </c>
      <c r="H75" s="25">
        <f t="shared" si="2"/>
        <v>76.093292900989894</v>
      </c>
      <c r="I75" s="25">
        <f t="shared" si="3"/>
        <v>82.437638782489842</v>
      </c>
      <c r="J75" s="25">
        <f t="shared" si="4"/>
        <v>85.551039713251043</v>
      </c>
      <c r="K75" s="25">
        <f t="shared" si="5"/>
        <v>80.2211743910498</v>
      </c>
    </row>
    <row r="76" spans="1:11" x14ac:dyDescent="0.25">
      <c r="A76" t="s">
        <v>72</v>
      </c>
      <c r="B76" s="6">
        <f>Froto!R67*'Trend Analizi'!$D$2</f>
        <v>10725358189.033905</v>
      </c>
      <c r="C76" s="6">
        <f>Froto!N67*'Trend Analizi'!$D$3</f>
        <v>12067196012.751057</v>
      </c>
      <c r="D76" s="6">
        <f>Froto!J67*'Trend Analizi'!$D$4</f>
        <v>12334530092.227287</v>
      </c>
      <c r="E76" s="6">
        <f>Froto!F67*'Trend Analizi'!$D$5</f>
        <v>6866501938.6060162</v>
      </c>
      <c r="F76" s="6">
        <f>Froto!B67</f>
        <v>5057387000</v>
      </c>
      <c r="G76">
        <f t="shared" ref="G76:G83" si="11">IFERROR(B76/B76*100,"")</f>
        <v>100</v>
      </c>
      <c r="H76" s="25">
        <f t="shared" ref="H76:H83" si="12">IFERROR(C76/B76*100,"")</f>
        <v>112.51089054619274</v>
      </c>
      <c r="I76" s="25">
        <f t="shared" ref="I76:I83" si="13">IFERROR(D76/B76*100,"")</f>
        <v>115.00343275097957</v>
      </c>
      <c r="J76" s="25">
        <f t="shared" ref="J76:J83" si="14">IFERROR(E76/B76*100,"")</f>
        <v>64.02118994614689</v>
      </c>
      <c r="K76" s="25">
        <f t="shared" ref="K76:K83" si="15">IFERROR(F76/B76*100,"")</f>
        <v>47.153548728758572</v>
      </c>
    </row>
    <row r="77" spans="1:11" x14ac:dyDescent="0.25">
      <c r="A77" s="2" t="s">
        <v>73</v>
      </c>
      <c r="B77" s="7">
        <f>Froto!R68*'Trend Analizi'!$D$2</f>
        <v>8043833459.2140732</v>
      </c>
      <c r="C77" s="7">
        <f>Froto!N68*'Trend Analizi'!$D$3</f>
        <v>8722008161.4693451</v>
      </c>
      <c r="D77" s="7">
        <f>Froto!J68*'Trend Analizi'!$D$4</f>
        <v>14920224904.482025</v>
      </c>
      <c r="E77" s="7">
        <f>Froto!F68*'Trend Analizi'!$D$5</f>
        <v>17401323840.498898</v>
      </c>
      <c r="F77" s="7">
        <f>Froto!B68</f>
        <v>18613943000</v>
      </c>
      <c r="G77" s="2">
        <f t="shared" si="11"/>
        <v>100</v>
      </c>
      <c r="H77" s="11">
        <f t="shared" si="12"/>
        <v>108.43098885244117</v>
      </c>
      <c r="I77" s="11">
        <f t="shared" si="13"/>
        <v>185.48649695613929</v>
      </c>
      <c r="J77" s="11">
        <f t="shared" si="14"/>
        <v>216.33122973929773</v>
      </c>
      <c r="K77" s="11">
        <f t="shared" si="15"/>
        <v>231.40636979098628</v>
      </c>
    </row>
    <row r="78" spans="1:11" x14ac:dyDescent="0.25">
      <c r="A78" t="s">
        <v>74</v>
      </c>
      <c r="B78" s="6">
        <f>Froto!R69*'Trend Analizi'!$D$2</f>
        <v>-3611834129.025394</v>
      </c>
      <c r="C78" s="6">
        <f>Froto!N69*'Trend Analizi'!$D$3</f>
        <v>-2934473390.1955605</v>
      </c>
      <c r="D78" s="6">
        <f>Froto!J69*'Trend Analizi'!$D$4</f>
        <v>-4909552919.7212591</v>
      </c>
      <c r="E78" s="6">
        <f>Froto!F69*'Trend Analizi'!$D$5</f>
        <v>-6411155364.079237</v>
      </c>
      <c r="F78" s="6">
        <f>Froto!B69</f>
        <v>-5715780000</v>
      </c>
      <c r="G78">
        <f t="shared" si="11"/>
        <v>100</v>
      </c>
      <c r="H78" s="25">
        <f t="shared" si="12"/>
        <v>81.24607291939482</v>
      </c>
      <c r="I78" s="25">
        <f t="shared" si="13"/>
        <v>135.92963420626509</v>
      </c>
      <c r="J78" s="25">
        <f t="shared" si="14"/>
        <v>177.50414706361954</v>
      </c>
      <c r="K78" s="25">
        <f t="shared" si="15"/>
        <v>158.25145330088367</v>
      </c>
    </row>
    <row r="79" spans="1:11" x14ac:dyDescent="0.25">
      <c r="A79" t="s">
        <v>75</v>
      </c>
      <c r="B79" s="6">
        <f>Froto!R70*'Trend Analizi'!$D$2</f>
        <v>0</v>
      </c>
      <c r="C79" s="6">
        <f>Froto!N70*'Trend Analizi'!$D$3</f>
        <v>0</v>
      </c>
      <c r="D79" s="6">
        <f>Froto!J70*'Trend Analizi'!$D$4</f>
        <v>0</v>
      </c>
      <c r="E79" s="6">
        <f>Froto!F70*'Trend Analizi'!$D$5</f>
        <v>0</v>
      </c>
      <c r="F79" s="6">
        <f>Froto!B70</f>
        <v>0</v>
      </c>
      <c r="G79" t="str">
        <f t="shared" si="11"/>
        <v/>
      </c>
      <c r="H79" s="25" t="str">
        <f t="shared" si="12"/>
        <v/>
      </c>
      <c r="I79" s="25" t="str">
        <f t="shared" si="13"/>
        <v/>
      </c>
      <c r="J79" s="25" t="str">
        <f t="shared" si="14"/>
        <v/>
      </c>
      <c r="K79" s="25" t="str">
        <f t="shared" si="15"/>
        <v/>
      </c>
    </row>
    <row r="80" spans="1:11" x14ac:dyDescent="0.25">
      <c r="A80" s="2" t="s">
        <v>76</v>
      </c>
      <c r="B80" s="7">
        <f>Froto!R71*'Trend Analizi'!$D$2</f>
        <v>63007183722.513832</v>
      </c>
      <c r="C80" s="7">
        <f>Froto!N71*'Trend Analizi'!$D$3</f>
        <v>73027649362.843552</v>
      </c>
      <c r="D80" s="7">
        <f>Froto!J71*'Trend Analizi'!$D$4</f>
        <v>86603757198.18045</v>
      </c>
      <c r="E80" s="7">
        <f>Froto!F71*'Trend Analizi'!$D$5</f>
        <v>84609915925.722672</v>
      </c>
      <c r="F80" s="7">
        <f>Froto!B71</f>
        <v>96052247000</v>
      </c>
      <c r="G80" s="2">
        <f t="shared" si="11"/>
        <v>100</v>
      </c>
      <c r="H80" s="11">
        <f t="shared" si="12"/>
        <v>115.9036875611839</v>
      </c>
      <c r="I80" s="11">
        <f t="shared" si="13"/>
        <v>137.45060813952082</v>
      </c>
      <c r="J80" s="11">
        <f t="shared" si="14"/>
        <v>134.28614155863266</v>
      </c>
      <c r="K80" s="11">
        <f t="shared" si="15"/>
        <v>152.44650105774915</v>
      </c>
    </row>
    <row r="82" spans="1:11" x14ac:dyDescent="0.25">
      <c r="A82" s="2" t="s">
        <v>171</v>
      </c>
      <c r="B82" s="7">
        <f>B55+B68</f>
        <v>28505345215.207832</v>
      </c>
      <c r="C82" s="7">
        <f t="shared" ref="C82:F82" si="16">C55+C68</f>
        <v>34545581419.992073</v>
      </c>
      <c r="D82" s="7">
        <f t="shared" si="16"/>
        <v>42212834310.486214</v>
      </c>
      <c r="E82" s="7">
        <f t="shared" si="16"/>
        <v>43519515699.398384</v>
      </c>
      <c r="F82" s="7">
        <f t="shared" si="16"/>
        <v>49846267000</v>
      </c>
      <c r="G82" s="2">
        <f t="shared" si="11"/>
        <v>100</v>
      </c>
      <c r="H82" s="11">
        <f t="shared" si="12"/>
        <v>121.18983706102155</v>
      </c>
      <c r="I82" s="11">
        <f t="shared" si="13"/>
        <v>148.08743409978183</v>
      </c>
      <c r="J82" s="11">
        <f t="shared" si="14"/>
        <v>152.67142134514606</v>
      </c>
      <c r="K82" s="11">
        <f t="shared" si="15"/>
        <v>174.86638601874085</v>
      </c>
    </row>
    <row r="83" spans="1:11" x14ac:dyDescent="0.25">
      <c r="A83" s="2" t="s">
        <v>177</v>
      </c>
      <c r="B83" s="7">
        <f>B41+B55</f>
        <v>44401765142.076889</v>
      </c>
      <c r="C83" s="7">
        <f t="shared" ref="C83:F83" si="17">C41+C55</f>
        <v>52263264946.022728</v>
      </c>
      <c r="D83" s="7">
        <f t="shared" si="17"/>
        <v>61550412338.553856</v>
      </c>
      <c r="E83" s="7">
        <f t="shared" si="17"/>
        <v>64544253396.771828</v>
      </c>
      <c r="F83" s="7">
        <f t="shared" si="17"/>
        <v>74650073000</v>
      </c>
      <c r="G83" s="2">
        <f t="shared" si="11"/>
        <v>100</v>
      </c>
      <c r="H83" s="11">
        <f t="shared" si="12"/>
        <v>117.70537675425874</v>
      </c>
      <c r="I83" s="11">
        <f t="shared" si="13"/>
        <v>138.62154385440462</v>
      </c>
      <c r="J83" s="11">
        <f t="shared" si="14"/>
        <v>145.36416106486521</v>
      </c>
      <c r="K83" s="11">
        <f t="shared" si="15"/>
        <v>168.12411119498177</v>
      </c>
    </row>
  </sheetData>
  <mergeCells count="6">
    <mergeCell ref="B9:F9"/>
    <mergeCell ref="G9:K9"/>
    <mergeCell ref="B8:K8"/>
    <mergeCell ref="N8:W8"/>
    <mergeCell ref="N9:R9"/>
    <mergeCell ref="S9:W9"/>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8B440-E2A6-4807-954E-B21A8C959115}">
  <dimension ref="A1:AF149"/>
  <sheetViews>
    <sheetView workbookViewId="0">
      <selection activeCell="A84" sqref="A84:A89"/>
    </sheetView>
  </sheetViews>
  <sheetFormatPr defaultRowHeight="15" x14ac:dyDescent="0.25"/>
  <cols>
    <col min="1" max="1" width="65" bestFit="1" customWidth="1"/>
    <col min="2" max="7" width="14.5703125" bestFit="1" customWidth="1"/>
    <col min="8" max="8" width="13.85546875" bestFit="1" customWidth="1"/>
    <col min="9" max="11" width="14.5703125" bestFit="1" customWidth="1"/>
    <col min="12" max="12" width="13.85546875" bestFit="1" customWidth="1"/>
    <col min="13" max="14" width="14.5703125" bestFit="1" customWidth="1"/>
    <col min="15" max="15" width="13.85546875" bestFit="1" customWidth="1"/>
    <col min="16" max="16" width="13.5703125" bestFit="1" customWidth="1"/>
    <col min="17" max="17" width="14.5703125" bestFit="1" customWidth="1"/>
    <col min="18" max="18" width="13.85546875" bestFit="1" customWidth="1"/>
    <col min="19" max="20" width="13.5703125" bestFit="1" customWidth="1"/>
    <col min="21" max="21" width="13.85546875" bestFit="1" customWidth="1"/>
  </cols>
  <sheetData>
    <row r="1" spans="1:32" x14ac:dyDescent="0.25">
      <c r="A1" s="2" t="str">
        <f>Froto!A1</f>
        <v>Bilanço</v>
      </c>
      <c r="B1" s="2" t="str">
        <f>Froto!B1</f>
        <v>2022/12</v>
      </c>
      <c r="C1" s="2" t="str">
        <f>Froto!C1</f>
        <v>2022/9</v>
      </c>
      <c r="D1" s="2" t="str">
        <f>Froto!D1</f>
        <v>2022/6</v>
      </c>
      <c r="E1" s="2" t="str">
        <f>Froto!E1</f>
        <v>2022/3</v>
      </c>
      <c r="F1" s="2" t="str">
        <f>Froto!F1</f>
        <v>2021/12</v>
      </c>
      <c r="G1" s="2" t="str">
        <f>Froto!G1</f>
        <v>2021/9</v>
      </c>
      <c r="H1" s="2" t="str">
        <f>Froto!H1</f>
        <v>2021/6</v>
      </c>
      <c r="I1" s="2" t="str">
        <f>Froto!I1</f>
        <v>2021/3</v>
      </c>
      <c r="J1" s="2" t="str">
        <f>Froto!J1</f>
        <v>2020/12</v>
      </c>
      <c r="K1" s="2" t="str">
        <f>Froto!K1</f>
        <v>2020/9</v>
      </c>
      <c r="L1" s="2" t="str">
        <f>Froto!L1</f>
        <v>2020/6</v>
      </c>
      <c r="M1" s="2" t="str">
        <f>Froto!M1</f>
        <v>2020/3</v>
      </c>
      <c r="N1" s="2" t="str">
        <f>Froto!N1</f>
        <v>2019/12</v>
      </c>
      <c r="O1" s="2" t="str">
        <f>Froto!O1</f>
        <v>2019/9</v>
      </c>
      <c r="P1" s="2" t="str">
        <f>Froto!P1</f>
        <v>2019/6</v>
      </c>
      <c r="Q1" s="2" t="str">
        <f>Froto!Q1</f>
        <v>2019/3</v>
      </c>
      <c r="R1" s="2" t="str">
        <f>Froto!R1</f>
        <v>2018/12</v>
      </c>
      <c r="S1" s="2" t="str">
        <f>Froto!S1</f>
        <v>2018/9</v>
      </c>
      <c r="T1" s="2" t="str">
        <f>Froto!T1</f>
        <v>2018/6</v>
      </c>
      <c r="U1" s="2" t="str">
        <f>Froto!U1</f>
        <v>2018/3</v>
      </c>
      <c r="V1" s="2"/>
      <c r="W1" s="2"/>
      <c r="X1" s="2"/>
      <c r="Y1" s="2"/>
      <c r="Z1" s="2"/>
      <c r="AA1" s="2"/>
      <c r="AB1" s="2"/>
      <c r="AC1" s="2"/>
      <c r="AD1" s="2"/>
      <c r="AE1" s="2"/>
      <c r="AF1" s="2"/>
    </row>
    <row r="2" spans="1:32" x14ac:dyDescent="0.25">
      <c r="A2" t="str">
        <f>Froto!A2</f>
        <v>Dönen Varlıklar</v>
      </c>
      <c r="B2" s="6">
        <f>IF(MID(B$1,6,1)="3",Froto!B2,Froto!B2-Froto!C2)</f>
        <v>7144187000</v>
      </c>
      <c r="C2" s="6">
        <f>IF(MID(C$1,6,1)="3",Froto!C2,Froto!C2-Froto!D2)</f>
        <v>7941408000</v>
      </c>
      <c r="D2" s="6">
        <f>IF(MID(D$1,6,1)="3",Froto!D2,Froto!D2-Froto!E2)</f>
        <v>2535896000</v>
      </c>
      <c r="E2" s="6">
        <f>IF(MID(E$1,6,1)="3",Froto!E2,Froto!E2-Froto!F2)</f>
        <v>37503027000</v>
      </c>
      <c r="F2" s="6">
        <f>IF(MID(F$1,6,1)="3",Froto!F2,Froto!F2-Froto!G2)</f>
        <v>7015625000</v>
      </c>
      <c r="G2" s="6">
        <f>IF(MID(G$1,6,1)="3",Froto!G2,Froto!G2-Froto!H2)</f>
        <v>9619292000</v>
      </c>
      <c r="H2" s="6">
        <f>IF(MID(H$1,6,1)="3",Froto!H2,Froto!H2-Froto!I2)</f>
        <v>-3280080000</v>
      </c>
      <c r="I2" s="6">
        <f>IF(MID(I$1,6,1)="3",Froto!I2,Froto!I2-Froto!J2)</f>
        <v>19459015000</v>
      </c>
      <c r="J2" s="6">
        <f>IF(MID(J$1,6,1)="3",Froto!J2,Froto!J2-Froto!K2)</f>
        <v>1267122000</v>
      </c>
      <c r="K2" s="6">
        <f>IF(MID(K$1,6,1)="3",Froto!K2,Froto!K2-Froto!L2)</f>
        <v>4583594000</v>
      </c>
      <c r="L2" s="6">
        <f>IF(MID(L$1,6,1)="3",Froto!L2,Froto!L2-Froto!M2)</f>
        <v>1401173000</v>
      </c>
      <c r="M2" s="6">
        <f>IF(MID(M$1,6,1)="3",Froto!M2,Froto!M2-Froto!N2)</f>
        <v>10352633000</v>
      </c>
      <c r="N2" s="6">
        <f>IF(MID(N$1,6,1)="3",Froto!N2,Froto!N2-Froto!O2)</f>
        <v>1248505000</v>
      </c>
      <c r="O2" s="6">
        <f>IF(MID(O$1,6,1)="3",Froto!O2,Froto!O2-Froto!P2)</f>
        <v>-213439000</v>
      </c>
      <c r="P2" s="6">
        <f>IF(MID(P$1,6,1)="3",Froto!P2,Froto!P2-Froto!Q2)</f>
        <v>175561000</v>
      </c>
      <c r="Q2" s="6">
        <f>IF(MID(Q$1,6,1)="3",Froto!Q2,Froto!Q2-Froto!R2)</f>
        <v>8946171000</v>
      </c>
      <c r="R2" s="6">
        <f>IF(MID(R$1,6,1)="3",Froto!R2,Froto!R2-Froto!S2)</f>
        <v>-687329000</v>
      </c>
      <c r="S2" s="6">
        <f>IF(MID(S$1,6,1)="3",Froto!S2,Froto!S2-Froto!T2)</f>
        <v>898068000</v>
      </c>
      <c r="T2" s="6">
        <f>IF(MID(T$1,6,1)="3",Froto!T2,Froto!T2-Froto!U2)</f>
        <v>-436530000</v>
      </c>
      <c r="U2" s="6">
        <f>IF(MID(U$1,6,1)="3",Froto!U2,Froto!U2-Froto!V2)</f>
        <v>7621252000</v>
      </c>
    </row>
    <row r="3" spans="1:32" x14ac:dyDescent="0.25">
      <c r="A3" t="str">
        <f>Froto!A3</f>
        <v xml:space="preserve">  Nakit ve Nakit Benzerleri</v>
      </c>
      <c r="B3" s="6">
        <f>IF(MID(B$1,6,1)="3",Froto!B3,Froto!B3-Froto!C3)</f>
        <v>2861620000</v>
      </c>
      <c r="C3" s="6">
        <f>IF(MID(C$1,6,1)="3",Froto!C3,Froto!C3-Froto!D3)</f>
        <v>-6288651000</v>
      </c>
      <c r="D3" s="6">
        <f>IF(MID(D$1,6,1)="3",Froto!D3,Froto!D3-Froto!E3)</f>
        <v>-1633261000</v>
      </c>
      <c r="E3" s="6">
        <f>IF(MID(E$1,6,1)="3",Froto!E3,Froto!E3-Froto!F3)</f>
        <v>15174998000</v>
      </c>
      <c r="F3" s="6">
        <f>IF(MID(F$1,6,1)="3",Froto!F3,Froto!F3-Froto!G3)</f>
        <v>586370000</v>
      </c>
      <c r="G3" s="6">
        <f>IF(MID(G$1,6,1)="3",Froto!G3,Froto!G3-Froto!H3)</f>
        <v>8553971000</v>
      </c>
      <c r="H3" s="6">
        <f>IF(MID(H$1,6,1)="3",Froto!H3,Froto!H3-Froto!I3)</f>
        <v>-4222885000</v>
      </c>
      <c r="I3" s="6">
        <f>IF(MID(I$1,6,1)="3",Froto!I3,Froto!I3-Froto!J3)</f>
        <v>9256475000</v>
      </c>
      <c r="J3" s="6">
        <f>IF(MID(J$1,6,1)="3",Froto!J3,Froto!J3-Froto!K3)</f>
        <v>1290938000</v>
      </c>
      <c r="K3" s="6">
        <f>IF(MID(K$1,6,1)="3",Froto!K3,Froto!K3-Froto!L3)</f>
        <v>1638194000</v>
      </c>
      <c r="L3" s="6">
        <f>IF(MID(L$1,6,1)="3",Froto!L3,Froto!L3-Froto!M3)</f>
        <v>1518914000</v>
      </c>
      <c r="M3" s="6">
        <f>IF(MID(M$1,6,1)="3",Froto!M3,Froto!M3-Froto!N3)</f>
        <v>3676027000</v>
      </c>
      <c r="N3" s="6">
        <f>IF(MID(N$1,6,1)="3",Froto!N3,Froto!N3-Froto!O3)</f>
        <v>1439262000</v>
      </c>
      <c r="O3" s="6">
        <f>IF(MID(O$1,6,1)="3",Froto!O3,Froto!O3-Froto!P3)</f>
        <v>-155324000</v>
      </c>
      <c r="P3" s="6">
        <f>IF(MID(P$1,6,1)="3",Froto!P3,Froto!P3-Froto!Q3)</f>
        <v>-186141000</v>
      </c>
      <c r="Q3" s="6">
        <f>IF(MID(Q$1,6,1)="3",Froto!Q3,Froto!Q3-Froto!R3)</f>
        <v>2105155000</v>
      </c>
      <c r="R3" s="6">
        <f>IF(MID(R$1,6,1)="3",Froto!R3,Froto!R3-Froto!S3)</f>
        <v>13284000</v>
      </c>
      <c r="S3" s="6">
        <f>IF(MID(S$1,6,1)="3",Froto!S3,Froto!S3-Froto!T3)</f>
        <v>92859000</v>
      </c>
      <c r="T3" s="6">
        <f>IF(MID(T$1,6,1)="3",Froto!T3,Froto!T3-Froto!U3)</f>
        <v>-755630000</v>
      </c>
      <c r="U3" s="6">
        <f>IF(MID(U$1,6,1)="3",Froto!U3,Froto!U3-Froto!V3)</f>
        <v>2042259000</v>
      </c>
    </row>
    <row r="4" spans="1:32" x14ac:dyDescent="0.25">
      <c r="A4" t="str">
        <f>Froto!A4</f>
        <v xml:space="preserve">  Finansal Yatırımlar</v>
      </c>
      <c r="B4" s="6">
        <f>IF(MID(B$1,6,1)="3",Froto!B4,Froto!B4-Froto!C4)</f>
        <v>0</v>
      </c>
      <c r="C4" s="6">
        <f>IF(MID(C$1,6,1)="3",Froto!C4,Froto!C4-Froto!D4)</f>
        <v>0</v>
      </c>
      <c r="D4" s="6">
        <f>IF(MID(D$1,6,1)="3",Froto!D4,Froto!D4-Froto!E4)</f>
        <v>0</v>
      </c>
      <c r="E4" s="6">
        <f>IF(MID(E$1,6,1)="3",Froto!E4,Froto!E4-Froto!F4)</f>
        <v>0</v>
      </c>
      <c r="F4" s="6">
        <f>IF(MID(F$1,6,1)="3",Froto!F4,Froto!F4-Froto!G4)</f>
        <v>0</v>
      </c>
      <c r="G4" s="6">
        <f>IF(MID(G$1,6,1)="3",Froto!G4,Froto!G4-Froto!H4)</f>
        <v>0</v>
      </c>
      <c r="H4" s="6">
        <f>IF(MID(H$1,6,1)="3",Froto!H4,Froto!H4-Froto!I4)</f>
        <v>0</v>
      </c>
      <c r="I4" s="6">
        <f>IF(MID(I$1,6,1)="3",Froto!I4,Froto!I4-Froto!J4)</f>
        <v>0</v>
      </c>
      <c r="J4" s="6">
        <f>IF(MID(J$1,6,1)="3",Froto!J4,Froto!J4-Froto!K4)</f>
        <v>0</v>
      </c>
      <c r="K4" s="6">
        <f>IF(MID(K$1,6,1)="3",Froto!K4,Froto!K4-Froto!L4)</f>
        <v>0</v>
      </c>
      <c r="L4" s="6">
        <f>IF(MID(L$1,6,1)="3",Froto!L4,Froto!L4-Froto!M4)</f>
        <v>0</v>
      </c>
      <c r="M4" s="6">
        <f>IF(MID(M$1,6,1)="3",Froto!M4,Froto!M4-Froto!N4)</f>
        <v>0</v>
      </c>
      <c r="N4" s="6">
        <f>IF(MID(N$1,6,1)="3",Froto!N4,Froto!N4-Froto!O4)</f>
        <v>0</v>
      </c>
      <c r="O4" s="6">
        <f>IF(MID(O$1,6,1)="3",Froto!O4,Froto!O4-Froto!P4)</f>
        <v>0</v>
      </c>
      <c r="P4" s="6">
        <f>IF(MID(P$1,6,1)="3",Froto!P4,Froto!P4-Froto!Q4)</f>
        <v>0</v>
      </c>
      <c r="Q4" s="6">
        <f>IF(MID(Q$1,6,1)="3",Froto!Q4,Froto!Q4-Froto!R4)</f>
        <v>0</v>
      </c>
      <c r="R4" s="6">
        <f>IF(MID(R$1,6,1)="3",Froto!R4,Froto!R4-Froto!S4)</f>
        <v>0</v>
      </c>
      <c r="S4" s="6">
        <f>IF(MID(S$1,6,1)="3",Froto!S4,Froto!S4-Froto!T4)</f>
        <v>0</v>
      </c>
      <c r="T4" s="6">
        <f>IF(MID(T$1,6,1)="3",Froto!T4,Froto!T4-Froto!U4)</f>
        <v>0</v>
      </c>
      <c r="U4" s="6">
        <f>IF(MID(U$1,6,1)="3",Froto!U4,Froto!U4-Froto!V4)</f>
        <v>0</v>
      </c>
    </row>
    <row r="5" spans="1:32" x14ac:dyDescent="0.25">
      <c r="A5" t="str">
        <f>Froto!A5</f>
        <v xml:space="preserve">  Ticari Alacaklar</v>
      </c>
      <c r="B5" s="6">
        <f>IF(MID(B$1,6,1)="3",Froto!B5,Froto!B5-Froto!C5)</f>
        <v>3998037000</v>
      </c>
      <c r="C5" s="6">
        <f>IF(MID(C$1,6,1)="3",Froto!C5,Froto!C5-Froto!D5)</f>
        <v>9735841000</v>
      </c>
      <c r="D5" s="6">
        <f>IF(MID(D$1,6,1)="3",Froto!D5,Froto!D5-Froto!E5)</f>
        <v>1005285000</v>
      </c>
      <c r="E5" s="6">
        <f>IF(MID(E$1,6,1)="3",Froto!E5,Froto!E5-Froto!F5)</f>
        <v>11111781000</v>
      </c>
      <c r="F5" s="6">
        <f>IF(MID(F$1,6,1)="3",Froto!F5,Froto!F5-Froto!G5)</f>
        <v>5450845000</v>
      </c>
      <c r="G5" s="6">
        <f>IF(MID(G$1,6,1)="3",Froto!G5,Froto!G5-Froto!H5)</f>
        <v>337940000</v>
      </c>
      <c r="H5" s="6">
        <f>IF(MID(H$1,6,1)="3",Froto!H5,Froto!H5-Froto!I5)</f>
        <v>-18763000</v>
      </c>
      <c r="I5" s="6">
        <f>IF(MID(I$1,6,1)="3",Froto!I5,Froto!I5-Froto!J5)</f>
        <v>5636726000</v>
      </c>
      <c r="J5" s="6">
        <f>IF(MID(J$1,6,1)="3",Froto!J5,Froto!J5-Froto!K5)</f>
        <v>-145076000</v>
      </c>
      <c r="K5" s="6">
        <f>IF(MID(K$1,6,1)="3",Froto!K5,Froto!K5-Froto!L5)</f>
        <v>2097268000</v>
      </c>
      <c r="L5" s="6">
        <f>IF(MID(L$1,6,1)="3",Froto!L5,Froto!L5-Froto!M5)</f>
        <v>411027000</v>
      </c>
      <c r="M5" s="6">
        <f>IF(MID(M$1,6,1)="3",Froto!M5,Froto!M5-Froto!N5)</f>
        <v>3390963000</v>
      </c>
      <c r="N5" s="6">
        <f>IF(MID(N$1,6,1)="3",Froto!N5,Froto!N5-Froto!O5)</f>
        <v>689932000</v>
      </c>
      <c r="O5" s="6">
        <f>IF(MID(O$1,6,1)="3",Froto!O5,Froto!O5-Froto!P5)</f>
        <v>-434314000</v>
      </c>
      <c r="P5" s="6">
        <f>IF(MID(P$1,6,1)="3",Froto!P5,Froto!P5-Froto!Q5)</f>
        <v>256218000</v>
      </c>
      <c r="Q5" s="6">
        <f>IF(MID(Q$1,6,1)="3",Froto!Q5,Froto!Q5-Froto!R5)</f>
        <v>3593257000</v>
      </c>
      <c r="R5" s="6">
        <f>IF(MID(R$1,6,1)="3",Froto!R5,Froto!R5-Froto!S5)</f>
        <v>-462982000</v>
      </c>
      <c r="S5" s="6">
        <f>IF(MID(S$1,6,1)="3",Froto!S5,Froto!S5-Froto!T5)</f>
        <v>565081000</v>
      </c>
      <c r="T5" s="6">
        <f>IF(MID(T$1,6,1)="3",Froto!T5,Froto!T5-Froto!U5)</f>
        <v>91934000</v>
      </c>
      <c r="U5" s="6">
        <f>IF(MID(U$1,6,1)="3",Froto!U5,Froto!U5-Froto!V5)</f>
        <v>2947156000</v>
      </c>
    </row>
    <row r="6" spans="1:32" x14ac:dyDescent="0.25">
      <c r="A6" t="str">
        <f>Froto!A6</f>
        <v xml:space="preserve">  Finans Sektörü Faaliyetlerinden Alacaklar</v>
      </c>
      <c r="B6" s="6">
        <f>IF(MID(B$1,6,1)="3",Froto!B6,Froto!B6-Froto!C6)</f>
        <v>0</v>
      </c>
      <c r="C6" s="6">
        <f>IF(MID(C$1,6,1)="3",Froto!C6,Froto!C6-Froto!D6)</f>
        <v>0</v>
      </c>
      <c r="D6" s="6">
        <f>IF(MID(D$1,6,1)="3",Froto!D6,Froto!D6-Froto!E6)</f>
        <v>0</v>
      </c>
      <c r="E6" s="6">
        <f>IF(MID(E$1,6,1)="3",Froto!E6,Froto!E6-Froto!F6)</f>
        <v>0</v>
      </c>
      <c r="F6" s="6">
        <f>IF(MID(F$1,6,1)="3",Froto!F6,Froto!F6-Froto!G6)</f>
        <v>0</v>
      </c>
      <c r="G6" s="6">
        <f>IF(MID(G$1,6,1)="3",Froto!G6,Froto!G6-Froto!H6)</f>
        <v>0</v>
      </c>
      <c r="H6" s="6">
        <f>IF(MID(H$1,6,1)="3",Froto!H6,Froto!H6-Froto!I6)</f>
        <v>0</v>
      </c>
      <c r="I6" s="6">
        <f>IF(MID(I$1,6,1)="3",Froto!I6,Froto!I6-Froto!J6)</f>
        <v>0</v>
      </c>
      <c r="J6" s="6">
        <f>IF(MID(J$1,6,1)="3",Froto!J6,Froto!J6-Froto!K6)</f>
        <v>0</v>
      </c>
      <c r="K6" s="6">
        <f>IF(MID(K$1,6,1)="3",Froto!K6,Froto!K6-Froto!L6)</f>
        <v>0</v>
      </c>
      <c r="L6" s="6">
        <f>IF(MID(L$1,6,1)="3",Froto!L6,Froto!L6-Froto!M6)</f>
        <v>0</v>
      </c>
      <c r="M6" s="6">
        <f>IF(MID(M$1,6,1)="3",Froto!M6,Froto!M6-Froto!N6)</f>
        <v>0</v>
      </c>
      <c r="N6" s="6">
        <f>IF(MID(N$1,6,1)="3",Froto!N6,Froto!N6-Froto!O6)</f>
        <v>0</v>
      </c>
      <c r="O6" s="6">
        <f>IF(MID(O$1,6,1)="3",Froto!O6,Froto!O6-Froto!P6)</f>
        <v>0</v>
      </c>
      <c r="P6" s="6">
        <f>IF(MID(P$1,6,1)="3",Froto!P6,Froto!P6-Froto!Q6)</f>
        <v>0</v>
      </c>
      <c r="Q6" s="6">
        <f>IF(MID(Q$1,6,1)="3",Froto!Q6,Froto!Q6-Froto!R6)</f>
        <v>0</v>
      </c>
      <c r="R6" s="6">
        <f>IF(MID(R$1,6,1)="3",Froto!R6,Froto!R6-Froto!S6)</f>
        <v>0</v>
      </c>
      <c r="S6" s="6">
        <f>IF(MID(S$1,6,1)="3",Froto!S6,Froto!S6-Froto!T6)</f>
        <v>0</v>
      </c>
      <c r="T6" s="6">
        <f>IF(MID(T$1,6,1)="3",Froto!T6,Froto!T6-Froto!U6)</f>
        <v>0</v>
      </c>
      <c r="U6" s="6">
        <f>IF(MID(U$1,6,1)="3",Froto!U6,Froto!U6-Froto!V6)</f>
        <v>0</v>
      </c>
    </row>
    <row r="7" spans="1:32" x14ac:dyDescent="0.25">
      <c r="A7" t="str">
        <f>Froto!A7</f>
        <v xml:space="preserve">  Diğer Alacaklar</v>
      </c>
      <c r="B7" s="6">
        <f>IF(MID(B$1,6,1)="3",Froto!B7,Froto!B7-Froto!C7)</f>
        <v>-7243000</v>
      </c>
      <c r="C7" s="6">
        <f>IF(MID(C$1,6,1)="3",Froto!C7,Froto!C7-Froto!D7)</f>
        <v>229079000</v>
      </c>
      <c r="D7" s="6">
        <f>IF(MID(D$1,6,1)="3",Froto!D7,Froto!D7-Froto!E7)</f>
        <v>46757000</v>
      </c>
      <c r="E7" s="6">
        <f>IF(MID(E$1,6,1)="3",Froto!E7,Froto!E7-Froto!F7)</f>
        <v>14925000</v>
      </c>
      <c r="F7" s="6">
        <f>IF(MID(F$1,6,1)="3",Froto!F7,Froto!F7-Froto!G7)</f>
        <v>-28576000</v>
      </c>
      <c r="G7" s="6">
        <f>IF(MID(G$1,6,1)="3",Froto!G7,Froto!G7-Froto!H7)</f>
        <v>22919000</v>
      </c>
      <c r="H7" s="6">
        <f>IF(MID(H$1,6,1)="3",Froto!H7,Froto!H7-Froto!I7)</f>
        <v>-5024000</v>
      </c>
      <c r="I7" s="6">
        <f>IF(MID(I$1,6,1)="3",Froto!I7,Froto!I7-Froto!J7)</f>
        <v>11501000</v>
      </c>
      <c r="J7" s="6">
        <f>IF(MID(J$1,6,1)="3",Froto!J7,Froto!J7-Froto!K7)</f>
        <v>-19402000</v>
      </c>
      <c r="K7" s="6">
        <f>IF(MID(K$1,6,1)="3",Froto!K7,Froto!K7-Froto!L7)</f>
        <v>8150000</v>
      </c>
      <c r="L7" s="6">
        <f>IF(MID(L$1,6,1)="3",Froto!L7,Froto!L7-Froto!M7)</f>
        <v>9931000</v>
      </c>
      <c r="M7" s="6">
        <f>IF(MID(M$1,6,1)="3",Froto!M7,Froto!M7-Froto!N7)</f>
        <v>2778000</v>
      </c>
      <c r="N7" s="6">
        <f>IF(MID(N$1,6,1)="3",Froto!N7,Froto!N7-Froto!O7)</f>
        <v>-3435000</v>
      </c>
      <c r="O7" s="6">
        <f>IF(MID(O$1,6,1)="3",Froto!O7,Froto!O7-Froto!P7)</f>
        <v>-21000</v>
      </c>
      <c r="P7" s="6">
        <f>IF(MID(P$1,6,1)="3",Froto!P7,Froto!P7-Froto!Q7)</f>
        <v>-505000</v>
      </c>
      <c r="Q7" s="6">
        <f>IF(MID(Q$1,6,1)="3",Froto!Q7,Froto!Q7-Froto!R7)</f>
        <v>5831000</v>
      </c>
      <c r="R7" s="6">
        <f>IF(MID(R$1,6,1)="3",Froto!R7,Froto!R7-Froto!S7)</f>
        <v>403000</v>
      </c>
      <c r="S7" s="6">
        <f>IF(MID(S$1,6,1)="3",Froto!S7,Froto!S7-Froto!T7)</f>
        <v>-443000</v>
      </c>
      <c r="T7" s="6">
        <f>IF(MID(T$1,6,1)="3",Froto!T7,Froto!T7-Froto!U7)</f>
        <v>1833000</v>
      </c>
      <c r="U7" s="6">
        <f>IF(MID(U$1,6,1)="3",Froto!U7,Froto!U7-Froto!V7)</f>
        <v>995000</v>
      </c>
    </row>
    <row r="8" spans="1:32" x14ac:dyDescent="0.25">
      <c r="A8" t="str">
        <f>Froto!A8</f>
        <v xml:space="preserve">  Müşteri Sözleşmelerinden Doğan Varlıklar</v>
      </c>
      <c r="B8" s="6">
        <f>IF(MID(B$1,6,1)="3",Froto!B8,Froto!B8-Froto!C8)</f>
        <v>0</v>
      </c>
      <c r="C8" s="6">
        <f>IF(MID(C$1,6,1)="3",Froto!C8,Froto!C8-Froto!D8)</f>
        <v>0</v>
      </c>
      <c r="D8" s="6">
        <f>IF(MID(D$1,6,1)="3",Froto!D8,Froto!D8-Froto!E8)</f>
        <v>0</v>
      </c>
      <c r="E8" s="6">
        <f>IF(MID(E$1,6,1)="3",Froto!E8,Froto!E8-Froto!F8)</f>
        <v>0</v>
      </c>
      <c r="F8" s="6">
        <f>IF(MID(F$1,6,1)="3",Froto!F8,Froto!F8-Froto!G8)</f>
        <v>0</v>
      </c>
      <c r="G8" s="6">
        <f>IF(MID(G$1,6,1)="3",Froto!G8,Froto!G8-Froto!H8)</f>
        <v>0</v>
      </c>
      <c r="H8" s="6">
        <f>IF(MID(H$1,6,1)="3",Froto!H8,Froto!H8-Froto!I8)</f>
        <v>0</v>
      </c>
      <c r="I8" s="6">
        <f>IF(MID(I$1,6,1)="3",Froto!I8,Froto!I8-Froto!J8)</f>
        <v>0</v>
      </c>
      <c r="J8" s="6">
        <f>IF(MID(J$1,6,1)="3",Froto!J8,Froto!J8-Froto!K8)</f>
        <v>0</v>
      </c>
      <c r="K8" s="6">
        <f>IF(MID(K$1,6,1)="3",Froto!K8,Froto!K8-Froto!L8)</f>
        <v>0</v>
      </c>
      <c r="L8" s="6">
        <f>IF(MID(L$1,6,1)="3",Froto!L8,Froto!L8-Froto!M8)</f>
        <v>0</v>
      </c>
      <c r="M8" s="6">
        <f>IF(MID(M$1,6,1)="3",Froto!M8,Froto!M8-Froto!N8)</f>
        <v>0</v>
      </c>
      <c r="N8" s="6">
        <f>IF(MID(N$1,6,1)="3",Froto!N8,Froto!N8-Froto!O8)</f>
        <v>0</v>
      </c>
      <c r="O8" s="6">
        <f>IF(MID(O$1,6,1)="3",Froto!O8,Froto!O8-Froto!P8)</f>
        <v>0</v>
      </c>
      <c r="P8" s="6">
        <f>IF(MID(P$1,6,1)="3",Froto!P8,Froto!P8-Froto!Q8)</f>
        <v>0</v>
      </c>
      <c r="Q8" s="6">
        <f>IF(MID(Q$1,6,1)="3",Froto!Q8,Froto!Q8-Froto!R8)</f>
        <v>0</v>
      </c>
      <c r="R8" s="6">
        <f>IF(MID(R$1,6,1)="3",Froto!R8,Froto!R8-Froto!S8)</f>
        <v>0</v>
      </c>
      <c r="S8" s="6">
        <f>IF(MID(S$1,6,1)="3",Froto!S8,Froto!S8-Froto!T8)</f>
        <v>0</v>
      </c>
      <c r="T8" s="6">
        <f>IF(MID(T$1,6,1)="3",Froto!T8,Froto!T8-Froto!U8)</f>
        <v>0</v>
      </c>
      <c r="U8" s="6">
        <f>IF(MID(U$1,6,1)="3",Froto!U8,Froto!U8-Froto!V8)</f>
        <v>0</v>
      </c>
    </row>
    <row r="9" spans="1:32" x14ac:dyDescent="0.25">
      <c r="A9" t="str">
        <f>Froto!A9</f>
        <v xml:space="preserve">  Stoklar</v>
      </c>
      <c r="B9" s="6">
        <f>IF(MID(B$1,6,1)="3",Froto!B9,Froto!B9-Froto!C9)</f>
        <v>-1432249000</v>
      </c>
      <c r="C9" s="6">
        <f>IF(MID(C$1,6,1)="3",Froto!C9,Froto!C9-Froto!D9)</f>
        <v>3653782000</v>
      </c>
      <c r="D9" s="6">
        <f>IF(MID(D$1,6,1)="3",Froto!D9,Froto!D9-Froto!E9)</f>
        <v>2598613000</v>
      </c>
      <c r="E9" s="6">
        <f>IF(MID(E$1,6,1)="3",Froto!E9,Froto!E9-Froto!F9)</f>
        <v>9033862000</v>
      </c>
      <c r="F9" s="6">
        <f>IF(MID(F$1,6,1)="3",Froto!F9,Froto!F9-Froto!G9)</f>
        <v>578271000</v>
      </c>
      <c r="G9" s="6">
        <f>IF(MID(G$1,6,1)="3",Froto!G9,Froto!G9-Froto!H9)</f>
        <v>67253000</v>
      </c>
      <c r="H9" s="6">
        <f>IF(MID(H$1,6,1)="3",Froto!H9,Froto!H9-Froto!I9)</f>
        <v>1273915000</v>
      </c>
      <c r="I9" s="6">
        <f>IF(MID(I$1,6,1)="3",Froto!I9,Froto!I9-Froto!J9)</f>
        <v>3349867000</v>
      </c>
      <c r="J9" s="6">
        <f>IF(MID(J$1,6,1)="3",Froto!J9,Froto!J9-Froto!K9)</f>
        <v>-219635000</v>
      </c>
      <c r="K9" s="6">
        <f>IF(MID(K$1,6,1)="3",Froto!K9,Froto!K9-Froto!L9)</f>
        <v>498581000</v>
      </c>
      <c r="L9" s="6">
        <f>IF(MID(L$1,6,1)="3",Froto!L9,Froto!L9-Froto!M9)</f>
        <v>-220069000</v>
      </c>
      <c r="M9" s="6">
        <f>IF(MID(M$1,6,1)="3",Froto!M9,Froto!M9-Froto!N9)</f>
        <v>2390166000</v>
      </c>
      <c r="N9" s="6">
        <f>IF(MID(N$1,6,1)="3",Froto!N9,Froto!N9-Froto!O9)</f>
        <v>-886918000</v>
      </c>
      <c r="O9" s="6">
        <f>IF(MID(O$1,6,1)="3",Froto!O9,Froto!O9-Froto!P9)</f>
        <v>256263000</v>
      </c>
      <c r="P9" s="6">
        <f>IF(MID(P$1,6,1)="3",Froto!P9,Froto!P9-Froto!Q9)</f>
        <v>410490000</v>
      </c>
      <c r="Q9" s="6">
        <f>IF(MID(Q$1,6,1)="3",Froto!Q9,Froto!Q9-Froto!R9)</f>
        <v>2047564000</v>
      </c>
      <c r="R9" s="6">
        <f>IF(MID(R$1,6,1)="3",Froto!R9,Froto!R9-Froto!S9)</f>
        <v>-476117000</v>
      </c>
      <c r="S9" s="6">
        <f>IF(MID(S$1,6,1)="3",Froto!S9,Froto!S9-Froto!T9)</f>
        <v>189717000</v>
      </c>
      <c r="T9" s="6">
        <f>IF(MID(T$1,6,1)="3",Froto!T9,Froto!T9-Froto!U9)</f>
        <v>311080000</v>
      </c>
      <c r="U9" s="6">
        <f>IF(MID(U$1,6,1)="3",Froto!U9,Froto!U9-Froto!V9)</f>
        <v>1839965000</v>
      </c>
    </row>
    <row r="10" spans="1:32" x14ac:dyDescent="0.25">
      <c r="A10" t="str">
        <f>Froto!A10</f>
        <v xml:space="preserve">  Canlı Varlıklar</v>
      </c>
      <c r="B10" s="6">
        <f>IF(MID(B$1,6,1)="3",Froto!B10,Froto!B10-Froto!C10)</f>
        <v>0</v>
      </c>
      <c r="C10" s="6">
        <f>IF(MID(C$1,6,1)="3",Froto!C10,Froto!C10-Froto!D10)</f>
        <v>0</v>
      </c>
      <c r="D10" s="6">
        <f>IF(MID(D$1,6,1)="3",Froto!D10,Froto!D10-Froto!E10)</f>
        <v>0</v>
      </c>
      <c r="E10" s="6">
        <f>IF(MID(E$1,6,1)="3",Froto!E10,Froto!E10-Froto!F10)</f>
        <v>0</v>
      </c>
      <c r="F10" s="6">
        <f>IF(MID(F$1,6,1)="3",Froto!F10,Froto!F10-Froto!G10)</f>
        <v>0</v>
      </c>
      <c r="G10" s="6">
        <f>IF(MID(G$1,6,1)="3",Froto!G10,Froto!G10-Froto!H10)</f>
        <v>0</v>
      </c>
      <c r="H10" s="6">
        <f>IF(MID(H$1,6,1)="3",Froto!H10,Froto!H10-Froto!I10)</f>
        <v>0</v>
      </c>
      <c r="I10" s="6">
        <f>IF(MID(I$1,6,1)="3",Froto!I10,Froto!I10-Froto!J10)</f>
        <v>0</v>
      </c>
      <c r="J10" s="6">
        <f>IF(MID(J$1,6,1)="3",Froto!J10,Froto!J10-Froto!K10)</f>
        <v>0</v>
      </c>
      <c r="K10" s="6">
        <f>IF(MID(K$1,6,1)="3",Froto!K10,Froto!K10-Froto!L10)</f>
        <v>0</v>
      </c>
      <c r="L10" s="6">
        <f>IF(MID(L$1,6,1)="3",Froto!L10,Froto!L10-Froto!M10)</f>
        <v>0</v>
      </c>
      <c r="M10" s="6">
        <f>IF(MID(M$1,6,1)="3",Froto!M10,Froto!M10-Froto!N10)</f>
        <v>0</v>
      </c>
      <c r="N10" s="6">
        <f>IF(MID(N$1,6,1)="3",Froto!N10,Froto!N10-Froto!O10)</f>
        <v>0</v>
      </c>
      <c r="O10" s="6">
        <f>IF(MID(O$1,6,1)="3",Froto!O10,Froto!O10-Froto!P10)</f>
        <v>0</v>
      </c>
      <c r="P10" s="6">
        <f>IF(MID(P$1,6,1)="3",Froto!P10,Froto!P10-Froto!Q10)</f>
        <v>0</v>
      </c>
      <c r="Q10" s="6">
        <f>IF(MID(Q$1,6,1)="3",Froto!Q10,Froto!Q10-Froto!R10)</f>
        <v>0</v>
      </c>
      <c r="R10" s="6">
        <f>IF(MID(R$1,6,1)="3",Froto!R10,Froto!R10-Froto!S10)</f>
        <v>0</v>
      </c>
      <c r="S10" s="6">
        <f>IF(MID(S$1,6,1)="3",Froto!S10,Froto!S10-Froto!T10)</f>
        <v>0</v>
      </c>
      <c r="T10" s="6">
        <f>IF(MID(T$1,6,1)="3",Froto!T10,Froto!T10-Froto!U10)</f>
        <v>0</v>
      </c>
      <c r="U10" s="6">
        <f>IF(MID(U$1,6,1)="3",Froto!U10,Froto!U10-Froto!V10)</f>
        <v>0</v>
      </c>
    </row>
    <row r="11" spans="1:32" x14ac:dyDescent="0.25">
      <c r="A11" t="str">
        <f>Froto!A11</f>
        <v xml:space="preserve">  Diğer Dönen Varlıklar</v>
      </c>
      <c r="B11" s="6">
        <f>IF(MID(B$1,6,1)="3",Froto!B11,Froto!B11-Froto!C11)</f>
        <v>1724022000</v>
      </c>
      <c r="C11" s="6">
        <f>IF(MID(C$1,6,1)="3",Froto!C11,Froto!C11-Froto!D11)</f>
        <v>611357000</v>
      </c>
      <c r="D11" s="6">
        <f>IF(MID(D$1,6,1)="3",Froto!D11,Froto!D11-Froto!E11)</f>
        <v>518502000</v>
      </c>
      <c r="E11" s="6">
        <f>IF(MID(E$1,6,1)="3",Froto!E11,Froto!E11-Froto!F11)</f>
        <v>2167461000</v>
      </c>
      <c r="F11" s="6">
        <f>IF(MID(F$1,6,1)="3",Froto!F11,Froto!F11-Froto!G11)</f>
        <v>428715000</v>
      </c>
      <c r="G11" s="6">
        <f>IF(MID(G$1,6,1)="3",Froto!G11,Froto!G11-Froto!H11)</f>
        <v>637209000</v>
      </c>
      <c r="H11" s="6">
        <f>IF(MID(H$1,6,1)="3",Froto!H11,Froto!H11-Froto!I11)</f>
        <v>-307323000</v>
      </c>
      <c r="I11" s="6">
        <f>IF(MID(I$1,6,1)="3",Froto!I11,Froto!I11-Froto!J11)</f>
        <v>1204446000</v>
      </c>
      <c r="J11" s="6">
        <f>IF(MID(J$1,6,1)="3",Froto!J11,Froto!J11-Froto!K11)</f>
        <v>360297000</v>
      </c>
      <c r="K11" s="6">
        <f>IF(MID(K$1,6,1)="3",Froto!K11,Froto!K11-Froto!L11)</f>
        <v>341401000</v>
      </c>
      <c r="L11" s="6">
        <f>IF(MID(L$1,6,1)="3",Froto!L11,Froto!L11-Froto!M11)</f>
        <v>-318630000</v>
      </c>
      <c r="M11" s="6">
        <f>IF(MID(M$1,6,1)="3",Froto!M11,Froto!M11-Froto!N11)</f>
        <v>892699000</v>
      </c>
      <c r="N11" s="6">
        <f>IF(MID(N$1,6,1)="3",Froto!N11,Froto!N11-Froto!O11)</f>
        <v>9664000</v>
      </c>
      <c r="O11" s="6">
        <f>IF(MID(O$1,6,1)="3",Froto!O11,Froto!O11-Froto!P11)</f>
        <v>119957000</v>
      </c>
      <c r="P11" s="6">
        <f>IF(MID(P$1,6,1)="3",Froto!P11,Froto!P11-Froto!Q11)</f>
        <v>-304501000</v>
      </c>
      <c r="Q11" s="6">
        <f>IF(MID(Q$1,6,1)="3",Froto!Q11,Froto!Q11-Froto!R11)</f>
        <v>1194364000</v>
      </c>
      <c r="R11" s="6">
        <f>IF(MID(R$1,6,1)="3",Froto!R11,Froto!R11-Froto!S11)</f>
        <v>238083000</v>
      </c>
      <c r="S11" s="6">
        <f>IF(MID(S$1,6,1)="3",Froto!S11,Froto!S11-Froto!T11)</f>
        <v>50854000</v>
      </c>
      <c r="T11" s="6">
        <f>IF(MID(T$1,6,1)="3",Froto!T11,Froto!T11-Froto!U11)</f>
        <v>-85747000</v>
      </c>
      <c r="U11" s="6">
        <f>IF(MID(U$1,6,1)="3",Froto!U11,Froto!U11-Froto!V11)</f>
        <v>790877000</v>
      </c>
    </row>
    <row r="12" spans="1:32" x14ac:dyDescent="0.25">
      <c r="A12" t="str">
        <f>Froto!A12</f>
        <v xml:space="preserve">    (Ara Toplam)</v>
      </c>
      <c r="B12" s="6">
        <f>IF(MID(B$1,6,1)="3",Froto!B12,Froto!B12-Froto!C12)</f>
        <v>7144187000</v>
      </c>
      <c r="C12" s="6">
        <f>IF(MID(C$1,6,1)="3",Froto!C12,Froto!C12-Froto!D12)</f>
        <v>7941408000</v>
      </c>
      <c r="D12" s="6">
        <f>IF(MID(D$1,6,1)="3",Froto!D12,Froto!D12-Froto!E12)</f>
        <v>2535896000</v>
      </c>
      <c r="E12" s="6">
        <f>IF(MID(E$1,6,1)="3",Froto!E12,Froto!E12-Froto!F12)</f>
        <v>37503027000</v>
      </c>
      <c r="F12" s="6">
        <f>IF(MID(F$1,6,1)="3",Froto!F12,Froto!F12-Froto!G12)</f>
        <v>7015625000</v>
      </c>
      <c r="G12" s="6">
        <f>IF(MID(G$1,6,1)="3",Froto!G12,Froto!G12-Froto!H12)</f>
        <v>9619292000</v>
      </c>
      <c r="H12" s="6">
        <f>IF(MID(H$1,6,1)="3",Froto!H12,Froto!H12-Froto!I12)</f>
        <v>-3280080000</v>
      </c>
      <c r="I12" s="6">
        <f>IF(MID(I$1,6,1)="3",Froto!I12,Froto!I12-Froto!J12)</f>
        <v>19459015000</v>
      </c>
      <c r="J12" s="6">
        <f>IF(MID(J$1,6,1)="3",Froto!J12,Froto!J12-Froto!K12)</f>
        <v>1267122000</v>
      </c>
      <c r="K12" s="6">
        <f>IF(MID(K$1,6,1)="3",Froto!K12,Froto!K12-Froto!L12)</f>
        <v>4583594000</v>
      </c>
      <c r="L12" s="6">
        <f>IF(MID(L$1,6,1)="3",Froto!L12,Froto!L12-Froto!M12)</f>
        <v>1401173000</v>
      </c>
      <c r="M12" s="6">
        <f>IF(MID(M$1,6,1)="3",Froto!M12,Froto!M12-Froto!N12)</f>
        <v>10352633000</v>
      </c>
      <c r="N12" s="6">
        <f>IF(MID(N$1,6,1)="3",Froto!N12,Froto!N12-Froto!O12)</f>
        <v>1248505000</v>
      </c>
      <c r="O12" s="6">
        <f>IF(MID(O$1,6,1)="3",Froto!O12,Froto!O12-Froto!P12)</f>
        <v>-213439000</v>
      </c>
      <c r="P12" s="6">
        <f>IF(MID(P$1,6,1)="3",Froto!P12,Froto!P12-Froto!Q12)</f>
        <v>175561000</v>
      </c>
      <c r="Q12" s="6">
        <f>IF(MID(Q$1,6,1)="3",Froto!Q12,Froto!Q12-Froto!R12)</f>
        <v>8946171000</v>
      </c>
      <c r="R12" s="6">
        <f>IF(MID(R$1,6,1)="3",Froto!R12,Froto!R12-Froto!S12)</f>
        <v>-687329000</v>
      </c>
      <c r="S12" s="6">
        <f>IF(MID(S$1,6,1)="3",Froto!S12,Froto!S12-Froto!T12)</f>
        <v>898068000</v>
      </c>
      <c r="T12" s="6">
        <f>IF(MID(T$1,6,1)="3",Froto!T12,Froto!T12-Froto!U12)</f>
        <v>-436530000</v>
      </c>
      <c r="U12" s="6">
        <f>IF(MID(U$1,6,1)="3",Froto!U12,Froto!U12-Froto!V12)</f>
        <v>7621252000</v>
      </c>
    </row>
    <row r="13" spans="1:32" x14ac:dyDescent="0.25">
      <c r="A13" t="str">
        <f>Froto!A13</f>
        <v xml:space="preserve">  Satış Amacıyla Elde Tutulan Duran Varlıklar</v>
      </c>
      <c r="B13" s="6">
        <f>IF(MID(B$1,6,1)="3",Froto!B13,Froto!B13-Froto!C13)</f>
        <v>0</v>
      </c>
      <c r="C13" s="6">
        <f>IF(MID(C$1,6,1)="3",Froto!C13,Froto!C13-Froto!D13)</f>
        <v>0</v>
      </c>
      <c r="D13" s="6">
        <f>IF(MID(D$1,6,1)="3",Froto!D13,Froto!D13-Froto!E13)</f>
        <v>0</v>
      </c>
      <c r="E13" s="6">
        <f>IF(MID(E$1,6,1)="3",Froto!E13,Froto!E13-Froto!F13)</f>
        <v>0</v>
      </c>
      <c r="F13" s="6">
        <f>IF(MID(F$1,6,1)="3",Froto!F13,Froto!F13-Froto!G13)</f>
        <v>0</v>
      </c>
      <c r="G13" s="6">
        <f>IF(MID(G$1,6,1)="3",Froto!G13,Froto!G13-Froto!H13)</f>
        <v>0</v>
      </c>
      <c r="H13" s="6">
        <f>IF(MID(H$1,6,1)="3",Froto!H13,Froto!H13-Froto!I13)</f>
        <v>0</v>
      </c>
      <c r="I13" s="6">
        <f>IF(MID(I$1,6,1)="3",Froto!I13,Froto!I13-Froto!J13)</f>
        <v>0</v>
      </c>
      <c r="J13" s="6">
        <f>IF(MID(J$1,6,1)="3",Froto!J13,Froto!J13-Froto!K13)</f>
        <v>0</v>
      </c>
      <c r="K13" s="6">
        <f>IF(MID(K$1,6,1)="3",Froto!K13,Froto!K13-Froto!L13)</f>
        <v>0</v>
      </c>
      <c r="L13" s="6">
        <f>IF(MID(L$1,6,1)="3",Froto!L13,Froto!L13-Froto!M13)</f>
        <v>0</v>
      </c>
      <c r="M13" s="6">
        <f>IF(MID(M$1,6,1)="3",Froto!M13,Froto!M13-Froto!N13)</f>
        <v>0</v>
      </c>
      <c r="N13" s="6">
        <f>IF(MID(N$1,6,1)="3",Froto!N13,Froto!N13-Froto!O13)</f>
        <v>0</v>
      </c>
      <c r="O13" s="6">
        <f>IF(MID(O$1,6,1)="3",Froto!O13,Froto!O13-Froto!P13)</f>
        <v>0</v>
      </c>
      <c r="P13" s="6">
        <f>IF(MID(P$1,6,1)="3",Froto!P13,Froto!P13-Froto!Q13)</f>
        <v>0</v>
      </c>
      <c r="Q13" s="6">
        <f>IF(MID(Q$1,6,1)="3",Froto!Q13,Froto!Q13-Froto!R13)</f>
        <v>0</v>
      </c>
      <c r="R13" s="6">
        <f>IF(MID(R$1,6,1)="3",Froto!R13,Froto!R13-Froto!S13)</f>
        <v>0</v>
      </c>
      <c r="S13" s="6">
        <f>IF(MID(S$1,6,1)="3",Froto!S13,Froto!S13-Froto!T13)</f>
        <v>0</v>
      </c>
      <c r="T13" s="6">
        <f>IF(MID(T$1,6,1)="3",Froto!T13,Froto!T13-Froto!U13)</f>
        <v>0</v>
      </c>
      <c r="U13" s="6">
        <f>IF(MID(U$1,6,1)="3",Froto!U13,Froto!U13-Froto!V13)</f>
        <v>0</v>
      </c>
    </row>
    <row r="14" spans="1:32" x14ac:dyDescent="0.25">
      <c r="A14" t="str">
        <f>Froto!A14</f>
        <v>Duran Varlıklar</v>
      </c>
      <c r="B14" s="6">
        <f>IF(MID(B$1,6,1)="3",Froto!B14,Froto!B14-Froto!C14)</f>
        <v>9183533000</v>
      </c>
      <c r="C14" s="6">
        <f>IF(MID(C$1,6,1)="3",Froto!C14,Froto!C14-Froto!D14)</f>
        <v>8755823000</v>
      </c>
      <c r="D14" s="6">
        <f>IF(MID(D$1,6,1)="3",Froto!D14,Froto!D14-Froto!E14)</f>
        <v>10457587000</v>
      </c>
      <c r="E14" s="6">
        <f>IF(MID(E$1,6,1)="3",Froto!E14,Froto!E14-Froto!F14)</f>
        <v>12530786000</v>
      </c>
      <c r="F14" s="6">
        <f>IF(MID(F$1,6,1)="3",Froto!F14,Froto!F14-Froto!G14)</f>
        <v>1764027000</v>
      </c>
      <c r="G14" s="6">
        <f>IF(MID(G$1,6,1)="3",Froto!G14,Froto!G14-Froto!H14)</f>
        <v>738177000</v>
      </c>
      <c r="H14" s="6">
        <f>IF(MID(H$1,6,1)="3",Froto!H14,Froto!H14-Froto!I14)</f>
        <v>489759000</v>
      </c>
      <c r="I14" s="6">
        <f>IF(MID(I$1,6,1)="3",Froto!I14,Froto!I14-Froto!J14)</f>
        <v>6987038000</v>
      </c>
      <c r="J14" s="6">
        <f>IF(MID(J$1,6,1)="3",Froto!J14,Froto!J14-Froto!K14)</f>
        <v>349215000</v>
      </c>
      <c r="K14" s="6">
        <f>IF(MID(K$1,6,1)="3",Froto!K14,Froto!K14-Froto!L14)</f>
        <v>124453000</v>
      </c>
      <c r="L14" s="6">
        <f>IF(MID(L$1,6,1)="3",Froto!L14,Froto!L14-Froto!M14)</f>
        <v>24247000</v>
      </c>
      <c r="M14" s="6">
        <f>IF(MID(M$1,6,1)="3",Froto!M14,Froto!M14-Froto!N14)</f>
        <v>6246742000</v>
      </c>
      <c r="N14" s="6">
        <f>IF(MID(N$1,6,1)="3",Froto!N14,Froto!N14-Froto!O14)</f>
        <v>89923000</v>
      </c>
      <c r="O14" s="6">
        <f>IF(MID(O$1,6,1)="3",Froto!O14,Froto!O14-Froto!P14)</f>
        <v>41828000</v>
      </c>
      <c r="P14" s="6">
        <f>IF(MID(P$1,6,1)="3",Froto!P14,Froto!P14-Froto!Q14)</f>
        <v>109345000</v>
      </c>
      <c r="Q14" s="6">
        <f>IF(MID(Q$1,6,1)="3",Froto!Q14,Froto!Q14-Froto!R14)</f>
        <v>6008478000</v>
      </c>
      <c r="R14" s="6">
        <f>IF(MID(R$1,6,1)="3",Froto!R14,Froto!R14-Froto!S14)</f>
        <v>171232000</v>
      </c>
      <c r="S14" s="6">
        <f>IF(MID(S$1,6,1)="3",Froto!S14,Froto!S14-Froto!T14)</f>
        <v>263499000</v>
      </c>
      <c r="T14" s="6">
        <f>IF(MID(T$1,6,1)="3",Froto!T14,Froto!T14-Froto!U14)</f>
        <v>65221000</v>
      </c>
      <c r="U14" s="6">
        <f>IF(MID(U$1,6,1)="3",Froto!U14,Froto!U14-Froto!V14)</f>
        <v>5289027000</v>
      </c>
    </row>
    <row r="15" spans="1:32" x14ac:dyDescent="0.25">
      <c r="A15" t="str">
        <f>Froto!A15</f>
        <v xml:space="preserve">  Ticari Alacaklar</v>
      </c>
      <c r="B15" s="6">
        <f>IF(MID(B$1,6,1)="3",Froto!B15,Froto!B15-Froto!C15)</f>
        <v>-4231000</v>
      </c>
      <c r="C15" s="6">
        <f>IF(MID(C$1,6,1)="3",Froto!C15,Froto!C15-Froto!D15)</f>
        <v>-10368000</v>
      </c>
      <c r="D15" s="6">
        <f>IF(MID(D$1,6,1)="3",Froto!D15,Froto!D15-Froto!E15)</f>
        <v>-3804000</v>
      </c>
      <c r="E15" s="6">
        <f>IF(MID(E$1,6,1)="3",Froto!E15,Froto!E15-Froto!F15)</f>
        <v>34087000</v>
      </c>
      <c r="F15" s="6">
        <f>IF(MID(F$1,6,1)="3",Froto!F15,Froto!F15-Froto!G15)</f>
        <v>33080000</v>
      </c>
      <c r="G15" s="6">
        <f>IF(MID(G$1,6,1)="3",Froto!G15,Froto!G15-Froto!H15)</f>
        <v>-22000</v>
      </c>
      <c r="H15" s="6">
        <f>IF(MID(H$1,6,1)="3",Froto!H15,Froto!H15-Froto!I15)</f>
        <v>255000</v>
      </c>
      <c r="I15" s="6">
        <f>IF(MID(I$1,6,1)="3",Froto!I15,Froto!I15-Froto!J15)</f>
        <v>4266000</v>
      </c>
      <c r="J15" s="6">
        <f>IF(MID(J$1,6,1)="3",Froto!J15,Froto!J15-Froto!K15)</f>
        <v>-50000</v>
      </c>
      <c r="K15" s="6">
        <f>IF(MID(K$1,6,1)="3",Froto!K15,Froto!K15-Froto!L15)</f>
        <v>586000</v>
      </c>
      <c r="L15" s="6">
        <f>IF(MID(L$1,6,1)="3",Froto!L15,Froto!L15-Froto!M15)</f>
        <v>203000</v>
      </c>
      <c r="M15" s="6">
        <f>IF(MID(M$1,6,1)="3",Froto!M15,Froto!M15-Froto!N15)</f>
        <v>3211000</v>
      </c>
      <c r="N15" s="6">
        <f>IF(MID(N$1,6,1)="3",Froto!N15,Froto!N15-Froto!O15)</f>
        <v>192000</v>
      </c>
      <c r="O15" s="6">
        <f>IF(MID(O$1,6,1)="3",Froto!O15,Froto!O15-Froto!P15)</f>
        <v>-151000</v>
      </c>
      <c r="P15" s="6">
        <f>IF(MID(P$1,6,1)="3",Froto!P15,Froto!P15-Froto!Q15)</f>
        <v>-122000</v>
      </c>
      <c r="Q15" s="6">
        <f>IF(MID(Q$1,6,1)="3",Froto!Q15,Froto!Q15-Froto!R15)</f>
        <v>2984000</v>
      </c>
      <c r="R15" s="6">
        <f>IF(MID(R$1,6,1)="3",Froto!R15,Froto!R15-Froto!S15)</f>
        <v>-531000</v>
      </c>
      <c r="S15" s="6">
        <f>IF(MID(S$1,6,1)="3",Froto!S15,Froto!S15-Froto!T15)</f>
        <v>606000</v>
      </c>
      <c r="T15" s="6">
        <f>IF(MID(T$1,6,1)="3",Froto!T15,Froto!T15-Froto!U15)</f>
        <v>-237000</v>
      </c>
      <c r="U15" s="6">
        <f>IF(MID(U$1,6,1)="3",Froto!U15,Froto!U15-Froto!V15)</f>
        <v>3116000</v>
      </c>
    </row>
    <row r="16" spans="1:32" x14ac:dyDescent="0.25">
      <c r="A16" t="str">
        <f>Froto!A16</f>
        <v xml:space="preserve">  Finans Sektörü Faaliyetlerinden Alacaklar</v>
      </c>
      <c r="B16" s="6">
        <f>IF(MID(B$1,6,1)="3",Froto!B16,Froto!B16-Froto!C16)</f>
        <v>0</v>
      </c>
      <c r="C16" s="6">
        <f>IF(MID(C$1,6,1)="3",Froto!C16,Froto!C16-Froto!D16)</f>
        <v>0</v>
      </c>
      <c r="D16" s="6">
        <f>IF(MID(D$1,6,1)="3",Froto!D16,Froto!D16-Froto!E16)</f>
        <v>0</v>
      </c>
      <c r="E16" s="6">
        <f>IF(MID(E$1,6,1)="3",Froto!E16,Froto!E16-Froto!F16)</f>
        <v>0</v>
      </c>
      <c r="F16" s="6">
        <f>IF(MID(F$1,6,1)="3",Froto!F16,Froto!F16-Froto!G16)</f>
        <v>0</v>
      </c>
      <c r="G16" s="6">
        <f>IF(MID(G$1,6,1)="3",Froto!G16,Froto!G16-Froto!H16)</f>
        <v>0</v>
      </c>
      <c r="H16" s="6">
        <f>IF(MID(H$1,6,1)="3",Froto!H16,Froto!H16-Froto!I16)</f>
        <v>0</v>
      </c>
      <c r="I16" s="6">
        <f>IF(MID(I$1,6,1)="3",Froto!I16,Froto!I16-Froto!J16)</f>
        <v>0</v>
      </c>
      <c r="J16" s="6">
        <f>IF(MID(J$1,6,1)="3",Froto!J16,Froto!J16-Froto!K16)</f>
        <v>0</v>
      </c>
      <c r="K16" s="6">
        <f>IF(MID(K$1,6,1)="3",Froto!K16,Froto!K16-Froto!L16)</f>
        <v>0</v>
      </c>
      <c r="L16" s="6">
        <f>IF(MID(L$1,6,1)="3",Froto!L16,Froto!L16-Froto!M16)</f>
        <v>0</v>
      </c>
      <c r="M16" s="6">
        <f>IF(MID(M$1,6,1)="3",Froto!M16,Froto!M16-Froto!N16)</f>
        <v>0</v>
      </c>
      <c r="N16" s="6">
        <f>IF(MID(N$1,6,1)="3",Froto!N16,Froto!N16-Froto!O16)</f>
        <v>0</v>
      </c>
      <c r="O16" s="6">
        <f>IF(MID(O$1,6,1)="3",Froto!O16,Froto!O16-Froto!P16)</f>
        <v>0</v>
      </c>
      <c r="P16" s="6">
        <f>IF(MID(P$1,6,1)="3",Froto!P16,Froto!P16-Froto!Q16)</f>
        <v>0</v>
      </c>
      <c r="Q16" s="6">
        <f>IF(MID(Q$1,6,1)="3",Froto!Q16,Froto!Q16-Froto!R16)</f>
        <v>0</v>
      </c>
      <c r="R16" s="6">
        <f>IF(MID(R$1,6,1)="3",Froto!R16,Froto!R16-Froto!S16)</f>
        <v>0</v>
      </c>
      <c r="S16" s="6">
        <f>IF(MID(S$1,6,1)="3",Froto!S16,Froto!S16-Froto!T16)</f>
        <v>0</v>
      </c>
      <c r="T16" s="6">
        <f>IF(MID(T$1,6,1)="3",Froto!T16,Froto!T16-Froto!U16)</f>
        <v>0</v>
      </c>
      <c r="U16" s="6">
        <f>IF(MID(U$1,6,1)="3",Froto!U16,Froto!U16-Froto!V16)</f>
        <v>0</v>
      </c>
    </row>
    <row r="17" spans="1:21" x14ac:dyDescent="0.25">
      <c r="A17" t="str">
        <f>Froto!A17</f>
        <v xml:space="preserve">  Diğer Alacaklar</v>
      </c>
      <c r="B17" s="6">
        <f>IF(MID(B$1,6,1)="3",Froto!B17,Froto!B17-Froto!C17)</f>
        <v>77008000</v>
      </c>
      <c r="C17" s="6">
        <f>IF(MID(C$1,6,1)="3",Froto!C17,Froto!C17-Froto!D17)</f>
        <v>1076075000</v>
      </c>
      <c r="D17" s="6">
        <f>IF(MID(D$1,6,1)="3",Froto!D17,Froto!D17-Froto!E17)</f>
        <v>0</v>
      </c>
      <c r="E17" s="6">
        <f>IF(MID(E$1,6,1)="3",Froto!E17,Froto!E17-Froto!F17)</f>
        <v>0</v>
      </c>
      <c r="F17" s="6">
        <f>IF(MID(F$1,6,1)="3",Froto!F17,Froto!F17-Froto!G17)</f>
        <v>0</v>
      </c>
      <c r="G17" s="6">
        <f>IF(MID(G$1,6,1)="3",Froto!G17,Froto!G17-Froto!H17)</f>
        <v>0</v>
      </c>
      <c r="H17" s="6">
        <f>IF(MID(H$1,6,1)="3",Froto!H17,Froto!H17-Froto!I17)</f>
        <v>0</v>
      </c>
      <c r="I17" s="6">
        <f>IF(MID(I$1,6,1)="3",Froto!I17,Froto!I17-Froto!J17)</f>
        <v>0</v>
      </c>
      <c r="J17" s="6">
        <f>IF(MID(J$1,6,1)="3",Froto!J17,Froto!J17-Froto!K17)</f>
        <v>0</v>
      </c>
      <c r="K17" s="6">
        <f>IF(MID(K$1,6,1)="3",Froto!K17,Froto!K17-Froto!L17)</f>
        <v>0</v>
      </c>
      <c r="L17" s="6">
        <f>IF(MID(L$1,6,1)="3",Froto!L17,Froto!L17-Froto!M17)</f>
        <v>0</v>
      </c>
      <c r="M17" s="6">
        <f>IF(MID(M$1,6,1)="3",Froto!M17,Froto!M17-Froto!N17)</f>
        <v>0</v>
      </c>
      <c r="N17" s="6">
        <f>IF(MID(N$1,6,1)="3",Froto!N17,Froto!N17-Froto!O17)</f>
        <v>0</v>
      </c>
      <c r="O17" s="6">
        <f>IF(MID(O$1,6,1)="3",Froto!O17,Froto!O17-Froto!P17)</f>
        <v>0</v>
      </c>
      <c r="P17" s="6">
        <f>IF(MID(P$1,6,1)="3",Froto!P17,Froto!P17-Froto!Q17)</f>
        <v>0</v>
      </c>
      <c r="Q17" s="6">
        <f>IF(MID(Q$1,6,1)="3",Froto!Q17,Froto!Q17-Froto!R17)</f>
        <v>0</v>
      </c>
      <c r="R17" s="6">
        <f>IF(MID(R$1,6,1)="3",Froto!R17,Froto!R17-Froto!S17)</f>
        <v>0</v>
      </c>
      <c r="S17" s="6">
        <f>IF(MID(S$1,6,1)="3",Froto!S17,Froto!S17-Froto!T17)</f>
        <v>0</v>
      </c>
      <c r="T17" s="6">
        <f>IF(MID(T$1,6,1)="3",Froto!T17,Froto!T17-Froto!U17)</f>
        <v>0</v>
      </c>
      <c r="U17" s="6">
        <f>IF(MID(U$1,6,1)="3",Froto!U17,Froto!U17-Froto!V17)</f>
        <v>0</v>
      </c>
    </row>
    <row r="18" spans="1:21" x14ac:dyDescent="0.25">
      <c r="A18" t="str">
        <f>Froto!A18</f>
        <v xml:space="preserve">  Müşteri Sözleşmelerinden Doğan Varlıklar</v>
      </c>
      <c r="B18" s="6">
        <f>IF(MID(B$1,6,1)="3",Froto!B18,Froto!B18-Froto!C18)</f>
        <v>0</v>
      </c>
      <c r="C18" s="6">
        <f>IF(MID(C$1,6,1)="3",Froto!C18,Froto!C18-Froto!D18)</f>
        <v>0</v>
      </c>
      <c r="D18" s="6">
        <f>IF(MID(D$1,6,1)="3",Froto!D18,Froto!D18-Froto!E18)</f>
        <v>0</v>
      </c>
      <c r="E18" s="6">
        <f>IF(MID(E$1,6,1)="3",Froto!E18,Froto!E18-Froto!F18)</f>
        <v>0</v>
      </c>
      <c r="F18" s="6">
        <f>IF(MID(F$1,6,1)="3",Froto!F18,Froto!F18-Froto!G18)</f>
        <v>0</v>
      </c>
      <c r="G18" s="6">
        <f>IF(MID(G$1,6,1)="3",Froto!G18,Froto!G18-Froto!H18)</f>
        <v>0</v>
      </c>
      <c r="H18" s="6">
        <f>IF(MID(H$1,6,1)="3",Froto!H18,Froto!H18-Froto!I18)</f>
        <v>0</v>
      </c>
      <c r="I18" s="6">
        <f>IF(MID(I$1,6,1)="3",Froto!I18,Froto!I18-Froto!J18)</f>
        <v>0</v>
      </c>
      <c r="J18" s="6">
        <f>IF(MID(J$1,6,1)="3",Froto!J18,Froto!J18-Froto!K18)</f>
        <v>0</v>
      </c>
      <c r="K18" s="6">
        <f>IF(MID(K$1,6,1)="3",Froto!K18,Froto!K18-Froto!L18)</f>
        <v>0</v>
      </c>
      <c r="L18" s="6">
        <f>IF(MID(L$1,6,1)="3",Froto!L18,Froto!L18-Froto!M18)</f>
        <v>0</v>
      </c>
      <c r="M18" s="6">
        <f>IF(MID(M$1,6,1)="3",Froto!M18,Froto!M18-Froto!N18)</f>
        <v>0</v>
      </c>
      <c r="N18" s="6">
        <f>IF(MID(N$1,6,1)="3",Froto!N18,Froto!N18-Froto!O18)</f>
        <v>0</v>
      </c>
      <c r="O18" s="6">
        <f>IF(MID(O$1,6,1)="3",Froto!O18,Froto!O18-Froto!P18)</f>
        <v>0</v>
      </c>
      <c r="P18" s="6">
        <f>IF(MID(P$1,6,1)="3",Froto!P18,Froto!P18-Froto!Q18)</f>
        <v>0</v>
      </c>
      <c r="Q18" s="6">
        <f>IF(MID(Q$1,6,1)="3",Froto!Q18,Froto!Q18-Froto!R18)</f>
        <v>0</v>
      </c>
      <c r="R18" s="6">
        <f>IF(MID(R$1,6,1)="3",Froto!R18,Froto!R18-Froto!S18)</f>
        <v>0</v>
      </c>
      <c r="S18" s="6">
        <f>IF(MID(S$1,6,1)="3",Froto!S18,Froto!S18-Froto!T18)</f>
        <v>0</v>
      </c>
      <c r="T18" s="6">
        <f>IF(MID(T$1,6,1)="3",Froto!T18,Froto!T18-Froto!U18)</f>
        <v>0</v>
      </c>
      <c r="U18" s="6">
        <f>IF(MID(U$1,6,1)="3",Froto!U18,Froto!U18-Froto!V18)</f>
        <v>0</v>
      </c>
    </row>
    <row r="19" spans="1:21" x14ac:dyDescent="0.25">
      <c r="A19" t="str">
        <f>Froto!A19</f>
        <v xml:space="preserve">  Finansal Yatırımlar</v>
      </c>
      <c r="B19" s="6">
        <f>IF(MID(B$1,6,1)="3",Froto!B19,Froto!B19-Froto!C19)</f>
        <v>66672000</v>
      </c>
      <c r="C19" s="6">
        <f>IF(MID(C$1,6,1)="3",Froto!C19,Froto!C19-Froto!D19)</f>
        <v>19501000</v>
      </c>
      <c r="D19" s="6">
        <f>IF(MID(D$1,6,1)="3",Froto!D19,Froto!D19-Froto!E19)</f>
        <v>-281000</v>
      </c>
      <c r="E19" s="6">
        <f>IF(MID(E$1,6,1)="3",Froto!E19,Froto!E19-Froto!F19)</f>
        <v>60050000</v>
      </c>
      <c r="F19" s="6">
        <f>IF(MID(F$1,6,1)="3",Froto!F19,Froto!F19-Froto!G19)</f>
        <v>4668000</v>
      </c>
      <c r="G19" s="6">
        <f>IF(MID(G$1,6,1)="3",Froto!G19,Froto!G19-Froto!H19)</f>
        <v>6158000</v>
      </c>
      <c r="H19" s="6">
        <f>IF(MID(H$1,6,1)="3",Froto!H19,Froto!H19-Froto!I19)</f>
        <v>-11937000</v>
      </c>
      <c r="I19" s="6">
        <f>IF(MID(I$1,6,1)="3",Froto!I19,Froto!I19-Froto!J19)</f>
        <v>51024000</v>
      </c>
      <c r="J19" s="6">
        <f>IF(MID(J$1,6,1)="3",Froto!J19,Froto!J19-Froto!K19)</f>
        <v>25392000</v>
      </c>
      <c r="K19" s="6">
        <f>IF(MID(K$1,6,1)="3",Froto!K19,Froto!K19-Froto!L19)</f>
        <v>-1673000</v>
      </c>
      <c r="L19" s="6">
        <f>IF(MID(L$1,6,1)="3",Froto!L19,Froto!L19-Froto!M19)</f>
        <v>6468000</v>
      </c>
      <c r="M19" s="6">
        <f>IF(MID(M$1,6,1)="3",Froto!M19,Froto!M19-Froto!N19)</f>
        <v>14580000</v>
      </c>
      <c r="N19" s="6">
        <f>IF(MID(N$1,6,1)="3",Froto!N19,Froto!N19-Froto!O19)</f>
        <v>3373000</v>
      </c>
      <c r="O19" s="6">
        <f>IF(MID(O$1,6,1)="3",Froto!O19,Froto!O19-Froto!P19)</f>
        <v>2954000</v>
      </c>
      <c r="P19" s="6">
        <f>IF(MID(P$1,6,1)="3",Froto!P19,Froto!P19-Froto!Q19)</f>
        <v>1279000</v>
      </c>
      <c r="Q19" s="6">
        <f>IF(MID(Q$1,6,1)="3",Froto!Q19,Froto!Q19-Froto!R19)</f>
        <v>14749000</v>
      </c>
      <c r="R19" s="6">
        <f>IF(MID(R$1,6,1)="3",Froto!R19,Froto!R19-Froto!S19)</f>
        <v>738000</v>
      </c>
      <c r="S19" s="6">
        <f>IF(MID(S$1,6,1)="3",Froto!S19,Froto!S19-Froto!T19)</f>
        <v>1062000</v>
      </c>
      <c r="T19" s="6">
        <f>IF(MID(T$1,6,1)="3",Froto!T19,Froto!T19-Froto!U19)</f>
        <v>-5448000</v>
      </c>
      <c r="U19" s="6">
        <f>IF(MID(U$1,6,1)="3",Froto!U19,Froto!U19-Froto!V19)</f>
        <v>16056000</v>
      </c>
    </row>
    <row r="20" spans="1:21" x14ac:dyDescent="0.25">
      <c r="A20" t="str">
        <f>Froto!A20</f>
        <v xml:space="preserve">  Özkaynak Yöntemiyle Değerlenen Yatırımlar</v>
      </c>
      <c r="B20" s="6">
        <f>IF(MID(B$1,6,1)="3",Froto!B20,Froto!B20-Froto!C20)</f>
        <v>0</v>
      </c>
      <c r="C20" s="6">
        <f>IF(MID(C$1,6,1)="3",Froto!C20,Froto!C20-Froto!D20)</f>
        <v>0</v>
      </c>
      <c r="D20" s="6">
        <f>IF(MID(D$1,6,1)="3",Froto!D20,Froto!D20-Froto!E20)</f>
        <v>0</v>
      </c>
      <c r="E20" s="6">
        <f>IF(MID(E$1,6,1)="3",Froto!E20,Froto!E20-Froto!F20)</f>
        <v>0</v>
      </c>
      <c r="F20" s="6">
        <f>IF(MID(F$1,6,1)="3",Froto!F20,Froto!F20-Froto!G20)</f>
        <v>0</v>
      </c>
      <c r="G20" s="6">
        <f>IF(MID(G$1,6,1)="3",Froto!G20,Froto!G20-Froto!H20)</f>
        <v>0</v>
      </c>
      <c r="H20" s="6">
        <f>IF(MID(H$1,6,1)="3",Froto!H20,Froto!H20-Froto!I20)</f>
        <v>0</v>
      </c>
      <c r="I20" s="6">
        <f>IF(MID(I$1,6,1)="3",Froto!I20,Froto!I20-Froto!J20)</f>
        <v>0</v>
      </c>
      <c r="J20" s="6">
        <f>IF(MID(J$1,6,1)="3",Froto!J20,Froto!J20-Froto!K20)</f>
        <v>0</v>
      </c>
      <c r="K20" s="6">
        <f>IF(MID(K$1,6,1)="3",Froto!K20,Froto!K20-Froto!L20)</f>
        <v>0</v>
      </c>
      <c r="L20" s="6">
        <f>IF(MID(L$1,6,1)="3",Froto!L20,Froto!L20-Froto!M20)</f>
        <v>0</v>
      </c>
      <c r="M20" s="6">
        <f>IF(MID(M$1,6,1)="3",Froto!M20,Froto!M20-Froto!N20)</f>
        <v>0</v>
      </c>
      <c r="N20" s="6">
        <f>IF(MID(N$1,6,1)="3",Froto!N20,Froto!N20-Froto!O20)</f>
        <v>0</v>
      </c>
      <c r="O20" s="6">
        <f>IF(MID(O$1,6,1)="3",Froto!O20,Froto!O20-Froto!P20)</f>
        <v>-783000</v>
      </c>
      <c r="P20" s="6">
        <f>IF(MID(P$1,6,1)="3",Froto!P20,Froto!P20-Froto!Q20)</f>
        <v>-118000</v>
      </c>
      <c r="Q20" s="6">
        <f>IF(MID(Q$1,6,1)="3",Froto!Q20,Froto!Q20-Froto!R20)</f>
        <v>901000</v>
      </c>
      <c r="R20" s="6">
        <f>IF(MID(R$1,6,1)="3",Froto!R20,Froto!R20-Froto!S20)</f>
        <v>-73000</v>
      </c>
      <c r="S20" s="6">
        <f>IF(MID(S$1,6,1)="3",Froto!S20,Froto!S20-Froto!T20)</f>
        <v>1006000</v>
      </c>
      <c r="T20" s="6">
        <f>IF(MID(T$1,6,1)="3",Froto!T20,Froto!T20-Froto!U20)</f>
        <v>0</v>
      </c>
      <c r="U20" s="6">
        <f>IF(MID(U$1,6,1)="3",Froto!U20,Froto!U20-Froto!V20)</f>
        <v>0</v>
      </c>
    </row>
    <row r="21" spans="1:21" x14ac:dyDescent="0.25">
      <c r="A21" t="str">
        <f>Froto!A21</f>
        <v xml:space="preserve">  Canlı Varlıklar</v>
      </c>
      <c r="B21" s="6">
        <f>IF(MID(B$1,6,1)="3",Froto!B21,Froto!B21-Froto!C21)</f>
        <v>0</v>
      </c>
      <c r="C21" s="6">
        <f>IF(MID(C$1,6,1)="3",Froto!C21,Froto!C21-Froto!D21)</f>
        <v>0</v>
      </c>
      <c r="D21" s="6">
        <f>IF(MID(D$1,6,1)="3",Froto!D21,Froto!D21-Froto!E21)</f>
        <v>0</v>
      </c>
      <c r="E21" s="6">
        <f>IF(MID(E$1,6,1)="3",Froto!E21,Froto!E21-Froto!F21)</f>
        <v>0</v>
      </c>
      <c r="F21" s="6">
        <f>IF(MID(F$1,6,1)="3",Froto!F21,Froto!F21-Froto!G21)</f>
        <v>0</v>
      </c>
      <c r="G21" s="6">
        <f>IF(MID(G$1,6,1)="3",Froto!G21,Froto!G21-Froto!H21)</f>
        <v>0</v>
      </c>
      <c r="H21" s="6">
        <f>IF(MID(H$1,6,1)="3",Froto!H21,Froto!H21-Froto!I21)</f>
        <v>0</v>
      </c>
      <c r="I21" s="6">
        <f>IF(MID(I$1,6,1)="3",Froto!I21,Froto!I21-Froto!J21)</f>
        <v>0</v>
      </c>
      <c r="J21" s="6">
        <f>IF(MID(J$1,6,1)="3",Froto!J21,Froto!J21-Froto!K21)</f>
        <v>0</v>
      </c>
      <c r="K21" s="6">
        <f>IF(MID(K$1,6,1)="3",Froto!K21,Froto!K21-Froto!L21)</f>
        <v>0</v>
      </c>
      <c r="L21" s="6">
        <f>IF(MID(L$1,6,1)="3",Froto!L21,Froto!L21-Froto!M21)</f>
        <v>0</v>
      </c>
      <c r="M21" s="6">
        <f>IF(MID(M$1,6,1)="3",Froto!M21,Froto!M21-Froto!N21)</f>
        <v>0</v>
      </c>
      <c r="N21" s="6">
        <f>IF(MID(N$1,6,1)="3",Froto!N21,Froto!N21-Froto!O21)</f>
        <v>0</v>
      </c>
      <c r="O21" s="6">
        <f>IF(MID(O$1,6,1)="3",Froto!O21,Froto!O21-Froto!P21)</f>
        <v>0</v>
      </c>
      <c r="P21" s="6">
        <f>IF(MID(P$1,6,1)="3",Froto!P21,Froto!P21-Froto!Q21)</f>
        <v>0</v>
      </c>
      <c r="Q21" s="6">
        <f>IF(MID(Q$1,6,1)="3",Froto!Q21,Froto!Q21-Froto!R21)</f>
        <v>0</v>
      </c>
      <c r="R21" s="6">
        <f>IF(MID(R$1,6,1)="3",Froto!R21,Froto!R21-Froto!S21)</f>
        <v>0</v>
      </c>
      <c r="S21" s="6">
        <f>IF(MID(S$1,6,1)="3",Froto!S21,Froto!S21-Froto!T21)</f>
        <v>0</v>
      </c>
      <c r="T21" s="6">
        <f>IF(MID(T$1,6,1)="3",Froto!T21,Froto!T21-Froto!U21)</f>
        <v>0</v>
      </c>
      <c r="U21" s="6">
        <f>IF(MID(U$1,6,1)="3",Froto!U21,Froto!U21-Froto!V21)</f>
        <v>0</v>
      </c>
    </row>
    <row r="22" spans="1:21" x14ac:dyDescent="0.25">
      <c r="A22" t="str">
        <f>Froto!A22</f>
        <v xml:space="preserve">  Yatırım Amaçlı Gayrimenkuller</v>
      </c>
      <c r="B22" s="6">
        <f>IF(MID(B$1,6,1)="3",Froto!B22,Froto!B22-Froto!C22)</f>
        <v>0</v>
      </c>
      <c r="C22" s="6">
        <f>IF(MID(C$1,6,1)="3",Froto!C22,Froto!C22-Froto!D22)</f>
        <v>0</v>
      </c>
      <c r="D22" s="6">
        <f>IF(MID(D$1,6,1)="3",Froto!D22,Froto!D22-Froto!E22)</f>
        <v>0</v>
      </c>
      <c r="E22" s="6">
        <f>IF(MID(E$1,6,1)="3",Froto!E22,Froto!E22-Froto!F22)</f>
        <v>0</v>
      </c>
      <c r="F22" s="6">
        <f>IF(MID(F$1,6,1)="3",Froto!F22,Froto!F22-Froto!G22)</f>
        <v>0</v>
      </c>
      <c r="G22" s="6">
        <f>IF(MID(G$1,6,1)="3",Froto!G22,Froto!G22-Froto!H22)</f>
        <v>0</v>
      </c>
      <c r="H22" s="6">
        <f>IF(MID(H$1,6,1)="3",Froto!H22,Froto!H22-Froto!I22)</f>
        <v>0</v>
      </c>
      <c r="I22" s="6">
        <f>IF(MID(I$1,6,1)="3",Froto!I22,Froto!I22-Froto!J22)</f>
        <v>0</v>
      </c>
      <c r="J22" s="6">
        <f>IF(MID(J$1,6,1)="3",Froto!J22,Froto!J22-Froto!K22)</f>
        <v>0</v>
      </c>
      <c r="K22" s="6">
        <f>IF(MID(K$1,6,1)="3",Froto!K22,Froto!K22-Froto!L22)</f>
        <v>0</v>
      </c>
      <c r="L22" s="6">
        <f>IF(MID(L$1,6,1)="3",Froto!L22,Froto!L22-Froto!M22)</f>
        <v>0</v>
      </c>
      <c r="M22" s="6">
        <f>IF(MID(M$1,6,1)="3",Froto!M22,Froto!M22-Froto!N22)</f>
        <v>0</v>
      </c>
      <c r="N22" s="6">
        <f>IF(MID(N$1,6,1)="3",Froto!N22,Froto!N22-Froto!O22)</f>
        <v>0</v>
      </c>
      <c r="O22" s="6">
        <f>IF(MID(O$1,6,1)="3",Froto!O22,Froto!O22-Froto!P22)</f>
        <v>0</v>
      </c>
      <c r="P22" s="6">
        <f>IF(MID(P$1,6,1)="3",Froto!P22,Froto!P22-Froto!Q22)</f>
        <v>0</v>
      </c>
      <c r="Q22" s="6">
        <f>IF(MID(Q$1,6,1)="3",Froto!Q22,Froto!Q22-Froto!R22)</f>
        <v>0</v>
      </c>
      <c r="R22" s="6">
        <f>IF(MID(R$1,6,1)="3",Froto!R22,Froto!R22-Froto!S22)</f>
        <v>0</v>
      </c>
      <c r="S22" s="6">
        <f>IF(MID(S$1,6,1)="3",Froto!S22,Froto!S22-Froto!T22)</f>
        <v>0</v>
      </c>
      <c r="T22" s="6">
        <f>IF(MID(T$1,6,1)="3",Froto!T22,Froto!T22-Froto!U22)</f>
        <v>0</v>
      </c>
      <c r="U22" s="6">
        <f>IF(MID(U$1,6,1)="3",Froto!U22,Froto!U22-Froto!V22)</f>
        <v>0</v>
      </c>
    </row>
    <row r="23" spans="1:21" x14ac:dyDescent="0.25">
      <c r="A23" t="str">
        <f>Froto!A23</f>
        <v xml:space="preserve">  Stoklar</v>
      </c>
      <c r="B23" s="6">
        <f>IF(MID(B$1,6,1)="3",Froto!B23,Froto!B23-Froto!C23)</f>
        <v>0</v>
      </c>
      <c r="C23" s="6">
        <f>IF(MID(C$1,6,1)="3",Froto!C23,Froto!C23-Froto!D23)</f>
        <v>0</v>
      </c>
      <c r="D23" s="6">
        <f>IF(MID(D$1,6,1)="3",Froto!D23,Froto!D23-Froto!E23)</f>
        <v>0</v>
      </c>
      <c r="E23" s="6">
        <f>IF(MID(E$1,6,1)="3",Froto!E23,Froto!E23-Froto!F23)</f>
        <v>0</v>
      </c>
      <c r="F23" s="6">
        <f>IF(MID(F$1,6,1)="3",Froto!F23,Froto!F23-Froto!G23)</f>
        <v>0</v>
      </c>
      <c r="G23" s="6">
        <f>IF(MID(G$1,6,1)="3",Froto!G23,Froto!G23-Froto!H23)</f>
        <v>0</v>
      </c>
      <c r="H23" s="6">
        <f>IF(MID(H$1,6,1)="3",Froto!H23,Froto!H23-Froto!I23)</f>
        <v>0</v>
      </c>
      <c r="I23" s="6">
        <f>IF(MID(I$1,6,1)="3",Froto!I23,Froto!I23-Froto!J23)</f>
        <v>0</v>
      </c>
      <c r="J23" s="6">
        <f>IF(MID(J$1,6,1)="3",Froto!J23,Froto!J23-Froto!K23)</f>
        <v>0</v>
      </c>
      <c r="K23" s="6">
        <f>IF(MID(K$1,6,1)="3",Froto!K23,Froto!K23-Froto!L23)</f>
        <v>0</v>
      </c>
      <c r="L23" s="6">
        <f>IF(MID(L$1,6,1)="3",Froto!L23,Froto!L23-Froto!M23)</f>
        <v>0</v>
      </c>
      <c r="M23" s="6">
        <f>IF(MID(M$1,6,1)="3",Froto!M23,Froto!M23-Froto!N23)</f>
        <v>0</v>
      </c>
      <c r="N23" s="6">
        <f>IF(MID(N$1,6,1)="3",Froto!N23,Froto!N23-Froto!O23)</f>
        <v>0</v>
      </c>
      <c r="O23" s="6">
        <f>IF(MID(O$1,6,1)="3",Froto!O23,Froto!O23-Froto!P23)</f>
        <v>0</v>
      </c>
      <c r="P23" s="6">
        <f>IF(MID(P$1,6,1)="3",Froto!P23,Froto!P23-Froto!Q23)</f>
        <v>0</v>
      </c>
      <c r="Q23" s="6">
        <f>IF(MID(Q$1,6,1)="3",Froto!Q23,Froto!Q23-Froto!R23)</f>
        <v>0</v>
      </c>
      <c r="R23" s="6">
        <f>IF(MID(R$1,6,1)="3",Froto!R23,Froto!R23-Froto!S23)</f>
        <v>0</v>
      </c>
      <c r="S23" s="6">
        <f>IF(MID(S$1,6,1)="3",Froto!S23,Froto!S23-Froto!T23)</f>
        <v>0</v>
      </c>
      <c r="T23" s="6">
        <f>IF(MID(T$1,6,1)="3",Froto!T23,Froto!T23-Froto!U23)</f>
        <v>0</v>
      </c>
      <c r="U23" s="6">
        <f>IF(MID(U$1,6,1)="3",Froto!U23,Froto!U23-Froto!V23)</f>
        <v>0</v>
      </c>
    </row>
    <row r="24" spans="1:21" x14ac:dyDescent="0.25">
      <c r="A24" t="str">
        <f>Froto!A24</f>
        <v xml:space="preserve">  Kullanım Hakkı Varlıkları</v>
      </c>
      <c r="B24" s="6">
        <f>IF(MID(B$1,6,1)="3",Froto!B24,Froto!B24-Froto!C24)</f>
        <v>74277000</v>
      </c>
      <c r="C24" s="6">
        <f>IF(MID(C$1,6,1)="3",Froto!C24,Froto!C24-Froto!D24)</f>
        <v>18670000</v>
      </c>
      <c r="D24" s="6">
        <f>IF(MID(D$1,6,1)="3",Froto!D24,Froto!D24-Froto!E24)</f>
        <v>12695000</v>
      </c>
      <c r="E24" s="6">
        <f>IF(MID(E$1,6,1)="3",Froto!E24,Froto!E24-Froto!F24)</f>
        <v>58833000</v>
      </c>
      <c r="F24" s="6">
        <f>IF(MID(F$1,6,1)="3",Froto!F24,Froto!F24-Froto!G24)</f>
        <v>2632000</v>
      </c>
      <c r="G24" s="6">
        <f>IF(MID(G$1,6,1)="3",Froto!G24,Froto!G24-Froto!H24)</f>
        <v>-8867000</v>
      </c>
      <c r="H24" s="6">
        <f>IF(MID(H$1,6,1)="3",Froto!H24,Froto!H24-Froto!I24)</f>
        <v>13985000</v>
      </c>
      <c r="I24" s="6">
        <f>IF(MID(I$1,6,1)="3",Froto!I24,Froto!I24-Froto!J24)</f>
        <v>61017000</v>
      </c>
      <c r="J24" s="6">
        <f>IF(MID(J$1,6,1)="3",Froto!J24,Froto!J24-Froto!K24)</f>
        <v>-13073000</v>
      </c>
      <c r="K24" s="6">
        <f>IF(MID(K$1,6,1)="3",Froto!K24,Froto!K24-Froto!L24)</f>
        <v>-10214000</v>
      </c>
      <c r="L24" s="6">
        <f>IF(MID(L$1,6,1)="3",Froto!L24,Froto!L24-Froto!M24)</f>
        <v>3445000</v>
      </c>
      <c r="M24" s="6">
        <f>IF(MID(M$1,6,1)="3",Froto!M24,Froto!M24-Froto!N24)</f>
        <v>88761000</v>
      </c>
      <c r="N24" s="6">
        <f>IF(MID(N$1,6,1)="3",Froto!N24,Froto!N24-Froto!O24)</f>
        <v>-8298000</v>
      </c>
      <c r="O24" s="6">
        <f>IF(MID(O$1,6,1)="3",Froto!O24,Froto!O24-Froto!P24)</f>
        <v>-10696000</v>
      </c>
      <c r="P24" s="6">
        <f>IF(MID(P$1,6,1)="3",Froto!P24,Froto!P24-Froto!Q24)</f>
        <v>-7559000</v>
      </c>
      <c r="Q24" s="6">
        <f>IF(MID(Q$1,6,1)="3",Froto!Q24,Froto!Q24-Froto!R24)</f>
        <v>126267000</v>
      </c>
      <c r="R24" s="6">
        <f>IF(MID(R$1,6,1)="3",Froto!R24,Froto!R24-Froto!S24)</f>
        <v>0</v>
      </c>
      <c r="S24" s="6">
        <f>IF(MID(S$1,6,1)="3",Froto!S24,Froto!S24-Froto!T24)</f>
        <v>0</v>
      </c>
      <c r="T24" s="6">
        <f>IF(MID(T$1,6,1)="3",Froto!T24,Froto!T24-Froto!U24)</f>
        <v>0</v>
      </c>
      <c r="U24" s="6">
        <f>IF(MID(U$1,6,1)="3",Froto!U24,Froto!U24-Froto!V24)</f>
        <v>0</v>
      </c>
    </row>
    <row r="25" spans="1:21" x14ac:dyDescent="0.25">
      <c r="A25" t="str">
        <f>Froto!A25</f>
        <v xml:space="preserve">  Maddi Duran Varlıklar</v>
      </c>
      <c r="B25" s="6">
        <f>IF(MID(B$1,6,1)="3",Froto!B25,Froto!B25-Froto!C25)</f>
        <v>4522740000</v>
      </c>
      <c r="C25" s="6">
        <f>IF(MID(C$1,6,1)="3",Froto!C25,Froto!C25-Froto!D25)</f>
        <v>9125445000</v>
      </c>
      <c r="D25" s="6">
        <f>IF(MID(D$1,6,1)="3",Froto!D25,Froto!D25-Froto!E25)</f>
        <v>1137520000</v>
      </c>
      <c r="E25" s="6">
        <f>IF(MID(E$1,6,1)="3",Froto!E25,Froto!E25-Froto!F25)</f>
        <v>5359485000</v>
      </c>
      <c r="F25" s="6">
        <f>IF(MID(F$1,6,1)="3",Froto!F25,Froto!F25-Froto!G25)</f>
        <v>542944000</v>
      </c>
      <c r="G25" s="6">
        <f>IF(MID(G$1,6,1)="3",Froto!G25,Froto!G25-Froto!H25)</f>
        <v>167898000</v>
      </c>
      <c r="H25" s="6">
        <f>IF(MID(H$1,6,1)="3",Froto!H25,Froto!H25-Froto!I25)</f>
        <v>62958000</v>
      </c>
      <c r="I25" s="6">
        <f>IF(MID(I$1,6,1)="3",Froto!I25,Froto!I25-Froto!J25)</f>
        <v>4375283000</v>
      </c>
      <c r="J25" s="6">
        <f>IF(MID(J$1,6,1)="3",Froto!J25,Froto!J25-Froto!K25)</f>
        <v>159754000</v>
      </c>
      <c r="K25" s="6">
        <f>IF(MID(K$1,6,1)="3",Froto!K25,Froto!K25-Froto!L25)</f>
        <v>-109406000</v>
      </c>
      <c r="L25" s="6">
        <f>IF(MID(L$1,6,1)="3",Froto!L25,Froto!L25-Froto!M25)</f>
        <v>-33049000</v>
      </c>
      <c r="M25" s="6">
        <f>IF(MID(M$1,6,1)="3",Froto!M25,Froto!M25-Froto!N25)</f>
        <v>4386074000</v>
      </c>
      <c r="N25" s="6">
        <f>IF(MID(N$1,6,1)="3",Froto!N25,Froto!N25-Froto!O25)</f>
        <v>207662000</v>
      </c>
      <c r="O25" s="6">
        <f>IF(MID(O$1,6,1)="3",Froto!O25,Froto!O25-Froto!P25)</f>
        <v>48464000</v>
      </c>
      <c r="P25" s="6">
        <f>IF(MID(P$1,6,1)="3",Froto!P25,Froto!P25-Froto!Q25)</f>
        <v>169772000</v>
      </c>
      <c r="Q25" s="6">
        <f>IF(MID(Q$1,6,1)="3",Froto!Q25,Froto!Q25-Froto!R25)</f>
        <v>4010650000</v>
      </c>
      <c r="R25" s="6">
        <f>IF(MID(R$1,6,1)="3",Froto!R25,Froto!R25-Froto!S25)</f>
        <v>212746000</v>
      </c>
      <c r="S25" s="6">
        <f>IF(MID(S$1,6,1)="3",Froto!S25,Froto!S25-Froto!T25)</f>
        <v>137803000</v>
      </c>
      <c r="T25" s="6">
        <f>IF(MID(T$1,6,1)="3",Froto!T25,Froto!T25-Froto!U25)</f>
        <v>41561000</v>
      </c>
      <c r="U25" s="6">
        <f>IF(MID(U$1,6,1)="3",Froto!U25,Froto!U25-Froto!V25)</f>
        <v>3530637000</v>
      </c>
    </row>
    <row r="26" spans="1:21" x14ac:dyDescent="0.25">
      <c r="A26" t="str">
        <f>Froto!A26</f>
        <v xml:space="preserve">  Şerefiye</v>
      </c>
      <c r="B26" s="6">
        <f>IF(MID(B$1,6,1)="3",Froto!B26,Froto!B26-Froto!C26)</f>
        <v>-35823000</v>
      </c>
      <c r="C26" s="6">
        <f>IF(MID(C$1,6,1)="3",Froto!C26,Froto!C26-Froto!D26)</f>
        <v>539764000</v>
      </c>
      <c r="D26" s="6">
        <f>IF(MID(D$1,6,1)="3",Froto!D26,Froto!D26-Froto!E26)</f>
        <v>0</v>
      </c>
      <c r="E26" s="6">
        <f>IF(MID(E$1,6,1)="3",Froto!E26,Froto!E26-Froto!F26)</f>
        <v>0</v>
      </c>
      <c r="F26" s="6">
        <f>IF(MID(F$1,6,1)="3",Froto!F26,Froto!F26-Froto!G26)</f>
        <v>0</v>
      </c>
      <c r="G26" s="6">
        <f>IF(MID(G$1,6,1)="3",Froto!G26,Froto!G26-Froto!H26)</f>
        <v>0</v>
      </c>
      <c r="H26" s="6">
        <f>IF(MID(H$1,6,1)="3",Froto!H26,Froto!H26-Froto!I26)</f>
        <v>0</v>
      </c>
      <c r="I26" s="6">
        <f>IF(MID(I$1,6,1)="3",Froto!I26,Froto!I26-Froto!J26)</f>
        <v>0</v>
      </c>
      <c r="J26" s="6">
        <f>IF(MID(J$1,6,1)="3",Froto!J26,Froto!J26-Froto!K26)</f>
        <v>0</v>
      </c>
      <c r="K26" s="6">
        <f>IF(MID(K$1,6,1)="3",Froto!K26,Froto!K26-Froto!L26)</f>
        <v>0</v>
      </c>
      <c r="L26" s="6">
        <f>IF(MID(L$1,6,1)="3",Froto!L26,Froto!L26-Froto!M26)</f>
        <v>0</v>
      </c>
      <c r="M26" s="6">
        <f>IF(MID(M$1,6,1)="3",Froto!M26,Froto!M26-Froto!N26)</f>
        <v>0</v>
      </c>
      <c r="N26" s="6">
        <f>IF(MID(N$1,6,1)="3",Froto!N26,Froto!N26-Froto!O26)</f>
        <v>0</v>
      </c>
      <c r="O26" s="6">
        <f>IF(MID(O$1,6,1)="3",Froto!O26,Froto!O26-Froto!P26)</f>
        <v>0</v>
      </c>
      <c r="P26" s="6">
        <f>IF(MID(P$1,6,1)="3",Froto!P26,Froto!P26-Froto!Q26)</f>
        <v>0</v>
      </c>
      <c r="Q26" s="6">
        <f>IF(MID(Q$1,6,1)="3",Froto!Q26,Froto!Q26-Froto!R26)</f>
        <v>0</v>
      </c>
      <c r="R26" s="6">
        <f>IF(MID(R$1,6,1)="3",Froto!R26,Froto!R26-Froto!S26)</f>
        <v>0</v>
      </c>
      <c r="S26" s="6">
        <f>IF(MID(S$1,6,1)="3",Froto!S26,Froto!S26-Froto!T26)</f>
        <v>0</v>
      </c>
      <c r="T26" s="6">
        <f>IF(MID(T$1,6,1)="3",Froto!T26,Froto!T26-Froto!U26)</f>
        <v>0</v>
      </c>
      <c r="U26" s="6">
        <f>IF(MID(U$1,6,1)="3",Froto!U26,Froto!U26-Froto!V26)</f>
        <v>0</v>
      </c>
    </row>
    <row r="27" spans="1:21" x14ac:dyDescent="0.25">
      <c r="A27" t="str">
        <f>Froto!A27</f>
        <v xml:space="preserve">  Maddi Olmayan Duran Varlıklar</v>
      </c>
      <c r="B27" s="6">
        <f>IF(MID(B$1,6,1)="3",Froto!B27,Froto!B27-Froto!C27)</f>
        <v>1053707000</v>
      </c>
      <c r="C27" s="6">
        <f>IF(MID(C$1,6,1)="3",Froto!C27,Froto!C27-Froto!D27)</f>
        <v>3751229000</v>
      </c>
      <c r="D27" s="6">
        <f>IF(MID(D$1,6,1)="3",Froto!D27,Froto!D27-Froto!E27)</f>
        <v>362149000</v>
      </c>
      <c r="E27" s="6">
        <f>IF(MID(E$1,6,1)="3",Froto!E27,Froto!E27-Froto!F27)</f>
        <v>1783258000</v>
      </c>
      <c r="F27" s="6">
        <f>IF(MID(F$1,6,1)="3",Froto!F27,Froto!F27-Froto!G27)</f>
        <v>307038000</v>
      </c>
      <c r="G27" s="6">
        <f>IF(MID(G$1,6,1)="3",Froto!G27,Froto!G27-Froto!H27)</f>
        <v>132036000</v>
      </c>
      <c r="H27" s="6">
        <f>IF(MID(H$1,6,1)="3",Froto!H27,Froto!H27-Froto!I27)</f>
        <v>93746000</v>
      </c>
      <c r="I27" s="6">
        <f>IF(MID(I$1,6,1)="3",Froto!I27,Froto!I27-Froto!J27)</f>
        <v>953957000</v>
      </c>
      <c r="J27" s="6">
        <f>IF(MID(J$1,6,1)="3",Froto!J27,Froto!J27-Froto!K27)</f>
        <v>28657000</v>
      </c>
      <c r="K27" s="6">
        <f>IF(MID(K$1,6,1)="3",Froto!K27,Froto!K27-Froto!L27)</f>
        <v>18362000</v>
      </c>
      <c r="L27" s="6">
        <f>IF(MID(L$1,6,1)="3",Froto!L27,Froto!L27-Froto!M27)</f>
        <v>18470000</v>
      </c>
      <c r="M27" s="6">
        <f>IF(MID(M$1,6,1)="3",Froto!M27,Froto!M27-Froto!N27)</f>
        <v>839350000</v>
      </c>
      <c r="N27" s="6">
        <f>IF(MID(N$1,6,1)="3",Froto!N27,Froto!N27-Froto!O27)</f>
        <v>20243000</v>
      </c>
      <c r="O27" s="6">
        <f>IF(MID(O$1,6,1)="3",Froto!O27,Froto!O27-Froto!P27)</f>
        <v>-12280000</v>
      </c>
      <c r="P27" s="6">
        <f>IF(MID(P$1,6,1)="3",Froto!P27,Froto!P27-Froto!Q27)</f>
        <v>-2280000</v>
      </c>
      <c r="Q27" s="6">
        <f>IF(MID(Q$1,6,1)="3",Froto!Q27,Froto!Q27-Froto!R27)</f>
        <v>825513000</v>
      </c>
      <c r="R27" s="6">
        <f>IF(MID(R$1,6,1)="3",Froto!R27,Froto!R27-Froto!S27)</f>
        <v>31365000</v>
      </c>
      <c r="S27" s="6">
        <f>IF(MID(S$1,6,1)="3",Froto!S27,Froto!S27-Froto!T27)</f>
        <v>55893000</v>
      </c>
      <c r="T27" s="6">
        <f>IF(MID(T$1,6,1)="3",Froto!T27,Froto!T27-Froto!U27)</f>
        <v>17604000</v>
      </c>
      <c r="U27" s="6">
        <f>IF(MID(U$1,6,1)="3",Froto!U27,Froto!U27-Froto!V27)</f>
        <v>718480000</v>
      </c>
    </row>
    <row r="28" spans="1:21" x14ac:dyDescent="0.25">
      <c r="A28" t="str">
        <f>Froto!A28</f>
        <v xml:space="preserve">  Ertelenmiş Vergi Varlığı</v>
      </c>
      <c r="B28" s="6">
        <f>IF(MID(B$1,6,1)="3",Froto!B28,Froto!B28-Froto!C28)</f>
        <v>3174852000</v>
      </c>
      <c r="C28" s="6">
        <f>IF(MID(C$1,6,1)="3",Froto!C28,Froto!C28-Froto!D28)</f>
        <v>-480404000</v>
      </c>
      <c r="D28" s="6">
        <f>IF(MID(D$1,6,1)="3",Froto!D28,Froto!D28-Froto!E28)</f>
        <v>408051000</v>
      </c>
      <c r="E28" s="6">
        <f>IF(MID(E$1,6,1)="3",Froto!E28,Froto!E28-Froto!F28)</f>
        <v>2272083000</v>
      </c>
      <c r="F28" s="6">
        <f>IF(MID(F$1,6,1)="3",Froto!F28,Froto!F28-Froto!G28)</f>
        <v>567251000</v>
      </c>
      <c r="G28" s="6">
        <f>IF(MID(G$1,6,1)="3",Froto!G28,Froto!G28-Froto!H28)</f>
        <v>-27822000</v>
      </c>
      <c r="H28" s="6">
        <f>IF(MID(H$1,6,1)="3",Froto!H28,Froto!H28-Froto!I28)</f>
        <v>68527000</v>
      </c>
      <c r="I28" s="6">
        <f>IF(MID(I$1,6,1)="3",Froto!I28,Froto!I28-Froto!J28)</f>
        <v>1108015000</v>
      </c>
      <c r="J28" s="6">
        <f>IF(MID(J$1,6,1)="3",Froto!J28,Froto!J28-Froto!K28)</f>
        <v>59884000</v>
      </c>
      <c r="K28" s="6">
        <f>IF(MID(K$1,6,1)="3",Froto!K28,Froto!K28-Froto!L28)</f>
        <v>141530000</v>
      </c>
      <c r="L28" s="6">
        <f>IF(MID(L$1,6,1)="3",Froto!L28,Froto!L28-Froto!M28)</f>
        <v>36190000</v>
      </c>
      <c r="M28" s="6">
        <f>IF(MID(M$1,6,1)="3",Froto!M28,Froto!M28-Froto!N28)</f>
        <v>716642000</v>
      </c>
      <c r="N28" s="6">
        <f>IF(MID(N$1,6,1)="3",Froto!N28,Froto!N28-Froto!O28)</f>
        <v>-2497000</v>
      </c>
      <c r="O28" s="6">
        <f>IF(MID(O$1,6,1)="3",Froto!O28,Froto!O28-Froto!P28)</f>
        <v>-7477000</v>
      </c>
      <c r="P28" s="6">
        <f>IF(MID(P$1,6,1)="3",Froto!P28,Froto!P28-Froto!Q28)</f>
        <v>-149000</v>
      </c>
      <c r="Q28" s="6">
        <f>IF(MID(Q$1,6,1)="3",Froto!Q28,Froto!Q28-Froto!R28)</f>
        <v>660269000</v>
      </c>
      <c r="R28" s="6">
        <f>IF(MID(R$1,6,1)="3",Froto!R28,Froto!R28-Froto!S28)</f>
        <v>-36374000</v>
      </c>
      <c r="S28" s="6">
        <f>IF(MID(S$1,6,1)="3",Froto!S28,Froto!S28-Froto!T28)</f>
        <v>7025000</v>
      </c>
      <c r="T28" s="6">
        <f>IF(MID(T$1,6,1)="3",Froto!T28,Froto!T28-Froto!U28)</f>
        <v>22765000</v>
      </c>
      <c r="U28" s="6">
        <f>IF(MID(U$1,6,1)="3",Froto!U28,Froto!U28-Froto!V28)</f>
        <v>650759000</v>
      </c>
    </row>
    <row r="29" spans="1:21" x14ac:dyDescent="0.25">
      <c r="A29" t="str">
        <f>Froto!A29</f>
        <v xml:space="preserve">  Diğer Duran Varlıklar</v>
      </c>
      <c r="B29" s="6">
        <f>IF(MID(B$1,6,1)="3",Froto!B29,Froto!B29-Froto!C29)</f>
        <v>254331000</v>
      </c>
      <c r="C29" s="6">
        <f>IF(MID(C$1,6,1)="3",Froto!C29,Froto!C29-Froto!D29)</f>
        <v>-5284089000</v>
      </c>
      <c r="D29" s="6">
        <f>IF(MID(D$1,6,1)="3",Froto!D29,Froto!D29-Froto!E29)</f>
        <v>8541257000</v>
      </c>
      <c r="E29" s="6">
        <f>IF(MID(E$1,6,1)="3",Froto!E29,Froto!E29-Froto!F29)</f>
        <v>2962990000</v>
      </c>
      <c r="F29" s="6">
        <f>IF(MID(F$1,6,1)="3",Froto!F29,Froto!F29-Froto!G29)</f>
        <v>306414000</v>
      </c>
      <c r="G29" s="6">
        <f>IF(MID(G$1,6,1)="3",Froto!G29,Froto!G29-Froto!H29)</f>
        <v>468796000</v>
      </c>
      <c r="H29" s="6">
        <f>IF(MID(H$1,6,1)="3",Froto!H29,Froto!H29-Froto!I29)</f>
        <v>262225000</v>
      </c>
      <c r="I29" s="6">
        <f>IF(MID(I$1,6,1)="3",Froto!I29,Froto!I29-Froto!J29)</f>
        <v>433476000</v>
      </c>
      <c r="J29" s="6">
        <f>IF(MID(J$1,6,1)="3",Froto!J29,Froto!J29-Froto!K29)</f>
        <v>88651000</v>
      </c>
      <c r="K29" s="6">
        <f>IF(MID(K$1,6,1)="3",Froto!K29,Froto!K29-Froto!L29)</f>
        <v>85268000</v>
      </c>
      <c r="L29" s="6">
        <f>IF(MID(L$1,6,1)="3",Froto!L29,Froto!L29-Froto!M29)</f>
        <v>-7480000</v>
      </c>
      <c r="M29" s="6">
        <f>IF(MID(M$1,6,1)="3",Froto!M29,Froto!M29-Froto!N29)</f>
        <v>198124000</v>
      </c>
      <c r="N29" s="6">
        <f>IF(MID(N$1,6,1)="3",Froto!N29,Froto!N29-Froto!O29)</f>
        <v>-130752000</v>
      </c>
      <c r="O29" s="6">
        <f>IF(MID(O$1,6,1)="3",Froto!O29,Froto!O29-Froto!P29)</f>
        <v>21797000</v>
      </c>
      <c r="P29" s="6">
        <f>IF(MID(P$1,6,1)="3",Froto!P29,Froto!P29-Froto!Q29)</f>
        <v>-51478000</v>
      </c>
      <c r="Q29" s="6">
        <f>IF(MID(Q$1,6,1)="3",Froto!Q29,Froto!Q29-Froto!R29)</f>
        <v>367145000</v>
      </c>
      <c r="R29" s="6">
        <f>IF(MID(R$1,6,1)="3",Froto!R29,Froto!R29-Froto!S29)</f>
        <v>-36639000</v>
      </c>
      <c r="S29" s="6">
        <f>IF(MID(S$1,6,1)="3",Froto!S29,Froto!S29-Froto!T29)</f>
        <v>60104000</v>
      </c>
      <c r="T29" s="6">
        <f>IF(MID(T$1,6,1)="3",Froto!T29,Froto!T29-Froto!U29)</f>
        <v>-11024000</v>
      </c>
      <c r="U29" s="6">
        <f>IF(MID(U$1,6,1)="3",Froto!U29,Froto!U29-Froto!V29)</f>
        <v>369979000</v>
      </c>
    </row>
    <row r="30" spans="1:21" x14ac:dyDescent="0.25">
      <c r="A30" t="str">
        <f>Froto!A30</f>
        <v>TOPLAM VARLIKLAR</v>
      </c>
      <c r="B30" s="6">
        <f>IF(MID(B$1,6,1)="3",Froto!B30,Froto!B30-Froto!C30)</f>
        <v>16327720000</v>
      </c>
      <c r="C30" s="6">
        <f>IF(MID(C$1,6,1)="3",Froto!C30,Froto!C30-Froto!D30)</f>
        <v>16697231000</v>
      </c>
      <c r="D30" s="6">
        <f>IF(MID(D$1,6,1)="3",Froto!D30,Froto!D30-Froto!E30)</f>
        <v>12993483000</v>
      </c>
      <c r="E30" s="6">
        <f>IF(MID(E$1,6,1)="3",Froto!E30,Froto!E30-Froto!F30)</f>
        <v>50033813000</v>
      </c>
      <c r="F30" s="6">
        <f>IF(MID(F$1,6,1)="3",Froto!F30,Froto!F30-Froto!G30)</f>
        <v>8779652000</v>
      </c>
      <c r="G30" s="6">
        <f>IF(MID(G$1,6,1)="3",Froto!G30,Froto!G30-Froto!H30)</f>
        <v>10357469000</v>
      </c>
      <c r="H30" s="6">
        <f>IF(MID(H$1,6,1)="3",Froto!H30,Froto!H30-Froto!I30)</f>
        <v>-2790321000</v>
      </c>
      <c r="I30" s="6">
        <f>IF(MID(I$1,6,1)="3",Froto!I30,Froto!I30-Froto!J30)</f>
        <v>26446053000</v>
      </c>
      <c r="J30" s="6">
        <f>IF(MID(J$1,6,1)="3",Froto!J30,Froto!J30-Froto!K30)</f>
        <v>1616337000</v>
      </c>
      <c r="K30" s="6">
        <f>IF(MID(K$1,6,1)="3",Froto!K30,Froto!K30-Froto!L30)</f>
        <v>4708047000</v>
      </c>
      <c r="L30" s="6">
        <f>IF(MID(L$1,6,1)="3",Froto!L30,Froto!L30-Froto!M30)</f>
        <v>1425420000</v>
      </c>
      <c r="M30" s="6">
        <f>IF(MID(M$1,6,1)="3",Froto!M30,Froto!M30-Froto!N30)</f>
        <v>16599375000</v>
      </c>
      <c r="N30" s="6">
        <f>IF(MID(N$1,6,1)="3",Froto!N30,Froto!N30-Froto!O30)</f>
        <v>1338428000</v>
      </c>
      <c r="O30" s="6">
        <f>IF(MID(O$1,6,1)="3",Froto!O30,Froto!O30-Froto!P30)</f>
        <v>-171611000</v>
      </c>
      <c r="P30" s="6">
        <f>IF(MID(P$1,6,1)="3",Froto!P30,Froto!P30-Froto!Q30)</f>
        <v>284906000</v>
      </c>
      <c r="Q30" s="6">
        <f>IF(MID(Q$1,6,1)="3",Froto!Q30,Froto!Q30-Froto!R30)</f>
        <v>14954649000</v>
      </c>
      <c r="R30" s="6">
        <f>IF(MID(R$1,6,1)="3",Froto!R30,Froto!R30-Froto!S30)</f>
        <v>-516097000</v>
      </c>
      <c r="S30" s="6">
        <f>IF(MID(S$1,6,1)="3",Froto!S30,Froto!S30-Froto!T30)</f>
        <v>1161567000</v>
      </c>
      <c r="T30" s="6">
        <f>IF(MID(T$1,6,1)="3",Froto!T30,Froto!T30-Froto!U30)</f>
        <v>-371309000</v>
      </c>
      <c r="U30" s="6">
        <f>IF(MID(U$1,6,1)="3",Froto!U30,Froto!U30-Froto!V30)</f>
        <v>12910279000</v>
      </c>
    </row>
    <row r="31" spans="1:21" x14ac:dyDescent="0.25">
      <c r="A31" t="str">
        <f>Froto!A31</f>
        <v>KAYNAKLAR</v>
      </c>
      <c r="B31" s="6">
        <f>IF(MID(B$1,6,1)="3",Froto!B31,Froto!B31-Froto!C31)</f>
        <v>0</v>
      </c>
      <c r="C31" s="6">
        <f>IF(MID(C$1,6,1)="3",Froto!C31,Froto!C31-Froto!D31)</f>
        <v>0</v>
      </c>
      <c r="D31" s="6">
        <f>IF(MID(D$1,6,1)="3",Froto!D31,Froto!D31-Froto!E31)</f>
        <v>0</v>
      </c>
      <c r="E31" s="6">
        <f>IF(MID(E$1,6,1)="3",Froto!E31,Froto!E31-Froto!F31)</f>
        <v>0</v>
      </c>
      <c r="F31" s="6">
        <f>IF(MID(F$1,6,1)="3",Froto!F31,Froto!F31-Froto!G31)</f>
        <v>0</v>
      </c>
      <c r="G31" s="6">
        <f>IF(MID(G$1,6,1)="3",Froto!G31,Froto!G31-Froto!H31)</f>
        <v>0</v>
      </c>
      <c r="H31" s="6">
        <f>IF(MID(H$1,6,1)="3",Froto!H31,Froto!H31-Froto!I31)</f>
        <v>0</v>
      </c>
      <c r="I31" s="6">
        <f>IF(MID(I$1,6,1)="3",Froto!I31,Froto!I31-Froto!J31)</f>
        <v>0</v>
      </c>
      <c r="J31" s="6">
        <f>IF(MID(J$1,6,1)="3",Froto!J31,Froto!J31-Froto!K31)</f>
        <v>0</v>
      </c>
      <c r="K31" s="6">
        <f>IF(MID(K$1,6,1)="3",Froto!K31,Froto!K31-Froto!L31)</f>
        <v>0</v>
      </c>
      <c r="L31" s="6">
        <f>IF(MID(L$1,6,1)="3",Froto!L31,Froto!L31-Froto!M31)</f>
        <v>0</v>
      </c>
      <c r="M31" s="6">
        <f>IF(MID(M$1,6,1)="3",Froto!M31,Froto!M31-Froto!N31)</f>
        <v>0</v>
      </c>
      <c r="N31" s="6">
        <f>IF(MID(N$1,6,1)="3",Froto!N31,Froto!N31-Froto!O31)</f>
        <v>0</v>
      </c>
      <c r="O31" s="6">
        <f>IF(MID(O$1,6,1)="3",Froto!O31,Froto!O31-Froto!P31)</f>
        <v>0</v>
      </c>
      <c r="P31" s="6">
        <f>IF(MID(P$1,6,1)="3",Froto!P31,Froto!P31-Froto!Q31)</f>
        <v>0</v>
      </c>
      <c r="Q31" s="6">
        <f>IF(MID(Q$1,6,1)="3",Froto!Q31,Froto!Q31-Froto!R31)</f>
        <v>0</v>
      </c>
      <c r="R31" s="6">
        <f>IF(MID(R$1,6,1)="3",Froto!R31,Froto!R31-Froto!S31)</f>
        <v>0</v>
      </c>
      <c r="S31" s="6">
        <f>IF(MID(S$1,6,1)="3",Froto!S31,Froto!S31-Froto!T31)</f>
        <v>0</v>
      </c>
      <c r="T31" s="6">
        <f>IF(MID(T$1,6,1)="3",Froto!T31,Froto!T31-Froto!U31)</f>
        <v>0</v>
      </c>
      <c r="U31" s="6">
        <f>IF(MID(U$1,6,1)="3",Froto!U31,Froto!U31-Froto!V31)</f>
        <v>0</v>
      </c>
    </row>
    <row r="32" spans="1:21" x14ac:dyDescent="0.25">
      <c r="A32" t="str">
        <f>Froto!A32</f>
        <v>Kısa Vadeli Yükümlülükler</v>
      </c>
      <c r="B32" s="6">
        <f>IF(MID(B$1,6,1)="3",Froto!B32,Froto!B32-Froto!C32)</f>
        <v>4716864000</v>
      </c>
      <c r="C32" s="6">
        <f>IF(MID(C$1,6,1)="3",Froto!C32,Froto!C32-Froto!D32)</f>
        <v>6430576000</v>
      </c>
      <c r="D32" s="6">
        <f>IF(MID(D$1,6,1)="3",Froto!D32,Froto!D32-Froto!E32)</f>
        <v>8830967000</v>
      </c>
      <c r="E32" s="6">
        <f>IF(MID(E$1,6,1)="3",Froto!E32,Froto!E32-Froto!F32)</f>
        <v>26227573000</v>
      </c>
      <c r="F32" s="6">
        <f>IF(MID(F$1,6,1)="3",Froto!F32,Froto!F32-Froto!G32)</f>
        <v>2547007000</v>
      </c>
      <c r="G32" s="6">
        <f>IF(MID(G$1,6,1)="3",Froto!G32,Froto!G32-Froto!H32)</f>
        <v>6232752000</v>
      </c>
      <c r="H32" s="6">
        <f>IF(MID(H$1,6,1)="3",Froto!H32,Froto!H32-Froto!I32)</f>
        <v>-3046636000</v>
      </c>
      <c r="I32" s="6">
        <f>IF(MID(I$1,6,1)="3",Froto!I32,Froto!I32-Froto!J32)</f>
        <v>15049021000</v>
      </c>
      <c r="J32" s="6">
        <f>IF(MID(J$1,6,1)="3",Froto!J32,Froto!J32-Froto!K32)</f>
        <v>-47574000</v>
      </c>
      <c r="K32" s="6">
        <f>IF(MID(K$1,6,1)="3",Froto!K32,Froto!K32-Froto!L32)</f>
        <v>2555572000</v>
      </c>
      <c r="L32" s="6">
        <f>IF(MID(L$1,6,1)="3",Froto!L32,Froto!L32-Froto!M32)</f>
        <v>821705000</v>
      </c>
      <c r="M32" s="6">
        <f>IF(MID(M$1,6,1)="3",Froto!M32,Froto!M32-Froto!N32)</f>
        <v>9151078000</v>
      </c>
      <c r="N32" s="6">
        <f>IF(MID(N$1,6,1)="3",Froto!N32,Froto!N32-Froto!O32)</f>
        <v>617833000</v>
      </c>
      <c r="O32" s="6">
        <f>IF(MID(O$1,6,1)="3",Froto!O32,Froto!O32-Froto!P32)</f>
        <v>-784700000</v>
      </c>
      <c r="P32" s="6">
        <f>IF(MID(P$1,6,1)="3",Froto!P32,Froto!P32-Froto!Q32)</f>
        <v>-455606000</v>
      </c>
      <c r="Q32" s="6">
        <f>IF(MID(Q$1,6,1)="3",Froto!Q32,Froto!Q32-Froto!R32)</f>
        <v>9267844000</v>
      </c>
      <c r="R32" s="6">
        <f>IF(MID(R$1,6,1)="3",Froto!R32,Froto!R32-Froto!S32)</f>
        <v>-366326000</v>
      </c>
      <c r="S32" s="6">
        <f>IF(MID(S$1,6,1)="3",Froto!S32,Froto!S32-Froto!T32)</f>
        <v>922391000</v>
      </c>
      <c r="T32" s="6">
        <f>IF(MID(T$1,6,1)="3",Froto!T32,Froto!T32-Froto!U32)</f>
        <v>-678238000</v>
      </c>
      <c r="U32" s="6">
        <f>IF(MID(U$1,6,1)="3",Froto!U32,Froto!U32-Froto!V32)</f>
        <v>7341785000</v>
      </c>
    </row>
    <row r="33" spans="1:21" x14ac:dyDescent="0.25">
      <c r="A33" t="str">
        <f>Froto!A33</f>
        <v xml:space="preserve">  Finansal Borçlar</v>
      </c>
      <c r="B33" s="6">
        <f>IF(MID(B$1,6,1)="3",Froto!B33,Froto!B33-Froto!C33)</f>
        <v>-404832000</v>
      </c>
      <c r="C33" s="6">
        <f>IF(MID(C$1,6,1)="3",Froto!C33,Froto!C33-Froto!D33)</f>
        <v>-3885734000</v>
      </c>
      <c r="D33" s="6">
        <f>IF(MID(D$1,6,1)="3",Froto!D33,Froto!D33-Froto!E33)</f>
        <v>6796654000</v>
      </c>
      <c r="E33" s="6">
        <f>IF(MID(E$1,6,1)="3",Froto!E33,Froto!E33-Froto!F33)</f>
        <v>10712515000</v>
      </c>
      <c r="F33" s="6">
        <f>IF(MID(F$1,6,1)="3",Froto!F33,Froto!F33-Froto!G33)</f>
        <v>1017604000</v>
      </c>
      <c r="G33" s="6">
        <f>IF(MID(G$1,6,1)="3",Froto!G33,Froto!G33-Froto!H33)</f>
        <v>2108919000</v>
      </c>
      <c r="H33" s="6">
        <f>IF(MID(H$1,6,1)="3",Froto!H33,Froto!H33-Froto!I33)</f>
        <v>-1340428000</v>
      </c>
      <c r="I33" s="6">
        <f>IF(MID(I$1,6,1)="3",Froto!I33,Froto!I33-Froto!J33)</f>
        <v>6470824000</v>
      </c>
      <c r="J33" s="6">
        <f>IF(MID(J$1,6,1)="3",Froto!J33,Froto!J33-Froto!K33)</f>
        <v>-1241273000</v>
      </c>
      <c r="K33" s="6">
        <f>IF(MID(K$1,6,1)="3",Froto!K33,Froto!K33-Froto!L33)</f>
        <v>-689648000</v>
      </c>
      <c r="L33" s="6">
        <f>IF(MID(L$1,6,1)="3",Froto!L33,Froto!L33-Froto!M33)</f>
        <v>1056197000</v>
      </c>
      <c r="M33" s="6">
        <f>IF(MID(M$1,6,1)="3",Froto!M33,Froto!M33-Froto!N33)</f>
        <v>4807605000</v>
      </c>
      <c r="N33" s="6">
        <f>IF(MID(N$1,6,1)="3",Froto!N33,Froto!N33-Froto!O33)</f>
        <v>129385000</v>
      </c>
      <c r="O33" s="6">
        <f>IF(MID(O$1,6,1)="3",Froto!O33,Froto!O33-Froto!P33)</f>
        <v>-355935000</v>
      </c>
      <c r="P33" s="6">
        <f>IF(MID(P$1,6,1)="3",Froto!P33,Froto!P33-Froto!Q33)</f>
        <v>324014000</v>
      </c>
      <c r="Q33" s="6">
        <f>IF(MID(Q$1,6,1)="3",Froto!Q33,Froto!Q33-Froto!R33)</f>
        <v>3550646000</v>
      </c>
      <c r="R33" s="6">
        <f>IF(MID(R$1,6,1)="3",Froto!R33,Froto!R33-Froto!S33)</f>
        <v>-298955000</v>
      </c>
      <c r="S33" s="6">
        <f>IF(MID(S$1,6,1)="3",Froto!S33,Froto!S33-Froto!T33)</f>
        <v>883930000</v>
      </c>
      <c r="T33" s="6">
        <f>IF(MID(T$1,6,1)="3",Froto!T33,Froto!T33-Froto!U33)</f>
        <v>17688000</v>
      </c>
      <c r="U33" s="6">
        <f>IF(MID(U$1,6,1)="3",Froto!U33,Froto!U33-Froto!V33)</f>
        <v>2201600000</v>
      </c>
    </row>
    <row r="34" spans="1:21" x14ac:dyDescent="0.25">
      <c r="A34" t="str">
        <f>Froto!A34</f>
        <v xml:space="preserve">  Diğer Finansal Yükümlülükler</v>
      </c>
      <c r="B34" s="6">
        <f>IF(MID(B$1,6,1)="3",Froto!B34,Froto!B34-Froto!C34)</f>
        <v>0</v>
      </c>
      <c r="C34" s="6">
        <f>IF(MID(C$1,6,1)="3",Froto!C34,Froto!C34-Froto!D34)</f>
        <v>0</v>
      </c>
      <c r="D34" s="6">
        <f>IF(MID(D$1,6,1)="3",Froto!D34,Froto!D34-Froto!E34)</f>
        <v>0</v>
      </c>
      <c r="E34" s="6">
        <f>IF(MID(E$1,6,1)="3",Froto!E34,Froto!E34-Froto!F34)</f>
        <v>0</v>
      </c>
      <c r="F34" s="6">
        <f>IF(MID(F$1,6,1)="3",Froto!F34,Froto!F34-Froto!G34)</f>
        <v>0</v>
      </c>
      <c r="G34" s="6">
        <f>IF(MID(G$1,6,1)="3",Froto!G34,Froto!G34-Froto!H34)</f>
        <v>0</v>
      </c>
      <c r="H34" s="6">
        <f>IF(MID(H$1,6,1)="3",Froto!H34,Froto!H34-Froto!I34)</f>
        <v>0</v>
      </c>
      <c r="I34" s="6">
        <f>IF(MID(I$1,6,1)="3",Froto!I34,Froto!I34-Froto!J34)</f>
        <v>0</v>
      </c>
      <c r="J34" s="6">
        <f>IF(MID(J$1,6,1)="3",Froto!J34,Froto!J34-Froto!K34)</f>
        <v>0</v>
      </c>
      <c r="K34" s="6">
        <f>IF(MID(K$1,6,1)="3",Froto!K34,Froto!K34-Froto!L34)</f>
        <v>0</v>
      </c>
      <c r="L34" s="6">
        <f>IF(MID(L$1,6,1)="3",Froto!L34,Froto!L34-Froto!M34)</f>
        <v>0</v>
      </c>
      <c r="M34" s="6">
        <f>IF(MID(M$1,6,1)="3",Froto!M34,Froto!M34-Froto!N34)</f>
        <v>0</v>
      </c>
      <c r="N34" s="6">
        <f>IF(MID(N$1,6,1)="3",Froto!N34,Froto!N34-Froto!O34)</f>
        <v>0</v>
      </c>
      <c r="O34" s="6">
        <f>IF(MID(O$1,6,1)="3",Froto!O34,Froto!O34-Froto!P34)</f>
        <v>0</v>
      </c>
      <c r="P34" s="6">
        <f>IF(MID(P$1,6,1)="3",Froto!P34,Froto!P34-Froto!Q34)</f>
        <v>0</v>
      </c>
      <c r="Q34" s="6">
        <f>IF(MID(Q$1,6,1)="3",Froto!Q34,Froto!Q34-Froto!R34)</f>
        <v>0</v>
      </c>
      <c r="R34" s="6">
        <f>IF(MID(R$1,6,1)="3",Froto!R34,Froto!R34-Froto!S34)</f>
        <v>0</v>
      </c>
      <c r="S34" s="6">
        <f>IF(MID(S$1,6,1)="3",Froto!S34,Froto!S34-Froto!T34)</f>
        <v>0</v>
      </c>
      <c r="T34" s="6">
        <f>IF(MID(T$1,6,1)="3",Froto!T34,Froto!T34-Froto!U34)</f>
        <v>0</v>
      </c>
      <c r="U34" s="6">
        <f>IF(MID(U$1,6,1)="3",Froto!U34,Froto!U34-Froto!V34)</f>
        <v>0</v>
      </c>
    </row>
    <row r="35" spans="1:21" x14ac:dyDescent="0.25">
      <c r="A35" t="str">
        <f>Froto!A35</f>
        <v xml:space="preserve">  Ticari Borçlar</v>
      </c>
      <c r="B35" s="6">
        <f>IF(MID(B$1,6,1)="3",Froto!B35,Froto!B35-Froto!C35)</f>
        <v>4376635000</v>
      </c>
      <c r="C35" s="6">
        <f>IF(MID(C$1,6,1)="3",Froto!C35,Froto!C35-Froto!D35)</f>
        <v>9548429000</v>
      </c>
      <c r="D35" s="6">
        <f>IF(MID(D$1,6,1)="3",Froto!D35,Froto!D35-Froto!E35)</f>
        <v>2021181000</v>
      </c>
      <c r="E35" s="6">
        <f>IF(MID(E$1,6,1)="3",Froto!E35,Froto!E35-Froto!F35)</f>
        <v>14200001000</v>
      </c>
      <c r="F35" s="6">
        <f>IF(MID(F$1,6,1)="3",Froto!F35,Froto!F35-Froto!G35)</f>
        <v>1088160000</v>
      </c>
      <c r="G35" s="6">
        <f>IF(MID(G$1,6,1)="3",Froto!G35,Froto!G35-Froto!H35)</f>
        <v>4051249000</v>
      </c>
      <c r="H35" s="6">
        <f>IF(MID(H$1,6,1)="3",Froto!H35,Froto!H35-Froto!I35)</f>
        <v>-1609230000</v>
      </c>
      <c r="I35" s="6">
        <f>IF(MID(I$1,6,1)="3",Froto!I35,Froto!I35-Froto!J35)</f>
        <v>7848489000</v>
      </c>
      <c r="J35" s="6">
        <f>IF(MID(J$1,6,1)="3",Froto!J35,Froto!J35-Froto!K35)</f>
        <v>1039620000</v>
      </c>
      <c r="K35" s="6">
        <f>IF(MID(K$1,6,1)="3",Froto!K35,Froto!K35-Froto!L35)</f>
        <v>3098920000</v>
      </c>
      <c r="L35" s="6">
        <f>IF(MID(L$1,6,1)="3",Froto!L35,Froto!L35-Froto!M35)</f>
        <v>-266870000</v>
      </c>
      <c r="M35" s="6">
        <f>IF(MID(M$1,6,1)="3",Froto!M35,Froto!M35-Froto!N35)</f>
        <v>3876123000</v>
      </c>
      <c r="N35" s="6">
        <f>IF(MID(N$1,6,1)="3",Froto!N35,Froto!N35-Froto!O35)</f>
        <v>478378000</v>
      </c>
      <c r="O35" s="6">
        <f>IF(MID(O$1,6,1)="3",Froto!O35,Froto!O35-Froto!P35)</f>
        <v>-467916000</v>
      </c>
      <c r="P35" s="6">
        <f>IF(MID(P$1,6,1)="3",Froto!P35,Froto!P35-Froto!Q35)</f>
        <v>53437000</v>
      </c>
      <c r="Q35" s="6">
        <f>IF(MID(Q$1,6,1)="3",Froto!Q35,Froto!Q35-Froto!R35)</f>
        <v>4481521000</v>
      </c>
      <c r="R35" s="6">
        <f>IF(MID(R$1,6,1)="3",Froto!R35,Froto!R35-Froto!S35)</f>
        <v>-4173000</v>
      </c>
      <c r="S35" s="6">
        <f>IF(MID(S$1,6,1)="3",Froto!S35,Froto!S35-Froto!T35)</f>
        <v>-31227000</v>
      </c>
      <c r="T35" s="6">
        <f>IF(MID(T$1,6,1)="3",Froto!T35,Froto!T35-Froto!U35)</f>
        <v>97229000</v>
      </c>
      <c r="U35" s="6">
        <f>IF(MID(U$1,6,1)="3",Froto!U35,Froto!U35-Froto!V35)</f>
        <v>3960858000</v>
      </c>
    </row>
    <row r="36" spans="1:21" x14ac:dyDescent="0.25">
      <c r="A36" t="str">
        <f>Froto!A36</f>
        <v xml:space="preserve">  Diğer Borçlar</v>
      </c>
      <c r="B36" s="6">
        <f>IF(MID(B$1,6,1)="3",Froto!B36,Froto!B36-Froto!C36)</f>
        <v>152295000</v>
      </c>
      <c r="C36" s="6">
        <f>IF(MID(C$1,6,1)="3",Froto!C36,Froto!C36-Froto!D36)</f>
        <v>193627000</v>
      </c>
      <c r="D36" s="6">
        <f>IF(MID(D$1,6,1)="3",Froto!D36,Froto!D36-Froto!E36)</f>
        <v>-100829000</v>
      </c>
      <c r="E36" s="6">
        <f>IF(MID(E$1,6,1)="3",Froto!E36,Froto!E36-Froto!F36)</f>
        <v>490262000</v>
      </c>
      <c r="F36" s="6">
        <f>IF(MID(F$1,6,1)="3",Froto!F36,Froto!F36-Froto!G36)</f>
        <v>67087000</v>
      </c>
      <c r="G36" s="6">
        <f>IF(MID(G$1,6,1)="3",Froto!G36,Froto!G36-Froto!H36)</f>
        <v>41189000</v>
      </c>
      <c r="H36" s="6">
        <f>IF(MID(H$1,6,1)="3",Froto!H36,Froto!H36-Froto!I36)</f>
        <v>-128800000</v>
      </c>
      <c r="I36" s="6">
        <f>IF(MID(I$1,6,1)="3",Froto!I36,Froto!I36-Froto!J36)</f>
        <v>279525000</v>
      </c>
      <c r="J36" s="6">
        <f>IF(MID(J$1,6,1)="3",Froto!J36,Froto!J36-Froto!K36)</f>
        <v>-22616000</v>
      </c>
      <c r="K36" s="6">
        <f>IF(MID(K$1,6,1)="3",Froto!K36,Froto!K36-Froto!L36)</f>
        <v>41934000</v>
      </c>
      <c r="L36" s="6">
        <f>IF(MID(L$1,6,1)="3",Froto!L36,Froto!L36-Froto!M36)</f>
        <v>8206000</v>
      </c>
      <c r="M36" s="6">
        <f>IF(MID(M$1,6,1)="3",Froto!M36,Froto!M36-Froto!N36)</f>
        <v>148672000</v>
      </c>
      <c r="N36" s="6">
        <f>IF(MID(N$1,6,1)="3",Froto!N36,Froto!N36-Froto!O36)</f>
        <v>-9808000</v>
      </c>
      <c r="O36" s="6">
        <f>IF(MID(O$1,6,1)="3",Froto!O36,Froto!O36-Froto!P36)</f>
        <v>10149000</v>
      </c>
      <c r="P36" s="6">
        <f>IF(MID(P$1,6,1)="3",Froto!P36,Froto!P36-Froto!Q36)</f>
        <v>-845488000</v>
      </c>
      <c r="Q36" s="6">
        <f>IF(MID(Q$1,6,1)="3",Froto!Q36,Froto!Q36-Froto!R36)</f>
        <v>920305000</v>
      </c>
      <c r="R36" s="6">
        <f>IF(MID(R$1,6,1)="3",Froto!R36,Froto!R36-Froto!S36)</f>
        <v>-32341000</v>
      </c>
      <c r="S36" s="6">
        <f>IF(MID(S$1,6,1)="3",Froto!S36,Froto!S36-Froto!T36)</f>
        <v>34351000</v>
      </c>
      <c r="T36" s="6">
        <f>IF(MID(T$1,6,1)="3",Froto!T36,Froto!T36-Froto!U36)</f>
        <v>-822884000</v>
      </c>
      <c r="U36" s="6">
        <f>IF(MID(U$1,6,1)="3",Froto!U36,Froto!U36-Froto!V36)</f>
        <v>886856000</v>
      </c>
    </row>
    <row r="37" spans="1:21" x14ac:dyDescent="0.25">
      <c r="A37" t="str">
        <f>Froto!A37</f>
        <v xml:space="preserve">  Müşteri Söz. Doğan Yük.</v>
      </c>
      <c r="B37" s="6">
        <f>IF(MID(B$1,6,1)="3",Froto!B37,Froto!B37-Froto!C37)</f>
        <v>0</v>
      </c>
      <c r="C37" s="6">
        <f>IF(MID(C$1,6,1)="3",Froto!C37,Froto!C37-Froto!D37)</f>
        <v>0</v>
      </c>
      <c r="D37" s="6">
        <f>IF(MID(D$1,6,1)="3",Froto!D37,Froto!D37-Froto!E37)</f>
        <v>0</v>
      </c>
      <c r="E37" s="6">
        <f>IF(MID(E$1,6,1)="3",Froto!E37,Froto!E37-Froto!F37)</f>
        <v>0</v>
      </c>
      <c r="F37" s="6">
        <f>IF(MID(F$1,6,1)="3",Froto!F37,Froto!F37-Froto!G37)</f>
        <v>0</v>
      </c>
      <c r="G37" s="6">
        <f>IF(MID(G$1,6,1)="3",Froto!G37,Froto!G37-Froto!H37)</f>
        <v>0</v>
      </c>
      <c r="H37" s="6">
        <f>IF(MID(H$1,6,1)="3",Froto!H37,Froto!H37-Froto!I37)</f>
        <v>0</v>
      </c>
      <c r="I37" s="6">
        <f>IF(MID(I$1,6,1)="3",Froto!I37,Froto!I37-Froto!J37)</f>
        <v>0</v>
      </c>
      <c r="J37" s="6">
        <f>IF(MID(J$1,6,1)="3",Froto!J37,Froto!J37-Froto!K37)</f>
        <v>0</v>
      </c>
      <c r="K37" s="6">
        <f>IF(MID(K$1,6,1)="3",Froto!K37,Froto!K37-Froto!L37)</f>
        <v>0</v>
      </c>
      <c r="L37" s="6">
        <f>IF(MID(L$1,6,1)="3",Froto!L37,Froto!L37-Froto!M37)</f>
        <v>0</v>
      </c>
      <c r="M37" s="6">
        <f>IF(MID(M$1,6,1)="3",Froto!M37,Froto!M37-Froto!N37)</f>
        <v>0</v>
      </c>
      <c r="N37" s="6">
        <f>IF(MID(N$1,6,1)="3",Froto!N37,Froto!N37-Froto!O37)</f>
        <v>0</v>
      </c>
      <c r="O37" s="6">
        <f>IF(MID(O$1,6,1)="3",Froto!O37,Froto!O37-Froto!P37)</f>
        <v>0</v>
      </c>
      <c r="P37" s="6">
        <f>IF(MID(P$1,6,1)="3",Froto!P37,Froto!P37-Froto!Q37)</f>
        <v>0</v>
      </c>
      <c r="Q37" s="6">
        <f>IF(MID(Q$1,6,1)="3",Froto!Q37,Froto!Q37-Froto!R37)</f>
        <v>0</v>
      </c>
      <c r="R37" s="6">
        <f>IF(MID(R$1,6,1)="3",Froto!R37,Froto!R37-Froto!S37)</f>
        <v>0</v>
      </c>
      <c r="S37" s="6">
        <f>IF(MID(S$1,6,1)="3",Froto!S37,Froto!S37-Froto!T37)</f>
        <v>0</v>
      </c>
      <c r="T37" s="6">
        <f>IF(MID(T$1,6,1)="3",Froto!T37,Froto!T37-Froto!U37)</f>
        <v>0</v>
      </c>
      <c r="U37" s="6">
        <f>IF(MID(U$1,6,1)="3",Froto!U37,Froto!U37-Froto!V37)</f>
        <v>0</v>
      </c>
    </row>
    <row r="38" spans="1:21" x14ac:dyDescent="0.25">
      <c r="A38" t="str">
        <f>Froto!A38</f>
        <v xml:space="preserve">  Finans Sektörü Faaliyetlerinden Borçlar</v>
      </c>
      <c r="B38" s="6">
        <f>IF(MID(B$1,6,1)="3",Froto!B38,Froto!B38-Froto!C38)</f>
        <v>0</v>
      </c>
      <c r="C38" s="6">
        <f>IF(MID(C$1,6,1)="3",Froto!C38,Froto!C38-Froto!D38)</f>
        <v>0</v>
      </c>
      <c r="D38" s="6">
        <f>IF(MID(D$1,6,1)="3",Froto!D38,Froto!D38-Froto!E38)</f>
        <v>0</v>
      </c>
      <c r="E38" s="6">
        <f>IF(MID(E$1,6,1)="3",Froto!E38,Froto!E38-Froto!F38)</f>
        <v>0</v>
      </c>
      <c r="F38" s="6">
        <f>IF(MID(F$1,6,1)="3",Froto!F38,Froto!F38-Froto!G38)</f>
        <v>0</v>
      </c>
      <c r="G38" s="6">
        <f>IF(MID(G$1,6,1)="3",Froto!G38,Froto!G38-Froto!H38)</f>
        <v>0</v>
      </c>
      <c r="H38" s="6">
        <f>IF(MID(H$1,6,1)="3",Froto!H38,Froto!H38-Froto!I38)</f>
        <v>0</v>
      </c>
      <c r="I38" s="6">
        <f>IF(MID(I$1,6,1)="3",Froto!I38,Froto!I38-Froto!J38)</f>
        <v>0</v>
      </c>
      <c r="J38" s="6">
        <f>IF(MID(J$1,6,1)="3",Froto!J38,Froto!J38-Froto!K38)</f>
        <v>0</v>
      </c>
      <c r="K38" s="6">
        <f>IF(MID(K$1,6,1)="3",Froto!K38,Froto!K38-Froto!L38)</f>
        <v>0</v>
      </c>
      <c r="L38" s="6">
        <f>IF(MID(L$1,6,1)="3",Froto!L38,Froto!L38-Froto!M38)</f>
        <v>0</v>
      </c>
      <c r="M38" s="6">
        <f>IF(MID(M$1,6,1)="3",Froto!M38,Froto!M38-Froto!N38)</f>
        <v>0</v>
      </c>
      <c r="N38" s="6">
        <f>IF(MID(N$1,6,1)="3",Froto!N38,Froto!N38-Froto!O38)</f>
        <v>0</v>
      </c>
      <c r="O38" s="6">
        <f>IF(MID(O$1,6,1)="3",Froto!O38,Froto!O38-Froto!P38)</f>
        <v>0</v>
      </c>
      <c r="P38" s="6">
        <f>IF(MID(P$1,6,1)="3",Froto!P38,Froto!P38-Froto!Q38)</f>
        <v>0</v>
      </c>
      <c r="Q38" s="6">
        <f>IF(MID(Q$1,6,1)="3",Froto!Q38,Froto!Q38-Froto!R38)</f>
        <v>0</v>
      </c>
      <c r="R38" s="6">
        <f>IF(MID(R$1,6,1)="3",Froto!R38,Froto!R38-Froto!S38)</f>
        <v>0</v>
      </c>
      <c r="S38" s="6">
        <f>IF(MID(S$1,6,1)="3",Froto!S38,Froto!S38-Froto!T38)</f>
        <v>0</v>
      </c>
      <c r="T38" s="6">
        <f>IF(MID(T$1,6,1)="3",Froto!T38,Froto!T38-Froto!U38)</f>
        <v>0</v>
      </c>
      <c r="U38" s="6">
        <f>IF(MID(U$1,6,1)="3",Froto!U38,Froto!U38-Froto!V38)</f>
        <v>0</v>
      </c>
    </row>
    <row r="39" spans="1:21" x14ac:dyDescent="0.25">
      <c r="A39" t="str">
        <f>Froto!A39</f>
        <v xml:space="preserve">  Devlet Teşvik ve Yardımları</v>
      </c>
      <c r="B39" s="6">
        <f>IF(MID(B$1,6,1)="3",Froto!B39,Froto!B39-Froto!C39)</f>
        <v>0</v>
      </c>
      <c r="C39" s="6">
        <f>IF(MID(C$1,6,1)="3",Froto!C39,Froto!C39-Froto!D39)</f>
        <v>0</v>
      </c>
      <c r="D39" s="6">
        <f>IF(MID(D$1,6,1)="3",Froto!D39,Froto!D39-Froto!E39)</f>
        <v>0</v>
      </c>
      <c r="E39" s="6">
        <f>IF(MID(E$1,6,1)="3",Froto!E39,Froto!E39-Froto!F39)</f>
        <v>0</v>
      </c>
      <c r="F39" s="6">
        <f>IF(MID(F$1,6,1)="3",Froto!F39,Froto!F39-Froto!G39)</f>
        <v>0</v>
      </c>
      <c r="G39" s="6">
        <f>IF(MID(G$1,6,1)="3",Froto!G39,Froto!G39-Froto!H39)</f>
        <v>0</v>
      </c>
      <c r="H39" s="6">
        <f>IF(MID(H$1,6,1)="3",Froto!H39,Froto!H39-Froto!I39)</f>
        <v>0</v>
      </c>
      <c r="I39" s="6">
        <f>IF(MID(I$1,6,1)="3",Froto!I39,Froto!I39-Froto!J39)</f>
        <v>0</v>
      </c>
      <c r="J39" s="6">
        <f>IF(MID(J$1,6,1)="3",Froto!J39,Froto!J39-Froto!K39)</f>
        <v>0</v>
      </c>
      <c r="K39" s="6">
        <f>IF(MID(K$1,6,1)="3",Froto!K39,Froto!K39-Froto!L39)</f>
        <v>0</v>
      </c>
      <c r="L39" s="6">
        <f>IF(MID(L$1,6,1)="3",Froto!L39,Froto!L39-Froto!M39)</f>
        <v>0</v>
      </c>
      <c r="M39" s="6">
        <f>IF(MID(M$1,6,1)="3",Froto!M39,Froto!M39-Froto!N39)</f>
        <v>0</v>
      </c>
      <c r="N39" s="6">
        <f>IF(MID(N$1,6,1)="3",Froto!N39,Froto!N39-Froto!O39)</f>
        <v>0</v>
      </c>
      <c r="O39" s="6">
        <f>IF(MID(O$1,6,1)="3",Froto!O39,Froto!O39-Froto!P39)</f>
        <v>0</v>
      </c>
      <c r="P39" s="6">
        <f>IF(MID(P$1,6,1)="3",Froto!P39,Froto!P39-Froto!Q39)</f>
        <v>0</v>
      </c>
      <c r="Q39" s="6">
        <f>IF(MID(Q$1,6,1)="3",Froto!Q39,Froto!Q39-Froto!R39)</f>
        <v>0</v>
      </c>
      <c r="R39" s="6">
        <f>IF(MID(R$1,6,1)="3",Froto!R39,Froto!R39-Froto!S39)</f>
        <v>0</v>
      </c>
      <c r="S39" s="6">
        <f>IF(MID(S$1,6,1)="3",Froto!S39,Froto!S39-Froto!T39)</f>
        <v>0</v>
      </c>
      <c r="T39" s="6">
        <f>IF(MID(T$1,6,1)="3",Froto!T39,Froto!T39-Froto!U39)</f>
        <v>0</v>
      </c>
      <c r="U39" s="6">
        <f>IF(MID(U$1,6,1)="3",Froto!U39,Froto!U39-Froto!V39)</f>
        <v>0</v>
      </c>
    </row>
    <row r="40" spans="1:21" x14ac:dyDescent="0.25">
      <c r="A40" t="str">
        <f>Froto!A40</f>
        <v xml:space="preserve">  Ertelenmiş Gelirler (Müşteri Söz. Doğan Yük. Dış.Kal.)</v>
      </c>
      <c r="B40" s="6">
        <f>IF(MID(B$1,6,1)="3",Froto!B40,Froto!B40-Froto!C40)</f>
        <v>32579000</v>
      </c>
      <c r="C40" s="6">
        <f>IF(MID(C$1,6,1)="3",Froto!C40,Froto!C40-Froto!D40)</f>
        <v>35838000</v>
      </c>
      <c r="D40" s="6">
        <f>IF(MID(D$1,6,1)="3",Froto!D40,Froto!D40-Froto!E40)</f>
        <v>9181000</v>
      </c>
      <c r="E40" s="6">
        <f>IF(MID(E$1,6,1)="3",Froto!E40,Froto!E40-Froto!F40)</f>
        <v>73948000</v>
      </c>
      <c r="F40" s="6">
        <f>IF(MID(F$1,6,1)="3",Froto!F40,Froto!F40-Froto!G40)</f>
        <v>15959000</v>
      </c>
      <c r="G40" s="6">
        <f>IF(MID(G$1,6,1)="3",Froto!G40,Froto!G40-Froto!H40)</f>
        <v>-6368000</v>
      </c>
      <c r="H40" s="6">
        <f>IF(MID(H$1,6,1)="3",Froto!H40,Froto!H40-Froto!I40)</f>
        <v>-9907000</v>
      </c>
      <c r="I40" s="6">
        <f>IF(MID(I$1,6,1)="3",Froto!I40,Froto!I40-Froto!J40)</f>
        <v>65046000</v>
      </c>
      <c r="J40" s="6">
        <f>IF(MID(J$1,6,1)="3",Froto!J40,Froto!J40-Froto!K40)</f>
        <v>-5969000</v>
      </c>
      <c r="K40" s="6">
        <f>IF(MID(K$1,6,1)="3",Froto!K40,Froto!K40-Froto!L40)</f>
        <v>21126000</v>
      </c>
      <c r="L40" s="6">
        <f>IF(MID(L$1,6,1)="3",Froto!L40,Froto!L40-Froto!M40)</f>
        <v>-736000</v>
      </c>
      <c r="M40" s="6">
        <f>IF(MID(M$1,6,1)="3",Froto!M40,Froto!M40-Froto!N40)</f>
        <v>28616000</v>
      </c>
      <c r="N40" s="6">
        <f>IF(MID(N$1,6,1)="3",Froto!N40,Froto!N40-Froto!O40)</f>
        <v>4449000</v>
      </c>
      <c r="O40" s="6">
        <f>IF(MID(O$1,6,1)="3",Froto!O40,Froto!O40-Froto!P40)</f>
        <v>1032000</v>
      </c>
      <c r="P40" s="6">
        <f>IF(MID(P$1,6,1)="3",Froto!P40,Froto!P40-Froto!Q40)</f>
        <v>6056000</v>
      </c>
      <c r="Q40" s="6">
        <f>IF(MID(Q$1,6,1)="3",Froto!Q40,Froto!Q40-Froto!R40)</f>
        <v>12293000</v>
      </c>
      <c r="R40" s="6">
        <f>IF(MID(R$1,6,1)="3",Froto!R40,Froto!R40-Froto!S40)</f>
        <v>13219000</v>
      </c>
      <c r="S40" s="6">
        <f>IF(MID(S$1,6,1)="3",Froto!S40,Froto!S40-Froto!T40)</f>
        <v>0</v>
      </c>
      <c r="T40" s="6">
        <f>IF(MID(T$1,6,1)="3",Froto!T40,Froto!T40-Froto!U40)</f>
        <v>0</v>
      </c>
      <c r="U40" s="6">
        <f>IF(MID(U$1,6,1)="3",Froto!U40,Froto!U40-Froto!V40)</f>
        <v>0</v>
      </c>
    </row>
    <row r="41" spans="1:21" x14ac:dyDescent="0.25">
      <c r="A41" t="str">
        <f>Froto!A41</f>
        <v xml:space="preserve">  Dönem Karı Vergi Yükümlülüğü</v>
      </c>
      <c r="B41" s="6">
        <f>IF(MID(B$1,6,1)="3",Froto!B41,Froto!B41-Froto!C41)</f>
        <v>0</v>
      </c>
      <c r="C41" s="6">
        <f>IF(MID(C$1,6,1)="3",Froto!C41,Froto!C41-Froto!D41)</f>
        <v>-12069000</v>
      </c>
      <c r="D41" s="6">
        <f>IF(MID(D$1,6,1)="3",Froto!D41,Froto!D41-Froto!E41)</f>
        <v>12069000</v>
      </c>
      <c r="E41" s="6">
        <f>IF(MID(E$1,6,1)="3",Froto!E41,Froto!E41-Froto!F41)</f>
        <v>0</v>
      </c>
      <c r="F41" s="6">
        <f>IF(MID(F$1,6,1)="3",Froto!F41,Froto!F41-Froto!G41)</f>
        <v>-2300000</v>
      </c>
      <c r="G41" s="6">
        <f>IF(MID(G$1,6,1)="3",Froto!G41,Froto!G41-Froto!H41)</f>
        <v>15405000</v>
      </c>
      <c r="H41" s="6">
        <f>IF(MID(H$1,6,1)="3",Froto!H41,Froto!H41-Froto!I41)</f>
        <v>0</v>
      </c>
      <c r="I41" s="6">
        <f>IF(MID(I$1,6,1)="3",Froto!I41,Froto!I41-Froto!J41)</f>
        <v>0</v>
      </c>
      <c r="J41" s="6">
        <f>IF(MID(J$1,6,1)="3",Froto!J41,Froto!J41-Froto!K41)</f>
        <v>17552000</v>
      </c>
      <c r="K41" s="6">
        <f>IF(MID(K$1,6,1)="3",Froto!K41,Froto!K41-Froto!L41)</f>
        <v>0</v>
      </c>
      <c r="L41" s="6">
        <f>IF(MID(L$1,6,1)="3",Froto!L41,Froto!L41-Froto!M41)</f>
        <v>0</v>
      </c>
      <c r="M41" s="6">
        <f>IF(MID(M$1,6,1)="3",Froto!M41,Froto!M41-Froto!N41)</f>
        <v>0</v>
      </c>
      <c r="N41" s="6">
        <f>IF(MID(N$1,6,1)="3",Froto!N41,Froto!N41-Froto!O41)</f>
        <v>-2773000</v>
      </c>
      <c r="O41" s="6">
        <f>IF(MID(O$1,6,1)="3",Froto!O41,Froto!O41-Froto!P41)</f>
        <v>6472000</v>
      </c>
      <c r="P41" s="6">
        <f>IF(MID(P$1,6,1)="3",Froto!P41,Froto!P41-Froto!Q41)</f>
        <v>7779000</v>
      </c>
      <c r="Q41" s="6">
        <f>IF(MID(Q$1,6,1)="3",Froto!Q41,Froto!Q41-Froto!R41)</f>
        <v>0</v>
      </c>
      <c r="R41" s="6">
        <f>IF(MID(R$1,6,1)="3",Froto!R41,Froto!R41-Froto!S41)</f>
        <v>8530000</v>
      </c>
      <c r="S41" s="6">
        <f>IF(MID(S$1,6,1)="3",Froto!S41,Froto!S41-Froto!T41)</f>
        <v>-5797000</v>
      </c>
      <c r="T41" s="6">
        <f>IF(MID(T$1,6,1)="3",Froto!T41,Froto!T41-Froto!U41)</f>
        <v>5797000</v>
      </c>
      <c r="U41" s="6">
        <f>IF(MID(U$1,6,1)="3",Froto!U41,Froto!U41-Froto!V41)</f>
        <v>0</v>
      </c>
    </row>
    <row r="42" spans="1:21" x14ac:dyDescent="0.25">
      <c r="A42" t="str">
        <f>Froto!A42</f>
        <v xml:space="preserve">  Borç Karşılıkları</v>
      </c>
      <c r="B42" s="6">
        <f>IF(MID(B$1,6,1)="3",Froto!B42,Froto!B42-Froto!C42)</f>
        <v>85632000</v>
      </c>
      <c r="C42" s="6">
        <f>IF(MID(C$1,6,1)="3",Froto!C42,Froto!C42-Froto!D42)</f>
        <v>83579000</v>
      </c>
      <c r="D42" s="6">
        <f>IF(MID(D$1,6,1)="3",Froto!D42,Froto!D42-Froto!E42)</f>
        <v>3699000</v>
      </c>
      <c r="E42" s="6">
        <f>IF(MID(E$1,6,1)="3",Froto!E42,Froto!E42-Froto!F42)</f>
        <v>403001000</v>
      </c>
      <c r="F42" s="6">
        <f>IF(MID(F$1,6,1)="3",Froto!F42,Froto!F42-Froto!G42)</f>
        <v>181355000</v>
      </c>
      <c r="G42" s="6">
        <f>IF(MID(G$1,6,1)="3",Froto!G42,Froto!G42-Froto!H42)</f>
        <v>-10849000</v>
      </c>
      <c r="H42" s="6">
        <f>IF(MID(H$1,6,1)="3",Froto!H42,Froto!H42-Froto!I42)</f>
        <v>8259000</v>
      </c>
      <c r="I42" s="6">
        <f>IF(MID(I$1,6,1)="3",Froto!I42,Froto!I42-Froto!J42)</f>
        <v>211396000</v>
      </c>
      <c r="J42" s="6">
        <f>IF(MID(J$1,6,1)="3",Froto!J42,Froto!J42-Froto!K42)</f>
        <v>128846000</v>
      </c>
      <c r="K42" s="6">
        <f>IF(MID(K$1,6,1)="3",Froto!K42,Froto!K42-Froto!L42)</f>
        <v>46266000</v>
      </c>
      <c r="L42" s="6">
        <f>IF(MID(L$1,6,1)="3",Froto!L42,Froto!L42-Froto!M42)</f>
        <v>-65344000</v>
      </c>
      <c r="M42" s="6">
        <f>IF(MID(M$1,6,1)="3",Froto!M42,Froto!M42-Froto!N42)</f>
        <v>163477000</v>
      </c>
      <c r="N42" s="6">
        <f>IF(MID(N$1,6,1)="3",Froto!N42,Froto!N42-Froto!O42)</f>
        <v>-27728000</v>
      </c>
      <c r="O42" s="6">
        <f>IF(MID(O$1,6,1)="3",Froto!O42,Froto!O42-Froto!P42)</f>
        <v>3519000</v>
      </c>
      <c r="P42" s="6">
        <f>IF(MID(P$1,6,1)="3",Froto!P42,Froto!P42-Froto!Q42)</f>
        <v>-32698000</v>
      </c>
      <c r="Q42" s="6">
        <f>IF(MID(Q$1,6,1)="3",Froto!Q42,Froto!Q42-Froto!R42)</f>
        <v>178009000</v>
      </c>
      <c r="R42" s="6">
        <f>IF(MID(R$1,6,1)="3",Froto!R42,Froto!R42-Froto!S42)</f>
        <v>-30699000</v>
      </c>
      <c r="S42" s="6">
        <f>IF(MID(S$1,6,1)="3",Froto!S42,Froto!S42-Froto!T42)</f>
        <v>17970000</v>
      </c>
      <c r="T42" s="6">
        <f>IF(MID(T$1,6,1)="3",Froto!T42,Froto!T42-Froto!U42)</f>
        <v>4576000</v>
      </c>
      <c r="U42" s="6">
        <f>IF(MID(U$1,6,1)="3",Froto!U42,Froto!U42-Froto!V42)</f>
        <v>163380000</v>
      </c>
    </row>
    <row r="43" spans="1:21" x14ac:dyDescent="0.25">
      <c r="A43" t="str">
        <f>Froto!A43</f>
        <v xml:space="preserve">  Diğer Kısa Vadeli Yükümlülükler</v>
      </c>
      <c r="B43" s="6">
        <f>IF(MID(B$1,6,1)="3",Froto!B43,Froto!B43-Froto!C43)</f>
        <v>474555000</v>
      </c>
      <c r="C43" s="6">
        <f>IF(MID(C$1,6,1)="3",Froto!C43,Froto!C43-Froto!D43)</f>
        <v>466906000</v>
      </c>
      <c r="D43" s="6">
        <f>IF(MID(D$1,6,1)="3",Froto!D43,Froto!D43-Froto!E43)</f>
        <v>89012000</v>
      </c>
      <c r="E43" s="6">
        <f>IF(MID(E$1,6,1)="3",Froto!E43,Froto!E43-Froto!F43)</f>
        <v>347846000</v>
      </c>
      <c r="F43" s="6">
        <f>IF(MID(F$1,6,1)="3",Froto!F43,Froto!F43-Froto!G43)</f>
        <v>179142000</v>
      </c>
      <c r="G43" s="6">
        <f>IF(MID(G$1,6,1)="3",Froto!G43,Froto!G43-Froto!H43)</f>
        <v>33207000</v>
      </c>
      <c r="H43" s="6">
        <f>IF(MID(H$1,6,1)="3",Froto!H43,Froto!H43-Froto!I43)</f>
        <v>33470000</v>
      </c>
      <c r="I43" s="6">
        <f>IF(MID(I$1,6,1)="3",Froto!I43,Froto!I43-Froto!J43)</f>
        <v>173741000</v>
      </c>
      <c r="J43" s="6">
        <f>IF(MID(J$1,6,1)="3",Froto!J43,Froto!J43-Froto!K43)</f>
        <v>36266000</v>
      </c>
      <c r="K43" s="6">
        <f>IF(MID(K$1,6,1)="3",Froto!K43,Froto!K43-Froto!L43)</f>
        <v>36974000</v>
      </c>
      <c r="L43" s="6">
        <f>IF(MID(L$1,6,1)="3",Froto!L43,Froto!L43-Froto!M43)</f>
        <v>90252000</v>
      </c>
      <c r="M43" s="6">
        <f>IF(MID(M$1,6,1)="3",Froto!M43,Froto!M43-Froto!N43)</f>
        <v>126585000</v>
      </c>
      <c r="N43" s="6">
        <f>IF(MID(N$1,6,1)="3",Froto!N43,Froto!N43-Froto!O43)</f>
        <v>45930000</v>
      </c>
      <c r="O43" s="6">
        <f>IF(MID(O$1,6,1)="3",Froto!O43,Froto!O43-Froto!P43)</f>
        <v>17979000</v>
      </c>
      <c r="P43" s="6">
        <f>IF(MID(P$1,6,1)="3",Froto!P43,Froto!P43-Froto!Q43)</f>
        <v>31294000</v>
      </c>
      <c r="Q43" s="6">
        <f>IF(MID(Q$1,6,1)="3",Froto!Q43,Froto!Q43-Froto!R43)</f>
        <v>125070000</v>
      </c>
      <c r="R43" s="6">
        <f>IF(MID(R$1,6,1)="3",Froto!R43,Froto!R43-Froto!S43)</f>
        <v>-21907000</v>
      </c>
      <c r="S43" s="6">
        <f>IF(MID(S$1,6,1)="3",Froto!S43,Froto!S43-Froto!T43)</f>
        <v>23164000</v>
      </c>
      <c r="T43" s="6">
        <f>IF(MID(T$1,6,1)="3",Froto!T43,Froto!T43-Froto!U43)</f>
        <v>19356000</v>
      </c>
      <c r="U43" s="6">
        <f>IF(MID(U$1,6,1)="3",Froto!U43,Froto!U43-Froto!V43)</f>
        <v>129091000</v>
      </c>
    </row>
    <row r="44" spans="1:21" x14ac:dyDescent="0.25">
      <c r="A44" t="str">
        <f>Froto!A44</f>
        <v xml:space="preserve">    (Ara Toplam)</v>
      </c>
      <c r="B44" s="6">
        <f>IF(MID(B$1,6,1)="3",Froto!B44,Froto!B44-Froto!C44)</f>
        <v>4716864000</v>
      </c>
      <c r="C44" s="6">
        <f>IF(MID(C$1,6,1)="3",Froto!C44,Froto!C44-Froto!D44)</f>
        <v>6430576000</v>
      </c>
      <c r="D44" s="6">
        <f>IF(MID(D$1,6,1)="3",Froto!D44,Froto!D44-Froto!E44)</f>
        <v>8830967000</v>
      </c>
      <c r="E44" s="6">
        <f>IF(MID(E$1,6,1)="3",Froto!E44,Froto!E44-Froto!F44)</f>
        <v>26227573000</v>
      </c>
      <c r="F44" s="6">
        <f>IF(MID(F$1,6,1)="3",Froto!F44,Froto!F44-Froto!G44)</f>
        <v>2547007000</v>
      </c>
      <c r="G44" s="6">
        <f>IF(MID(G$1,6,1)="3",Froto!G44,Froto!G44-Froto!H44)</f>
        <v>6232752000</v>
      </c>
      <c r="H44" s="6">
        <f>IF(MID(H$1,6,1)="3",Froto!H44,Froto!H44-Froto!I44)</f>
        <v>-3046636000</v>
      </c>
      <c r="I44" s="6">
        <f>IF(MID(I$1,6,1)="3",Froto!I44,Froto!I44-Froto!J44)</f>
        <v>15049021000</v>
      </c>
      <c r="J44" s="6">
        <f>IF(MID(J$1,6,1)="3",Froto!J44,Froto!J44-Froto!K44)</f>
        <v>-47574000</v>
      </c>
      <c r="K44" s="6">
        <f>IF(MID(K$1,6,1)="3",Froto!K44,Froto!K44-Froto!L44)</f>
        <v>2555572000</v>
      </c>
      <c r="L44" s="6">
        <f>IF(MID(L$1,6,1)="3",Froto!L44,Froto!L44-Froto!M44)</f>
        <v>821705000</v>
      </c>
      <c r="M44" s="6">
        <f>IF(MID(M$1,6,1)="3",Froto!M44,Froto!M44-Froto!N44)</f>
        <v>9151078000</v>
      </c>
      <c r="N44" s="6">
        <f>IF(MID(N$1,6,1)="3",Froto!N44,Froto!N44-Froto!O44)</f>
        <v>617833000</v>
      </c>
      <c r="O44" s="6">
        <f>IF(MID(O$1,6,1)="3",Froto!O44,Froto!O44-Froto!P44)</f>
        <v>-784700000</v>
      </c>
      <c r="P44" s="6">
        <f>IF(MID(P$1,6,1)="3",Froto!P44,Froto!P44-Froto!Q44)</f>
        <v>-455606000</v>
      </c>
      <c r="Q44" s="6">
        <f>IF(MID(Q$1,6,1)="3",Froto!Q44,Froto!Q44-Froto!R44)</f>
        <v>9267844000</v>
      </c>
      <c r="R44" s="6">
        <f>IF(MID(R$1,6,1)="3",Froto!R44,Froto!R44-Froto!S44)</f>
        <v>-366326000</v>
      </c>
      <c r="S44" s="6">
        <f>IF(MID(S$1,6,1)="3",Froto!S44,Froto!S44-Froto!T44)</f>
        <v>922391000</v>
      </c>
      <c r="T44" s="6">
        <f>IF(MID(T$1,6,1)="3",Froto!T44,Froto!T44-Froto!U44)</f>
        <v>-678238000</v>
      </c>
      <c r="U44" s="6">
        <f>IF(MID(U$1,6,1)="3",Froto!U44,Froto!U44-Froto!V44)</f>
        <v>7341785000</v>
      </c>
    </row>
    <row r="45" spans="1:21" x14ac:dyDescent="0.25">
      <c r="A45" t="str">
        <f>Froto!A45</f>
        <v xml:space="preserve">  Satış Amaçlı Elde Tutulan Duran Varlıklara İlişkin Yükümlülükler</v>
      </c>
      <c r="B45" s="6">
        <f>IF(MID(B$1,6,1)="3",Froto!B45,Froto!B45-Froto!C45)</f>
        <v>0</v>
      </c>
      <c r="C45" s="6">
        <f>IF(MID(C$1,6,1)="3",Froto!C45,Froto!C45-Froto!D45)</f>
        <v>0</v>
      </c>
      <c r="D45" s="6">
        <f>IF(MID(D$1,6,1)="3",Froto!D45,Froto!D45-Froto!E45)</f>
        <v>0</v>
      </c>
      <c r="E45" s="6">
        <f>IF(MID(E$1,6,1)="3",Froto!E45,Froto!E45-Froto!F45)</f>
        <v>0</v>
      </c>
      <c r="F45" s="6">
        <f>IF(MID(F$1,6,1)="3",Froto!F45,Froto!F45-Froto!G45)</f>
        <v>0</v>
      </c>
      <c r="G45" s="6">
        <f>IF(MID(G$1,6,1)="3",Froto!G45,Froto!G45-Froto!H45)</f>
        <v>0</v>
      </c>
      <c r="H45" s="6">
        <f>IF(MID(H$1,6,1)="3",Froto!H45,Froto!H45-Froto!I45)</f>
        <v>0</v>
      </c>
      <c r="I45" s="6">
        <f>IF(MID(I$1,6,1)="3",Froto!I45,Froto!I45-Froto!J45)</f>
        <v>0</v>
      </c>
      <c r="J45" s="6">
        <f>IF(MID(J$1,6,1)="3",Froto!J45,Froto!J45-Froto!K45)</f>
        <v>0</v>
      </c>
      <c r="K45" s="6">
        <f>IF(MID(K$1,6,1)="3",Froto!K45,Froto!K45-Froto!L45)</f>
        <v>0</v>
      </c>
      <c r="L45" s="6">
        <f>IF(MID(L$1,6,1)="3",Froto!L45,Froto!L45-Froto!M45)</f>
        <v>0</v>
      </c>
      <c r="M45" s="6">
        <f>IF(MID(M$1,6,1)="3",Froto!M45,Froto!M45-Froto!N45)</f>
        <v>0</v>
      </c>
      <c r="N45" s="6">
        <f>IF(MID(N$1,6,1)="3",Froto!N45,Froto!N45-Froto!O45)</f>
        <v>0</v>
      </c>
      <c r="O45" s="6">
        <f>IF(MID(O$1,6,1)="3",Froto!O45,Froto!O45-Froto!P45)</f>
        <v>0</v>
      </c>
      <c r="P45" s="6">
        <f>IF(MID(P$1,6,1)="3",Froto!P45,Froto!P45-Froto!Q45)</f>
        <v>0</v>
      </c>
      <c r="Q45" s="6">
        <f>IF(MID(Q$1,6,1)="3",Froto!Q45,Froto!Q45-Froto!R45)</f>
        <v>0</v>
      </c>
      <c r="R45" s="6">
        <f>IF(MID(R$1,6,1)="3",Froto!R45,Froto!R45-Froto!S45)</f>
        <v>0</v>
      </c>
      <c r="S45" s="6">
        <f>IF(MID(S$1,6,1)="3",Froto!S45,Froto!S45-Froto!T45)</f>
        <v>0</v>
      </c>
      <c r="T45" s="6">
        <f>IF(MID(T$1,6,1)="3",Froto!T45,Froto!T45-Froto!U45)</f>
        <v>0</v>
      </c>
      <c r="U45" s="6">
        <f>IF(MID(U$1,6,1)="3",Froto!U45,Froto!U45-Froto!V45)</f>
        <v>0</v>
      </c>
    </row>
    <row r="46" spans="1:21" x14ac:dyDescent="0.25">
      <c r="A46" t="str">
        <f>Froto!A46</f>
        <v>Uzun Vadeli Yükümlülükler</v>
      </c>
      <c r="B46" s="6">
        <f>IF(MID(B$1,6,1)="3",Froto!B46,Froto!B46-Froto!C46)</f>
        <v>5847851000</v>
      </c>
      <c r="C46" s="6">
        <f>IF(MID(C$1,6,1)="3",Froto!C46,Froto!C46-Froto!D46)</f>
        <v>6296085000</v>
      </c>
      <c r="D46" s="6">
        <f>IF(MID(D$1,6,1)="3",Froto!D46,Froto!D46-Froto!E46)</f>
        <v>788969000</v>
      </c>
      <c r="E46" s="6">
        <f>IF(MID(E$1,6,1)="3",Froto!E46,Froto!E46-Froto!F46)</f>
        <v>15511188000</v>
      </c>
      <c r="F46" s="6">
        <f>IF(MID(F$1,6,1)="3",Froto!F46,Froto!F46-Froto!G46)</f>
        <v>5088381000</v>
      </c>
      <c r="G46" s="6">
        <f>IF(MID(G$1,6,1)="3",Froto!G46,Froto!G46-Froto!H46)</f>
        <v>2096196000</v>
      </c>
      <c r="H46" s="6">
        <f>IF(MID(H$1,6,1)="3",Froto!H46,Froto!H46-Froto!I46)</f>
        <v>-671117000</v>
      </c>
      <c r="I46" s="6">
        <f>IF(MID(I$1,6,1)="3",Froto!I46,Froto!I46-Froto!J46)</f>
        <v>5348711000</v>
      </c>
      <c r="J46" s="6">
        <f>IF(MID(J$1,6,1)="3",Froto!J46,Froto!J46-Froto!K46)</f>
        <v>-606752000</v>
      </c>
      <c r="K46" s="6">
        <f>IF(MID(K$1,6,1)="3",Froto!K46,Froto!K46-Froto!L46)</f>
        <v>1529069000</v>
      </c>
      <c r="L46" s="6">
        <f>IF(MID(L$1,6,1)="3",Froto!L46,Froto!L46-Froto!M46)</f>
        <v>471136000</v>
      </c>
      <c r="M46" s="6">
        <f>IF(MID(M$1,6,1)="3",Froto!M46,Froto!M46-Froto!N46)</f>
        <v>3431043000</v>
      </c>
      <c r="N46" s="6">
        <f>IF(MID(N$1,6,1)="3",Froto!N46,Froto!N46-Froto!O46)</f>
        <v>673535000</v>
      </c>
      <c r="O46" s="6">
        <f>IF(MID(O$1,6,1)="3",Froto!O46,Froto!O46-Froto!P46)</f>
        <v>-51846000</v>
      </c>
      <c r="P46" s="6">
        <f>IF(MID(P$1,6,1)="3",Froto!P46,Froto!P46-Froto!Q46)</f>
        <v>278820000</v>
      </c>
      <c r="Q46" s="6">
        <f>IF(MID(Q$1,6,1)="3",Froto!Q46,Froto!Q46-Froto!R46)</f>
        <v>2195571000</v>
      </c>
      <c r="R46" s="6">
        <f>IF(MID(R$1,6,1)="3",Froto!R46,Froto!R46-Froto!S46)</f>
        <v>-622477000</v>
      </c>
      <c r="S46" s="6">
        <f>IF(MID(S$1,6,1)="3",Froto!S46,Froto!S46-Froto!T46)</f>
        <v>419793000</v>
      </c>
      <c r="T46" s="6">
        <f>IF(MID(T$1,6,1)="3",Froto!T46,Froto!T46-Froto!U46)</f>
        <v>-66837000</v>
      </c>
      <c r="U46" s="6">
        <f>IF(MID(U$1,6,1)="3",Froto!U46,Froto!U46-Froto!V46)</f>
        <v>2341110000</v>
      </c>
    </row>
    <row r="47" spans="1:21" x14ac:dyDescent="0.25">
      <c r="A47" t="str">
        <f>Froto!A47</f>
        <v xml:space="preserve">  Finansal Borçlar</v>
      </c>
      <c r="B47" s="6">
        <f>IF(MID(B$1,6,1)="3",Froto!B47,Froto!B47-Froto!C47)</f>
        <v>4031230000</v>
      </c>
      <c r="C47" s="6">
        <f>IF(MID(C$1,6,1)="3",Froto!C47,Froto!C47-Froto!D47)</f>
        <v>5842911000</v>
      </c>
      <c r="D47" s="6">
        <f>IF(MID(D$1,6,1)="3",Froto!D47,Froto!D47-Froto!E47)</f>
        <v>471521000</v>
      </c>
      <c r="E47" s="6">
        <f>IF(MID(E$1,6,1)="3",Froto!E47,Froto!E47-Froto!F47)</f>
        <v>14354110000</v>
      </c>
      <c r="F47" s="6">
        <f>IF(MID(F$1,6,1)="3",Froto!F47,Froto!F47-Froto!G47)</f>
        <v>4826399000</v>
      </c>
      <c r="G47" s="6">
        <f>IF(MID(G$1,6,1)="3",Froto!G47,Froto!G47-Froto!H47)</f>
        <v>2088213000</v>
      </c>
      <c r="H47" s="6">
        <f>IF(MID(H$1,6,1)="3",Froto!H47,Froto!H47-Froto!I47)</f>
        <v>-716122000</v>
      </c>
      <c r="I47" s="6">
        <f>IF(MID(I$1,6,1)="3",Froto!I47,Froto!I47-Froto!J47)</f>
        <v>4600818000</v>
      </c>
      <c r="J47" s="6">
        <f>IF(MID(J$1,6,1)="3",Froto!J47,Froto!J47-Froto!K47)</f>
        <v>-662031000</v>
      </c>
      <c r="K47" s="6">
        <f>IF(MID(K$1,6,1)="3",Froto!K47,Froto!K47-Froto!L47)</f>
        <v>1504502000</v>
      </c>
      <c r="L47" s="6">
        <f>IF(MID(L$1,6,1)="3",Froto!L47,Froto!L47-Froto!M47)</f>
        <v>405296000</v>
      </c>
      <c r="M47" s="6">
        <f>IF(MID(M$1,6,1)="3",Froto!M47,Froto!M47-Froto!N47)</f>
        <v>2900226000</v>
      </c>
      <c r="N47" s="6">
        <f>IF(MID(N$1,6,1)="3",Froto!N47,Froto!N47-Froto!O47)</f>
        <v>579884000</v>
      </c>
      <c r="O47" s="6">
        <f>IF(MID(O$1,6,1)="3",Froto!O47,Froto!O47-Froto!P47)</f>
        <v>-53338000</v>
      </c>
      <c r="P47" s="6">
        <f>IF(MID(P$1,6,1)="3",Froto!P47,Froto!P47-Froto!Q47)</f>
        <v>243121000</v>
      </c>
      <c r="Q47" s="6">
        <f>IF(MID(Q$1,6,1)="3",Froto!Q47,Froto!Q47-Froto!R47)</f>
        <v>1790269000</v>
      </c>
      <c r="R47" s="6">
        <f>IF(MID(R$1,6,1)="3",Froto!R47,Froto!R47-Froto!S47)</f>
        <v>-566182000</v>
      </c>
      <c r="S47" s="6">
        <f>IF(MID(S$1,6,1)="3",Froto!S47,Froto!S47-Froto!T47)</f>
        <v>424745000</v>
      </c>
      <c r="T47" s="6">
        <f>IF(MID(T$1,6,1)="3",Froto!T47,Froto!T47-Froto!U47)</f>
        <v>-46036000</v>
      </c>
      <c r="U47" s="6">
        <f>IF(MID(U$1,6,1)="3",Froto!U47,Froto!U47-Froto!V47)</f>
        <v>1866027000</v>
      </c>
    </row>
    <row r="48" spans="1:21" x14ac:dyDescent="0.25">
      <c r="A48" t="str">
        <f>Froto!A48</f>
        <v xml:space="preserve">  Diğer Finansal Yükümlülükler</v>
      </c>
      <c r="B48" s="6">
        <f>IF(MID(B$1,6,1)="3",Froto!B48,Froto!B48-Froto!C48)</f>
        <v>0</v>
      </c>
      <c r="C48" s="6">
        <f>IF(MID(C$1,6,1)="3",Froto!C48,Froto!C48-Froto!D48)</f>
        <v>0</v>
      </c>
      <c r="D48" s="6">
        <f>IF(MID(D$1,6,1)="3",Froto!D48,Froto!D48-Froto!E48)</f>
        <v>0</v>
      </c>
      <c r="E48" s="6">
        <f>IF(MID(E$1,6,1)="3",Froto!E48,Froto!E48-Froto!F48)</f>
        <v>0</v>
      </c>
      <c r="F48" s="6">
        <f>IF(MID(F$1,6,1)="3",Froto!F48,Froto!F48-Froto!G48)</f>
        <v>0</v>
      </c>
      <c r="G48" s="6">
        <f>IF(MID(G$1,6,1)="3",Froto!G48,Froto!G48-Froto!H48)</f>
        <v>0</v>
      </c>
      <c r="H48" s="6">
        <f>IF(MID(H$1,6,1)="3",Froto!H48,Froto!H48-Froto!I48)</f>
        <v>0</v>
      </c>
      <c r="I48" s="6">
        <f>IF(MID(I$1,6,1)="3",Froto!I48,Froto!I48-Froto!J48)</f>
        <v>0</v>
      </c>
      <c r="J48" s="6">
        <f>IF(MID(J$1,6,1)="3",Froto!J48,Froto!J48-Froto!K48)</f>
        <v>0</v>
      </c>
      <c r="K48" s="6">
        <f>IF(MID(K$1,6,1)="3",Froto!K48,Froto!K48-Froto!L48)</f>
        <v>0</v>
      </c>
      <c r="L48" s="6">
        <f>IF(MID(L$1,6,1)="3",Froto!L48,Froto!L48-Froto!M48)</f>
        <v>0</v>
      </c>
      <c r="M48" s="6">
        <f>IF(MID(M$1,6,1)="3",Froto!M48,Froto!M48-Froto!N48)</f>
        <v>0</v>
      </c>
      <c r="N48" s="6">
        <f>IF(MID(N$1,6,1)="3",Froto!N48,Froto!N48-Froto!O48)</f>
        <v>0</v>
      </c>
      <c r="O48" s="6">
        <f>IF(MID(O$1,6,1)="3",Froto!O48,Froto!O48-Froto!P48)</f>
        <v>0</v>
      </c>
      <c r="P48" s="6">
        <f>IF(MID(P$1,6,1)="3",Froto!P48,Froto!P48-Froto!Q48)</f>
        <v>0</v>
      </c>
      <c r="Q48" s="6">
        <f>IF(MID(Q$1,6,1)="3",Froto!Q48,Froto!Q48-Froto!R48)</f>
        <v>0</v>
      </c>
      <c r="R48" s="6">
        <f>IF(MID(R$1,6,1)="3",Froto!R48,Froto!R48-Froto!S48)</f>
        <v>0</v>
      </c>
      <c r="S48" s="6">
        <f>IF(MID(S$1,6,1)="3",Froto!S48,Froto!S48-Froto!T48)</f>
        <v>0</v>
      </c>
      <c r="T48" s="6">
        <f>IF(MID(T$1,6,1)="3",Froto!T48,Froto!T48-Froto!U48)</f>
        <v>0</v>
      </c>
      <c r="U48" s="6">
        <f>IF(MID(U$1,6,1)="3",Froto!U48,Froto!U48-Froto!V48)</f>
        <v>0</v>
      </c>
    </row>
    <row r="49" spans="1:21" x14ac:dyDescent="0.25">
      <c r="A49" t="str">
        <f>Froto!A49</f>
        <v xml:space="preserve">  Ticari Borçlar</v>
      </c>
      <c r="B49" s="6">
        <f>IF(MID(B$1,6,1)="3",Froto!B49,Froto!B49-Froto!C49)</f>
        <v>0</v>
      </c>
      <c r="C49" s="6">
        <f>IF(MID(C$1,6,1)="3",Froto!C49,Froto!C49-Froto!D49)</f>
        <v>0</v>
      </c>
      <c r="D49" s="6">
        <f>IF(MID(D$1,6,1)="3",Froto!D49,Froto!D49-Froto!E49)</f>
        <v>0</v>
      </c>
      <c r="E49" s="6">
        <f>IF(MID(E$1,6,1)="3",Froto!E49,Froto!E49-Froto!F49)</f>
        <v>0</v>
      </c>
      <c r="F49" s="6">
        <f>IF(MID(F$1,6,1)="3",Froto!F49,Froto!F49-Froto!G49)</f>
        <v>0</v>
      </c>
      <c r="G49" s="6">
        <f>IF(MID(G$1,6,1)="3",Froto!G49,Froto!G49-Froto!H49)</f>
        <v>0</v>
      </c>
      <c r="H49" s="6">
        <f>IF(MID(H$1,6,1)="3",Froto!H49,Froto!H49-Froto!I49)</f>
        <v>0</v>
      </c>
      <c r="I49" s="6">
        <f>IF(MID(I$1,6,1)="3",Froto!I49,Froto!I49-Froto!J49)</f>
        <v>0</v>
      </c>
      <c r="J49" s="6">
        <f>IF(MID(J$1,6,1)="3",Froto!J49,Froto!J49-Froto!K49)</f>
        <v>0</v>
      </c>
      <c r="K49" s="6">
        <f>IF(MID(K$1,6,1)="3",Froto!K49,Froto!K49-Froto!L49)</f>
        <v>0</v>
      </c>
      <c r="L49" s="6">
        <f>IF(MID(L$1,6,1)="3",Froto!L49,Froto!L49-Froto!M49)</f>
        <v>0</v>
      </c>
      <c r="M49" s="6">
        <f>IF(MID(M$1,6,1)="3",Froto!M49,Froto!M49-Froto!N49)</f>
        <v>0</v>
      </c>
      <c r="N49" s="6">
        <f>IF(MID(N$1,6,1)="3",Froto!N49,Froto!N49-Froto!O49)</f>
        <v>0</v>
      </c>
      <c r="O49" s="6">
        <f>IF(MID(O$1,6,1)="3",Froto!O49,Froto!O49-Froto!P49)</f>
        <v>0</v>
      </c>
      <c r="P49" s="6">
        <f>IF(MID(P$1,6,1)="3",Froto!P49,Froto!P49-Froto!Q49)</f>
        <v>0</v>
      </c>
      <c r="Q49" s="6">
        <f>IF(MID(Q$1,6,1)="3",Froto!Q49,Froto!Q49-Froto!R49)</f>
        <v>0</v>
      </c>
      <c r="R49" s="6">
        <f>IF(MID(R$1,6,1)="3",Froto!R49,Froto!R49-Froto!S49)</f>
        <v>0</v>
      </c>
      <c r="S49" s="6">
        <f>IF(MID(S$1,6,1)="3",Froto!S49,Froto!S49-Froto!T49)</f>
        <v>0</v>
      </c>
      <c r="T49" s="6">
        <f>IF(MID(T$1,6,1)="3",Froto!T49,Froto!T49-Froto!U49)</f>
        <v>0</v>
      </c>
      <c r="U49" s="6">
        <f>IF(MID(U$1,6,1)="3",Froto!U49,Froto!U49-Froto!V49)</f>
        <v>0</v>
      </c>
    </row>
    <row r="50" spans="1:21" x14ac:dyDescent="0.25">
      <c r="A50" t="str">
        <f>Froto!A50</f>
        <v xml:space="preserve">  Diğer Borçlar</v>
      </c>
      <c r="B50" s="6">
        <f>IF(MID(B$1,6,1)="3",Froto!B50,Froto!B50-Froto!C50)</f>
        <v>0</v>
      </c>
      <c r="C50" s="6">
        <f>IF(MID(C$1,6,1)="3",Froto!C50,Froto!C50-Froto!D50)</f>
        <v>0</v>
      </c>
      <c r="D50" s="6">
        <f>IF(MID(D$1,6,1)="3",Froto!D50,Froto!D50-Froto!E50)</f>
        <v>0</v>
      </c>
      <c r="E50" s="6">
        <f>IF(MID(E$1,6,1)="3",Froto!E50,Froto!E50-Froto!F50)</f>
        <v>0</v>
      </c>
      <c r="F50" s="6">
        <f>IF(MID(F$1,6,1)="3",Froto!F50,Froto!F50-Froto!G50)</f>
        <v>0</v>
      </c>
      <c r="G50" s="6">
        <f>IF(MID(G$1,6,1)="3",Froto!G50,Froto!G50-Froto!H50)</f>
        <v>0</v>
      </c>
      <c r="H50" s="6">
        <f>IF(MID(H$1,6,1)="3",Froto!H50,Froto!H50-Froto!I50)</f>
        <v>0</v>
      </c>
      <c r="I50" s="6">
        <f>IF(MID(I$1,6,1)="3",Froto!I50,Froto!I50-Froto!J50)</f>
        <v>0</v>
      </c>
      <c r="J50" s="6">
        <f>IF(MID(J$1,6,1)="3",Froto!J50,Froto!J50-Froto!K50)</f>
        <v>0</v>
      </c>
      <c r="K50" s="6">
        <f>IF(MID(K$1,6,1)="3",Froto!K50,Froto!K50-Froto!L50)</f>
        <v>0</v>
      </c>
      <c r="L50" s="6">
        <f>IF(MID(L$1,6,1)="3",Froto!L50,Froto!L50-Froto!M50)</f>
        <v>0</v>
      </c>
      <c r="M50" s="6">
        <f>IF(MID(M$1,6,1)="3",Froto!M50,Froto!M50-Froto!N50)</f>
        <v>0</v>
      </c>
      <c r="N50" s="6">
        <f>IF(MID(N$1,6,1)="3",Froto!N50,Froto!N50-Froto!O50)</f>
        <v>0</v>
      </c>
      <c r="O50" s="6">
        <f>IF(MID(O$1,6,1)="3",Froto!O50,Froto!O50-Froto!P50)</f>
        <v>0</v>
      </c>
      <c r="P50" s="6">
        <f>IF(MID(P$1,6,1)="3",Froto!P50,Froto!P50-Froto!Q50)</f>
        <v>0</v>
      </c>
      <c r="Q50" s="6">
        <f>IF(MID(Q$1,6,1)="3",Froto!Q50,Froto!Q50-Froto!R50)</f>
        <v>0</v>
      </c>
      <c r="R50" s="6">
        <f>IF(MID(R$1,6,1)="3",Froto!R50,Froto!R50-Froto!S50)</f>
        <v>0</v>
      </c>
      <c r="S50" s="6">
        <f>IF(MID(S$1,6,1)="3",Froto!S50,Froto!S50-Froto!T50)</f>
        <v>0</v>
      </c>
      <c r="T50" s="6">
        <f>IF(MID(T$1,6,1)="3",Froto!T50,Froto!T50-Froto!U50)</f>
        <v>0</v>
      </c>
      <c r="U50" s="6">
        <f>IF(MID(U$1,6,1)="3",Froto!U50,Froto!U50-Froto!V50)</f>
        <v>0</v>
      </c>
    </row>
    <row r="51" spans="1:21" x14ac:dyDescent="0.25">
      <c r="A51" t="str">
        <f>Froto!A51</f>
        <v xml:space="preserve">  Müşteri Söz.Doğan Yük.</v>
      </c>
      <c r="B51" s="6">
        <f>IF(MID(B$1,6,1)="3",Froto!B51,Froto!B51-Froto!C51)</f>
        <v>0</v>
      </c>
      <c r="C51" s="6">
        <f>IF(MID(C$1,6,1)="3",Froto!C51,Froto!C51-Froto!D51)</f>
        <v>0</v>
      </c>
      <c r="D51" s="6">
        <f>IF(MID(D$1,6,1)="3",Froto!D51,Froto!D51-Froto!E51)</f>
        <v>0</v>
      </c>
      <c r="E51" s="6">
        <f>IF(MID(E$1,6,1)="3",Froto!E51,Froto!E51-Froto!F51)</f>
        <v>0</v>
      </c>
      <c r="F51" s="6">
        <f>IF(MID(F$1,6,1)="3",Froto!F51,Froto!F51-Froto!G51)</f>
        <v>0</v>
      </c>
      <c r="G51" s="6">
        <f>IF(MID(G$1,6,1)="3",Froto!G51,Froto!G51-Froto!H51)</f>
        <v>0</v>
      </c>
      <c r="H51" s="6">
        <f>IF(MID(H$1,6,1)="3",Froto!H51,Froto!H51-Froto!I51)</f>
        <v>0</v>
      </c>
      <c r="I51" s="6">
        <f>IF(MID(I$1,6,1)="3",Froto!I51,Froto!I51-Froto!J51)</f>
        <v>0</v>
      </c>
      <c r="J51" s="6">
        <f>IF(MID(J$1,6,1)="3",Froto!J51,Froto!J51-Froto!K51)</f>
        <v>0</v>
      </c>
      <c r="K51" s="6">
        <f>IF(MID(K$1,6,1)="3",Froto!K51,Froto!K51-Froto!L51)</f>
        <v>0</v>
      </c>
      <c r="L51" s="6">
        <f>IF(MID(L$1,6,1)="3",Froto!L51,Froto!L51-Froto!M51)</f>
        <v>0</v>
      </c>
      <c r="M51" s="6">
        <f>IF(MID(M$1,6,1)="3",Froto!M51,Froto!M51-Froto!N51)</f>
        <v>0</v>
      </c>
      <c r="N51" s="6">
        <f>IF(MID(N$1,6,1)="3",Froto!N51,Froto!N51-Froto!O51)</f>
        <v>0</v>
      </c>
      <c r="O51" s="6">
        <f>IF(MID(O$1,6,1)="3",Froto!O51,Froto!O51-Froto!P51)</f>
        <v>0</v>
      </c>
      <c r="P51" s="6">
        <f>IF(MID(P$1,6,1)="3",Froto!P51,Froto!P51-Froto!Q51)</f>
        <v>0</v>
      </c>
      <c r="Q51" s="6">
        <f>IF(MID(Q$1,6,1)="3",Froto!Q51,Froto!Q51-Froto!R51)</f>
        <v>0</v>
      </c>
      <c r="R51" s="6">
        <f>IF(MID(R$1,6,1)="3",Froto!R51,Froto!R51-Froto!S51)</f>
        <v>0</v>
      </c>
      <c r="S51" s="6">
        <f>IF(MID(S$1,6,1)="3",Froto!S51,Froto!S51-Froto!T51)</f>
        <v>0</v>
      </c>
      <c r="T51" s="6">
        <f>IF(MID(T$1,6,1)="3",Froto!T51,Froto!T51-Froto!U51)</f>
        <v>0</v>
      </c>
      <c r="U51" s="6">
        <f>IF(MID(U$1,6,1)="3",Froto!U51,Froto!U51-Froto!V51)</f>
        <v>0</v>
      </c>
    </row>
    <row r="52" spans="1:21" x14ac:dyDescent="0.25">
      <c r="A52" t="str">
        <f>Froto!A52</f>
        <v xml:space="preserve">  Finans Sektörü Faaliyetlerinden Borçlar</v>
      </c>
      <c r="B52" s="6">
        <f>IF(MID(B$1,6,1)="3",Froto!B52,Froto!B52-Froto!C52)</f>
        <v>0</v>
      </c>
      <c r="C52" s="6">
        <f>IF(MID(C$1,6,1)="3",Froto!C52,Froto!C52-Froto!D52)</f>
        <v>0</v>
      </c>
      <c r="D52" s="6">
        <f>IF(MID(D$1,6,1)="3",Froto!D52,Froto!D52-Froto!E52)</f>
        <v>0</v>
      </c>
      <c r="E52" s="6">
        <f>IF(MID(E$1,6,1)="3",Froto!E52,Froto!E52-Froto!F52)</f>
        <v>0</v>
      </c>
      <c r="F52" s="6">
        <f>IF(MID(F$1,6,1)="3",Froto!F52,Froto!F52-Froto!G52)</f>
        <v>0</v>
      </c>
      <c r="G52" s="6">
        <f>IF(MID(G$1,6,1)="3",Froto!G52,Froto!G52-Froto!H52)</f>
        <v>0</v>
      </c>
      <c r="H52" s="6">
        <f>IF(MID(H$1,6,1)="3",Froto!H52,Froto!H52-Froto!I52)</f>
        <v>0</v>
      </c>
      <c r="I52" s="6">
        <f>IF(MID(I$1,6,1)="3",Froto!I52,Froto!I52-Froto!J52)</f>
        <v>0</v>
      </c>
      <c r="J52" s="6">
        <f>IF(MID(J$1,6,1)="3",Froto!J52,Froto!J52-Froto!K52)</f>
        <v>0</v>
      </c>
      <c r="K52" s="6">
        <f>IF(MID(K$1,6,1)="3",Froto!K52,Froto!K52-Froto!L52)</f>
        <v>0</v>
      </c>
      <c r="L52" s="6">
        <f>IF(MID(L$1,6,1)="3",Froto!L52,Froto!L52-Froto!M52)</f>
        <v>0</v>
      </c>
      <c r="M52" s="6">
        <f>IF(MID(M$1,6,1)="3",Froto!M52,Froto!M52-Froto!N52)</f>
        <v>0</v>
      </c>
      <c r="N52" s="6">
        <f>IF(MID(N$1,6,1)="3",Froto!N52,Froto!N52-Froto!O52)</f>
        <v>0</v>
      </c>
      <c r="O52" s="6">
        <f>IF(MID(O$1,6,1)="3",Froto!O52,Froto!O52-Froto!P52)</f>
        <v>0</v>
      </c>
      <c r="P52" s="6">
        <f>IF(MID(P$1,6,1)="3",Froto!P52,Froto!P52-Froto!Q52)</f>
        <v>0</v>
      </c>
      <c r="Q52" s="6">
        <f>IF(MID(Q$1,6,1)="3",Froto!Q52,Froto!Q52-Froto!R52)</f>
        <v>0</v>
      </c>
      <c r="R52" s="6">
        <f>IF(MID(R$1,6,1)="3",Froto!R52,Froto!R52-Froto!S52)</f>
        <v>0</v>
      </c>
      <c r="S52" s="6">
        <f>IF(MID(S$1,6,1)="3",Froto!S52,Froto!S52-Froto!T52)</f>
        <v>0</v>
      </c>
      <c r="T52" s="6">
        <f>IF(MID(T$1,6,1)="3",Froto!T52,Froto!T52-Froto!U52)</f>
        <v>0</v>
      </c>
      <c r="U52" s="6">
        <f>IF(MID(U$1,6,1)="3",Froto!U52,Froto!U52-Froto!V52)</f>
        <v>0</v>
      </c>
    </row>
    <row r="53" spans="1:21" x14ac:dyDescent="0.25">
      <c r="A53" t="str">
        <f>Froto!A53</f>
        <v xml:space="preserve">  Devlet Teşvik ve Yardımları</v>
      </c>
      <c r="B53" s="6">
        <f>IF(MID(B$1,6,1)="3",Froto!B53,Froto!B53-Froto!C53)</f>
        <v>0</v>
      </c>
      <c r="C53" s="6">
        <f>IF(MID(C$1,6,1)="3",Froto!C53,Froto!C53-Froto!D53)</f>
        <v>0</v>
      </c>
      <c r="D53" s="6">
        <f>IF(MID(D$1,6,1)="3",Froto!D53,Froto!D53-Froto!E53)</f>
        <v>0</v>
      </c>
      <c r="E53" s="6">
        <f>IF(MID(E$1,6,1)="3",Froto!E53,Froto!E53-Froto!F53)</f>
        <v>0</v>
      </c>
      <c r="F53" s="6">
        <f>IF(MID(F$1,6,1)="3",Froto!F53,Froto!F53-Froto!G53)</f>
        <v>0</v>
      </c>
      <c r="G53" s="6">
        <f>IF(MID(G$1,6,1)="3",Froto!G53,Froto!G53-Froto!H53)</f>
        <v>0</v>
      </c>
      <c r="H53" s="6">
        <f>IF(MID(H$1,6,1)="3",Froto!H53,Froto!H53-Froto!I53)</f>
        <v>0</v>
      </c>
      <c r="I53" s="6">
        <f>IF(MID(I$1,6,1)="3",Froto!I53,Froto!I53-Froto!J53)</f>
        <v>0</v>
      </c>
      <c r="J53" s="6">
        <f>IF(MID(J$1,6,1)="3",Froto!J53,Froto!J53-Froto!K53)</f>
        <v>0</v>
      </c>
      <c r="K53" s="6">
        <f>IF(MID(K$1,6,1)="3",Froto!K53,Froto!K53-Froto!L53)</f>
        <v>0</v>
      </c>
      <c r="L53" s="6">
        <f>IF(MID(L$1,6,1)="3",Froto!L53,Froto!L53-Froto!M53)</f>
        <v>0</v>
      </c>
      <c r="M53" s="6">
        <f>IF(MID(M$1,6,1)="3",Froto!M53,Froto!M53-Froto!N53)</f>
        <v>0</v>
      </c>
      <c r="N53" s="6">
        <f>IF(MID(N$1,6,1)="3",Froto!N53,Froto!N53-Froto!O53)</f>
        <v>0</v>
      </c>
      <c r="O53" s="6">
        <f>IF(MID(O$1,6,1)="3",Froto!O53,Froto!O53-Froto!P53)</f>
        <v>0</v>
      </c>
      <c r="P53" s="6">
        <f>IF(MID(P$1,6,1)="3",Froto!P53,Froto!P53-Froto!Q53)</f>
        <v>0</v>
      </c>
      <c r="Q53" s="6">
        <f>IF(MID(Q$1,6,1)="3",Froto!Q53,Froto!Q53-Froto!R53)</f>
        <v>0</v>
      </c>
      <c r="R53" s="6">
        <f>IF(MID(R$1,6,1)="3",Froto!R53,Froto!R53-Froto!S53)</f>
        <v>0</v>
      </c>
      <c r="S53" s="6">
        <f>IF(MID(S$1,6,1)="3",Froto!S53,Froto!S53-Froto!T53)</f>
        <v>0</v>
      </c>
      <c r="T53" s="6">
        <f>IF(MID(T$1,6,1)="3",Froto!T53,Froto!T53-Froto!U53)</f>
        <v>0</v>
      </c>
      <c r="U53" s="6">
        <f>IF(MID(U$1,6,1)="3",Froto!U53,Froto!U53-Froto!V53)</f>
        <v>0</v>
      </c>
    </row>
    <row r="54" spans="1:21" x14ac:dyDescent="0.25">
      <c r="A54" t="str">
        <f>Froto!A54</f>
        <v xml:space="preserve">  Ertelenmiş Gelirler (Müşteri Söz.Doğan Yük. Dış.Kal.)</v>
      </c>
      <c r="B54" s="6">
        <f>IF(MID(B$1,6,1)="3",Froto!B54,Froto!B54-Froto!C54)</f>
        <v>93578000</v>
      </c>
      <c r="C54" s="6">
        <f>IF(MID(C$1,6,1)="3",Froto!C54,Froto!C54-Froto!D54)</f>
        <v>314176000</v>
      </c>
      <c r="D54" s="6">
        <f>IF(MID(D$1,6,1)="3",Froto!D54,Froto!D54-Froto!E54)</f>
        <v>1824000</v>
      </c>
      <c r="E54" s="6">
        <f>IF(MID(E$1,6,1)="3",Froto!E54,Froto!E54-Froto!F54)</f>
        <v>84413000</v>
      </c>
      <c r="F54" s="6">
        <f>IF(MID(F$1,6,1)="3",Froto!F54,Froto!F54-Froto!G54)</f>
        <v>25361000</v>
      </c>
      <c r="G54" s="6">
        <f>IF(MID(G$1,6,1)="3",Froto!G54,Froto!G54-Froto!H54)</f>
        <v>2649000</v>
      </c>
      <c r="H54" s="6">
        <f>IF(MID(H$1,6,1)="3",Froto!H54,Froto!H54-Froto!I54)</f>
        <v>5526000</v>
      </c>
      <c r="I54" s="6">
        <f>IF(MID(I$1,6,1)="3",Froto!I54,Froto!I54-Froto!J54)</f>
        <v>29647000</v>
      </c>
      <c r="J54" s="6">
        <f>IF(MID(J$1,6,1)="3",Froto!J54,Froto!J54-Froto!K54)</f>
        <v>7381000</v>
      </c>
      <c r="K54" s="6">
        <f>IF(MID(K$1,6,1)="3",Froto!K54,Froto!K54-Froto!L54)</f>
        <v>1586000</v>
      </c>
      <c r="L54" s="6">
        <f>IF(MID(L$1,6,1)="3",Froto!L54,Froto!L54-Froto!M54)</f>
        <v>898000</v>
      </c>
      <c r="M54" s="6">
        <f>IF(MID(M$1,6,1)="3",Froto!M54,Froto!M54-Froto!N54)</f>
        <v>12175000</v>
      </c>
      <c r="N54" s="6">
        <f>IF(MID(N$1,6,1)="3",Froto!N54,Froto!N54-Froto!O54)</f>
        <v>2975000</v>
      </c>
      <c r="O54" s="6">
        <f>IF(MID(O$1,6,1)="3",Froto!O54,Froto!O54-Froto!P54)</f>
        <v>708000</v>
      </c>
      <c r="P54" s="6">
        <f>IF(MID(P$1,6,1)="3",Froto!P54,Froto!P54-Froto!Q54)</f>
        <v>-686000</v>
      </c>
      <c r="Q54" s="6">
        <f>IF(MID(Q$1,6,1)="3",Froto!Q54,Froto!Q54-Froto!R54)</f>
        <v>7841000</v>
      </c>
      <c r="R54" s="6">
        <f>IF(MID(R$1,6,1)="3",Froto!R54,Froto!R54-Froto!S54)</f>
        <v>7479000</v>
      </c>
      <c r="S54" s="6">
        <f>IF(MID(S$1,6,1)="3",Froto!S54,Froto!S54-Froto!T54)</f>
        <v>0</v>
      </c>
      <c r="T54" s="6">
        <f>IF(MID(T$1,6,1)="3",Froto!T54,Froto!T54-Froto!U54)</f>
        <v>0</v>
      </c>
      <c r="U54" s="6">
        <f>IF(MID(U$1,6,1)="3",Froto!U54,Froto!U54-Froto!V54)</f>
        <v>0</v>
      </c>
    </row>
    <row r="55" spans="1:21" x14ac:dyDescent="0.25">
      <c r="A55" t="str">
        <f>Froto!A55</f>
        <v xml:space="preserve">    Uzun vadeli karşılıklar</v>
      </c>
      <c r="B55" s="6">
        <f>IF(MID(B$1,6,1)="3",Froto!B55,Froto!B55-Froto!C55)</f>
        <v>1158135000</v>
      </c>
      <c r="C55" s="6">
        <f>IF(MID(C$1,6,1)="3",Froto!C55,Froto!C55-Froto!D55)</f>
        <v>144777000</v>
      </c>
      <c r="D55" s="6">
        <f>IF(MID(D$1,6,1)="3",Froto!D55,Froto!D55-Froto!E55)</f>
        <v>315624000</v>
      </c>
      <c r="E55" s="6">
        <f>IF(MID(E$1,6,1)="3",Froto!E55,Froto!E55-Froto!F55)</f>
        <v>1058536000</v>
      </c>
      <c r="F55" s="6">
        <f>IF(MID(F$1,6,1)="3",Froto!F55,Froto!F55-Froto!G55)</f>
        <v>238053000</v>
      </c>
      <c r="G55" s="6">
        <f>IF(MID(G$1,6,1)="3",Froto!G55,Froto!G55-Froto!H55)</f>
        <v>7633000</v>
      </c>
      <c r="H55" s="6">
        <f>IF(MID(H$1,6,1)="3",Froto!H55,Froto!H55-Froto!I55)</f>
        <v>41908000</v>
      </c>
      <c r="I55" s="6">
        <f>IF(MID(I$1,6,1)="3",Froto!I55,Froto!I55-Froto!J55)</f>
        <v>696921000</v>
      </c>
      <c r="J55" s="6">
        <f>IF(MID(J$1,6,1)="3",Froto!J55,Froto!J55-Froto!K55)</f>
        <v>70828000</v>
      </c>
      <c r="K55" s="6">
        <f>IF(MID(K$1,6,1)="3",Froto!K55,Froto!K55-Froto!L55)</f>
        <v>50151000</v>
      </c>
      <c r="L55" s="6">
        <f>IF(MID(L$1,6,1)="3",Froto!L55,Froto!L55-Froto!M55)</f>
        <v>61149000</v>
      </c>
      <c r="M55" s="6">
        <f>IF(MID(M$1,6,1)="3",Froto!M55,Froto!M55-Froto!N55)</f>
        <v>452383000</v>
      </c>
      <c r="N55" s="6">
        <f>IF(MID(N$1,6,1)="3",Froto!N55,Froto!N55-Froto!O55)</f>
        <v>79956000</v>
      </c>
      <c r="O55" s="6">
        <f>IF(MID(O$1,6,1)="3",Froto!O55,Froto!O55-Froto!P55)</f>
        <v>-4147000</v>
      </c>
      <c r="P55" s="6">
        <f>IF(MID(P$1,6,1)="3",Froto!P55,Froto!P55-Froto!Q55)</f>
        <v>42566000</v>
      </c>
      <c r="Q55" s="6">
        <f>IF(MID(Q$1,6,1)="3",Froto!Q55,Froto!Q55-Froto!R55)</f>
        <v>344249000</v>
      </c>
      <c r="R55" s="6">
        <f>IF(MID(R$1,6,1)="3",Froto!R55,Froto!R55-Froto!S55)</f>
        <v>-27506000</v>
      </c>
      <c r="S55" s="6">
        <f>IF(MID(S$1,6,1)="3",Froto!S55,Froto!S55-Froto!T55)</f>
        <v>-12582000</v>
      </c>
      <c r="T55" s="6">
        <f>IF(MID(T$1,6,1)="3",Froto!T55,Froto!T55-Froto!U55)</f>
        <v>25234000</v>
      </c>
      <c r="U55" s="6">
        <f>IF(MID(U$1,6,1)="3",Froto!U55,Froto!U55-Froto!V55)</f>
        <v>347902000</v>
      </c>
    </row>
    <row r="56" spans="1:21" x14ac:dyDescent="0.25">
      <c r="A56" t="str">
        <f>Froto!A56</f>
        <v xml:space="preserve">  Çalışanlara Sağlanan Faydalara İliş.Karş.</v>
      </c>
      <c r="B56" s="6">
        <f>IF(MID(B$1,6,1)="3",Froto!B56,Froto!B56-Froto!C56)</f>
        <v>0</v>
      </c>
      <c r="C56" s="6">
        <f>IF(MID(C$1,6,1)="3",Froto!C56,Froto!C56-Froto!D56)</f>
        <v>0</v>
      </c>
      <c r="D56" s="6">
        <f>IF(MID(D$1,6,1)="3",Froto!D56,Froto!D56-Froto!E56)</f>
        <v>0</v>
      </c>
      <c r="E56" s="6">
        <f>IF(MID(E$1,6,1)="3",Froto!E56,Froto!E56-Froto!F56)</f>
        <v>0</v>
      </c>
      <c r="F56" s="6">
        <f>IF(MID(F$1,6,1)="3",Froto!F56,Froto!F56-Froto!G56)</f>
        <v>0</v>
      </c>
      <c r="G56" s="6">
        <f>IF(MID(G$1,6,1)="3",Froto!G56,Froto!G56-Froto!H56)</f>
        <v>0</v>
      </c>
      <c r="H56" s="6">
        <f>IF(MID(H$1,6,1)="3",Froto!H56,Froto!H56-Froto!I56)</f>
        <v>0</v>
      </c>
      <c r="I56" s="6">
        <f>IF(MID(I$1,6,1)="3",Froto!I56,Froto!I56-Froto!J56)</f>
        <v>0</v>
      </c>
      <c r="J56" s="6">
        <f>IF(MID(J$1,6,1)="3",Froto!J56,Froto!J56-Froto!K56)</f>
        <v>0</v>
      </c>
      <c r="K56" s="6">
        <f>IF(MID(K$1,6,1)="3",Froto!K56,Froto!K56-Froto!L56)</f>
        <v>0</v>
      </c>
      <c r="L56" s="6">
        <f>IF(MID(L$1,6,1)="3",Froto!L56,Froto!L56-Froto!M56)</f>
        <v>0</v>
      </c>
      <c r="M56" s="6">
        <f>IF(MID(M$1,6,1)="3",Froto!M56,Froto!M56-Froto!N56)</f>
        <v>0</v>
      </c>
      <c r="N56" s="6">
        <f>IF(MID(N$1,6,1)="3",Froto!N56,Froto!N56-Froto!O56)</f>
        <v>0</v>
      </c>
      <c r="O56" s="6">
        <f>IF(MID(O$1,6,1)="3",Froto!O56,Froto!O56-Froto!P56)</f>
        <v>0</v>
      </c>
      <c r="P56" s="6">
        <f>IF(MID(P$1,6,1)="3",Froto!P56,Froto!P56-Froto!Q56)</f>
        <v>0</v>
      </c>
      <c r="Q56" s="6">
        <f>IF(MID(Q$1,6,1)="3",Froto!Q56,Froto!Q56-Froto!R56)</f>
        <v>0</v>
      </c>
      <c r="R56" s="6">
        <f>IF(MID(R$1,6,1)="3",Froto!R56,Froto!R56-Froto!S56)</f>
        <v>0</v>
      </c>
      <c r="S56" s="6">
        <f>IF(MID(S$1,6,1)="3",Froto!S56,Froto!S56-Froto!T56)</f>
        <v>0</v>
      </c>
      <c r="T56" s="6">
        <f>IF(MID(T$1,6,1)="3",Froto!T56,Froto!T56-Froto!U56)</f>
        <v>0</v>
      </c>
      <c r="U56" s="6">
        <f>IF(MID(U$1,6,1)="3",Froto!U56,Froto!U56-Froto!V56)</f>
        <v>0</v>
      </c>
    </row>
    <row r="57" spans="1:21" x14ac:dyDescent="0.25">
      <c r="A57" t="str">
        <f>Froto!A57</f>
        <v xml:space="preserve">  Ertelenmiş Vergi Yükümlülüğü</v>
      </c>
      <c r="B57" s="6">
        <f>IF(MID(B$1,6,1)="3",Froto!B57,Froto!B57-Froto!C57)</f>
        <v>567819000</v>
      </c>
      <c r="C57" s="6">
        <f>IF(MID(C$1,6,1)="3",Froto!C57,Froto!C57-Froto!D57)</f>
        <v>0</v>
      </c>
      <c r="D57" s="6">
        <f>IF(MID(D$1,6,1)="3",Froto!D57,Froto!D57-Froto!E57)</f>
        <v>0</v>
      </c>
      <c r="E57" s="6">
        <f>IF(MID(E$1,6,1)="3",Froto!E57,Froto!E57-Froto!F57)</f>
        <v>0</v>
      </c>
      <c r="F57" s="6">
        <f>IF(MID(F$1,6,1)="3",Froto!F57,Froto!F57-Froto!G57)</f>
        <v>0</v>
      </c>
      <c r="G57" s="6">
        <f>IF(MID(G$1,6,1)="3",Froto!G57,Froto!G57-Froto!H57)</f>
        <v>0</v>
      </c>
      <c r="H57" s="6">
        <f>IF(MID(H$1,6,1)="3",Froto!H57,Froto!H57-Froto!I57)</f>
        <v>0</v>
      </c>
      <c r="I57" s="6">
        <f>IF(MID(I$1,6,1)="3",Froto!I57,Froto!I57-Froto!J57)</f>
        <v>0</v>
      </c>
      <c r="J57" s="6">
        <f>IF(MID(J$1,6,1)="3",Froto!J57,Froto!J57-Froto!K57)</f>
        <v>0</v>
      </c>
      <c r="K57" s="6">
        <f>IF(MID(K$1,6,1)="3",Froto!K57,Froto!K57-Froto!L57)</f>
        <v>0</v>
      </c>
      <c r="L57" s="6">
        <f>IF(MID(L$1,6,1)="3",Froto!L57,Froto!L57-Froto!M57)</f>
        <v>0</v>
      </c>
      <c r="M57" s="6">
        <f>IF(MID(M$1,6,1)="3",Froto!M57,Froto!M57-Froto!N57)</f>
        <v>0</v>
      </c>
      <c r="N57" s="6">
        <f>IF(MID(N$1,6,1)="3",Froto!N57,Froto!N57-Froto!O57)</f>
        <v>0</v>
      </c>
      <c r="O57" s="6">
        <f>IF(MID(O$1,6,1)="3",Froto!O57,Froto!O57-Froto!P57)</f>
        <v>0</v>
      </c>
      <c r="P57" s="6">
        <f>IF(MID(P$1,6,1)="3",Froto!P57,Froto!P57-Froto!Q57)</f>
        <v>0</v>
      </c>
      <c r="Q57" s="6">
        <f>IF(MID(Q$1,6,1)="3",Froto!Q57,Froto!Q57-Froto!R57)</f>
        <v>0</v>
      </c>
      <c r="R57" s="6">
        <f>IF(MID(R$1,6,1)="3",Froto!R57,Froto!R57-Froto!S57)</f>
        <v>0</v>
      </c>
      <c r="S57" s="6">
        <f>IF(MID(S$1,6,1)="3",Froto!S57,Froto!S57-Froto!T57)</f>
        <v>0</v>
      </c>
      <c r="T57" s="6">
        <f>IF(MID(T$1,6,1)="3",Froto!T57,Froto!T57-Froto!U57)</f>
        <v>0</v>
      </c>
      <c r="U57" s="6">
        <f>IF(MID(U$1,6,1)="3",Froto!U57,Froto!U57-Froto!V57)</f>
        <v>0</v>
      </c>
    </row>
    <row r="58" spans="1:21" x14ac:dyDescent="0.25">
      <c r="A58" t="str">
        <f>Froto!A58</f>
        <v xml:space="preserve">  Diğer Uzun Vadeli Yükümlülükler</v>
      </c>
      <c r="B58" s="6">
        <f>IF(MID(B$1,6,1)="3",Froto!B58,Froto!B58-Froto!C58)</f>
        <v>-2911000</v>
      </c>
      <c r="C58" s="6">
        <f>IF(MID(C$1,6,1)="3",Froto!C58,Froto!C58-Froto!D58)</f>
        <v>-5779000</v>
      </c>
      <c r="D58" s="6">
        <f>IF(MID(D$1,6,1)="3",Froto!D58,Froto!D58-Froto!E58)</f>
        <v>0</v>
      </c>
      <c r="E58" s="6">
        <f>IF(MID(E$1,6,1)="3",Froto!E58,Froto!E58-Froto!F58)</f>
        <v>14129000</v>
      </c>
      <c r="F58" s="6">
        <f>IF(MID(F$1,6,1)="3",Froto!F58,Froto!F58-Froto!G58)</f>
        <v>-1432000</v>
      </c>
      <c r="G58" s="6">
        <f>IF(MID(G$1,6,1)="3",Froto!G58,Froto!G58-Froto!H58)</f>
        <v>-2299000</v>
      </c>
      <c r="H58" s="6">
        <f>IF(MID(H$1,6,1)="3",Froto!H58,Froto!H58-Froto!I58)</f>
        <v>-2429000</v>
      </c>
      <c r="I58" s="6">
        <f>IF(MID(I$1,6,1)="3",Froto!I58,Froto!I58-Froto!J58)</f>
        <v>21325000</v>
      </c>
      <c r="J58" s="6">
        <f>IF(MID(J$1,6,1)="3",Froto!J58,Froto!J58-Froto!K58)</f>
        <v>-22930000</v>
      </c>
      <c r="K58" s="6">
        <f>IF(MID(K$1,6,1)="3",Froto!K58,Froto!K58-Froto!L58)</f>
        <v>-27170000</v>
      </c>
      <c r="L58" s="6">
        <f>IF(MID(L$1,6,1)="3",Froto!L58,Froto!L58-Froto!M58)</f>
        <v>3793000</v>
      </c>
      <c r="M58" s="6">
        <f>IF(MID(M$1,6,1)="3",Froto!M58,Froto!M58-Froto!N58)</f>
        <v>66259000</v>
      </c>
      <c r="N58" s="6">
        <f>IF(MID(N$1,6,1)="3",Froto!N58,Froto!N58-Froto!O58)</f>
        <v>10720000</v>
      </c>
      <c r="O58" s="6">
        <f>IF(MID(O$1,6,1)="3",Froto!O58,Froto!O58-Froto!P58)</f>
        <v>4931000</v>
      </c>
      <c r="P58" s="6">
        <f>IF(MID(P$1,6,1)="3",Froto!P58,Froto!P58-Froto!Q58)</f>
        <v>-6181000</v>
      </c>
      <c r="Q58" s="6">
        <f>IF(MID(Q$1,6,1)="3",Froto!Q58,Froto!Q58-Froto!R58)</f>
        <v>53212000</v>
      </c>
      <c r="R58" s="6">
        <f>IF(MID(R$1,6,1)="3",Froto!R58,Froto!R58-Froto!S58)</f>
        <v>-36268000</v>
      </c>
      <c r="S58" s="6">
        <f>IF(MID(S$1,6,1)="3",Froto!S58,Froto!S58-Froto!T58)</f>
        <v>7630000</v>
      </c>
      <c r="T58" s="6">
        <f>IF(MID(T$1,6,1)="3",Froto!T58,Froto!T58-Froto!U58)</f>
        <v>-46035000</v>
      </c>
      <c r="U58" s="6">
        <f>IF(MID(U$1,6,1)="3",Froto!U58,Froto!U58-Froto!V58)</f>
        <v>127181000</v>
      </c>
    </row>
    <row r="59" spans="1:21" x14ac:dyDescent="0.25">
      <c r="A59" t="str">
        <f>Froto!A59</f>
        <v>Özkaynaklar</v>
      </c>
      <c r="B59" s="6">
        <f>IF(MID(B$1,6,1)="3",Froto!B59,Froto!B59-Froto!C59)</f>
        <v>5763005000</v>
      </c>
      <c r="C59" s="6">
        <f>IF(MID(C$1,6,1)="3",Froto!C59,Froto!C59-Froto!D59)</f>
        <v>3970570000</v>
      </c>
      <c r="D59" s="6">
        <f>IF(MID(D$1,6,1)="3",Froto!D59,Froto!D59-Froto!E59)</f>
        <v>3373547000</v>
      </c>
      <c r="E59" s="6">
        <f>IF(MID(E$1,6,1)="3",Froto!E59,Froto!E59-Froto!F59)</f>
        <v>8295052000</v>
      </c>
      <c r="F59" s="6">
        <f>IF(MID(F$1,6,1)="3",Froto!F59,Froto!F59-Froto!G59)</f>
        <v>1144264000</v>
      </c>
      <c r="G59" s="6">
        <f>IF(MID(G$1,6,1)="3",Froto!G59,Froto!G59-Froto!H59)</f>
        <v>2028521000</v>
      </c>
      <c r="H59" s="6">
        <f>IF(MID(H$1,6,1)="3",Froto!H59,Froto!H59-Froto!I59)</f>
        <v>927432000</v>
      </c>
      <c r="I59" s="6">
        <f>IF(MID(I$1,6,1)="3",Froto!I59,Froto!I59-Froto!J59)</f>
        <v>6048321000</v>
      </c>
      <c r="J59" s="6">
        <f>IF(MID(J$1,6,1)="3",Froto!J59,Froto!J59-Froto!K59)</f>
        <v>2270663000</v>
      </c>
      <c r="K59" s="6">
        <f>IF(MID(K$1,6,1)="3",Froto!K59,Froto!K59-Froto!L59)</f>
        <v>623406000</v>
      </c>
      <c r="L59" s="6">
        <f>IF(MID(L$1,6,1)="3",Froto!L59,Froto!L59-Froto!M59)</f>
        <v>132579000</v>
      </c>
      <c r="M59" s="6">
        <f>IF(MID(M$1,6,1)="3",Froto!M59,Froto!M59-Froto!N59)</f>
        <v>4017254000</v>
      </c>
      <c r="N59" s="6">
        <f>IF(MID(N$1,6,1)="3",Froto!N59,Froto!N59-Froto!O59)</f>
        <v>47060000</v>
      </c>
      <c r="O59" s="6">
        <f>IF(MID(O$1,6,1)="3",Froto!O59,Froto!O59-Froto!P59)</f>
        <v>664935000</v>
      </c>
      <c r="P59" s="6">
        <f>IF(MID(P$1,6,1)="3",Froto!P59,Froto!P59-Froto!Q59)</f>
        <v>461692000</v>
      </c>
      <c r="Q59" s="6">
        <f>IF(MID(Q$1,6,1)="3",Froto!Q59,Froto!Q59-Froto!R59)</f>
        <v>3491234000</v>
      </c>
      <c r="R59" s="6">
        <f>IF(MID(R$1,6,1)="3",Froto!R59,Froto!R59-Froto!S59)</f>
        <v>472706000</v>
      </c>
      <c r="S59" s="6">
        <f>IF(MID(S$1,6,1)="3",Froto!S59,Froto!S59-Froto!T59)</f>
        <v>-180617000</v>
      </c>
      <c r="T59" s="6">
        <f>IF(MID(T$1,6,1)="3",Froto!T59,Froto!T59-Froto!U59)</f>
        <v>373766000</v>
      </c>
      <c r="U59" s="6">
        <f>IF(MID(U$1,6,1)="3",Froto!U59,Froto!U59-Froto!V59)</f>
        <v>3227384000</v>
      </c>
    </row>
    <row r="60" spans="1:21" x14ac:dyDescent="0.25">
      <c r="A60" t="str">
        <f>Froto!A60</f>
        <v xml:space="preserve">  Ana Ortaklığa Ait Özkaynaklar</v>
      </c>
      <c r="B60" s="6">
        <f>IF(MID(B$1,6,1)="3",Froto!B60,Froto!B60-Froto!C60)</f>
        <v>5763005000</v>
      </c>
      <c r="C60" s="6">
        <f>IF(MID(C$1,6,1)="3",Froto!C60,Froto!C60-Froto!D60)</f>
        <v>3970570000</v>
      </c>
      <c r="D60" s="6">
        <f>IF(MID(D$1,6,1)="3",Froto!D60,Froto!D60-Froto!E60)</f>
        <v>3373547000</v>
      </c>
      <c r="E60" s="6">
        <f>IF(MID(E$1,6,1)="3",Froto!E60,Froto!E60-Froto!F60)</f>
        <v>8295052000</v>
      </c>
      <c r="F60" s="6">
        <f>IF(MID(F$1,6,1)="3",Froto!F60,Froto!F60-Froto!G60)</f>
        <v>1144264000</v>
      </c>
      <c r="G60" s="6">
        <f>IF(MID(G$1,6,1)="3",Froto!G60,Froto!G60-Froto!H60)</f>
        <v>2028521000</v>
      </c>
      <c r="H60" s="6">
        <f>IF(MID(H$1,6,1)="3",Froto!H60,Froto!H60-Froto!I60)</f>
        <v>927432000</v>
      </c>
      <c r="I60" s="6">
        <f>IF(MID(I$1,6,1)="3",Froto!I60,Froto!I60-Froto!J60)</f>
        <v>6048321000</v>
      </c>
      <c r="J60" s="6">
        <f>IF(MID(J$1,6,1)="3",Froto!J60,Froto!J60-Froto!K60)</f>
        <v>2270663000</v>
      </c>
      <c r="K60" s="6">
        <f>IF(MID(K$1,6,1)="3",Froto!K60,Froto!K60-Froto!L60)</f>
        <v>623406000</v>
      </c>
      <c r="L60" s="6">
        <f>IF(MID(L$1,6,1)="3",Froto!L60,Froto!L60-Froto!M60)</f>
        <v>132579000</v>
      </c>
      <c r="M60" s="6">
        <f>IF(MID(M$1,6,1)="3",Froto!M60,Froto!M60-Froto!N60)</f>
        <v>4017254000</v>
      </c>
      <c r="N60" s="6">
        <f>IF(MID(N$1,6,1)="3",Froto!N60,Froto!N60-Froto!O60)</f>
        <v>47060000</v>
      </c>
      <c r="O60" s="6">
        <f>IF(MID(O$1,6,1)="3",Froto!O60,Froto!O60-Froto!P60)</f>
        <v>664935000</v>
      </c>
      <c r="P60" s="6">
        <f>IF(MID(P$1,6,1)="3",Froto!P60,Froto!P60-Froto!Q60)</f>
        <v>461692000</v>
      </c>
      <c r="Q60" s="6">
        <f>IF(MID(Q$1,6,1)="3",Froto!Q60,Froto!Q60-Froto!R60)</f>
        <v>3491234000</v>
      </c>
      <c r="R60" s="6">
        <f>IF(MID(R$1,6,1)="3",Froto!R60,Froto!R60-Froto!S60)</f>
        <v>472706000</v>
      </c>
      <c r="S60" s="6">
        <f>IF(MID(S$1,6,1)="3",Froto!S60,Froto!S60-Froto!T60)</f>
        <v>-180617000</v>
      </c>
      <c r="T60" s="6">
        <f>IF(MID(T$1,6,1)="3",Froto!T60,Froto!T60-Froto!U60)</f>
        <v>373766000</v>
      </c>
      <c r="U60" s="6">
        <f>IF(MID(U$1,6,1)="3",Froto!U60,Froto!U60-Froto!V60)</f>
        <v>3227384000</v>
      </c>
    </row>
    <row r="61" spans="1:21" x14ac:dyDescent="0.25">
      <c r="A61" t="str">
        <f>Froto!A61</f>
        <v xml:space="preserve">  Ödenmiş Sermaye</v>
      </c>
      <c r="B61" s="6">
        <f>IF(MID(B$1,6,1)="3",Froto!B61,Froto!B61-Froto!C61)</f>
        <v>0</v>
      </c>
      <c r="C61" s="6">
        <f>IF(MID(C$1,6,1)="3",Froto!C61,Froto!C61-Froto!D61)</f>
        <v>0</v>
      </c>
      <c r="D61" s="6">
        <f>IF(MID(D$1,6,1)="3",Froto!D61,Froto!D61-Froto!E61)</f>
        <v>0</v>
      </c>
      <c r="E61" s="6">
        <f>IF(MID(E$1,6,1)="3",Froto!E61,Froto!E61-Froto!F61)</f>
        <v>350910000</v>
      </c>
      <c r="F61" s="6">
        <f>IF(MID(F$1,6,1)="3",Froto!F61,Froto!F61-Froto!G61)</f>
        <v>0</v>
      </c>
      <c r="G61" s="6">
        <f>IF(MID(G$1,6,1)="3",Froto!G61,Froto!G61-Froto!H61)</f>
        <v>0</v>
      </c>
      <c r="H61" s="6">
        <f>IF(MID(H$1,6,1)="3",Froto!H61,Froto!H61-Froto!I61)</f>
        <v>0</v>
      </c>
      <c r="I61" s="6">
        <f>IF(MID(I$1,6,1)="3",Froto!I61,Froto!I61-Froto!J61)</f>
        <v>350910000</v>
      </c>
      <c r="J61" s="6">
        <f>IF(MID(J$1,6,1)="3",Froto!J61,Froto!J61-Froto!K61)</f>
        <v>0</v>
      </c>
      <c r="K61" s="6">
        <f>IF(MID(K$1,6,1)="3",Froto!K61,Froto!K61-Froto!L61)</f>
        <v>0</v>
      </c>
      <c r="L61" s="6">
        <f>IF(MID(L$1,6,1)="3",Froto!L61,Froto!L61-Froto!M61)</f>
        <v>0</v>
      </c>
      <c r="M61" s="6">
        <f>IF(MID(M$1,6,1)="3",Froto!M61,Froto!M61-Froto!N61)</f>
        <v>350910000</v>
      </c>
      <c r="N61" s="6">
        <f>IF(MID(N$1,6,1)="3",Froto!N61,Froto!N61-Froto!O61)</f>
        <v>0</v>
      </c>
      <c r="O61" s="6">
        <f>IF(MID(O$1,6,1)="3",Froto!O61,Froto!O61-Froto!P61)</f>
        <v>0</v>
      </c>
      <c r="P61" s="6">
        <f>IF(MID(P$1,6,1)="3",Froto!P61,Froto!P61-Froto!Q61)</f>
        <v>0</v>
      </c>
      <c r="Q61" s="6">
        <f>IF(MID(Q$1,6,1)="3",Froto!Q61,Froto!Q61-Froto!R61)</f>
        <v>350910000</v>
      </c>
      <c r="R61" s="6">
        <f>IF(MID(R$1,6,1)="3",Froto!R61,Froto!R61-Froto!S61)</f>
        <v>0</v>
      </c>
      <c r="S61" s="6">
        <f>IF(MID(S$1,6,1)="3",Froto!S61,Froto!S61-Froto!T61)</f>
        <v>0</v>
      </c>
      <c r="T61" s="6">
        <f>IF(MID(T$1,6,1)="3",Froto!T61,Froto!T61-Froto!U61)</f>
        <v>0</v>
      </c>
      <c r="U61" s="6">
        <f>IF(MID(U$1,6,1)="3",Froto!U61,Froto!U61-Froto!V61)</f>
        <v>350910000</v>
      </c>
    </row>
    <row r="62" spans="1:21" x14ac:dyDescent="0.25">
      <c r="A62" t="str">
        <f>Froto!A62</f>
        <v xml:space="preserve">  Karşılıklı İştirak Sermayesi Düzeltmesi (-)</v>
      </c>
      <c r="B62" s="6">
        <f>IF(MID(B$1,6,1)="3",Froto!B62,Froto!B62-Froto!C62)</f>
        <v>0</v>
      </c>
      <c r="C62" s="6">
        <f>IF(MID(C$1,6,1)="3",Froto!C62,Froto!C62-Froto!D62)</f>
        <v>0</v>
      </c>
      <c r="D62" s="6">
        <f>IF(MID(D$1,6,1)="3",Froto!D62,Froto!D62-Froto!E62)</f>
        <v>0</v>
      </c>
      <c r="E62" s="6">
        <f>IF(MID(E$1,6,1)="3",Froto!E62,Froto!E62-Froto!F62)</f>
        <v>0</v>
      </c>
      <c r="F62" s="6">
        <f>IF(MID(F$1,6,1)="3",Froto!F62,Froto!F62-Froto!G62)</f>
        <v>0</v>
      </c>
      <c r="G62" s="6">
        <f>IF(MID(G$1,6,1)="3",Froto!G62,Froto!G62-Froto!H62)</f>
        <v>0</v>
      </c>
      <c r="H62" s="6">
        <f>IF(MID(H$1,6,1)="3",Froto!H62,Froto!H62-Froto!I62)</f>
        <v>0</v>
      </c>
      <c r="I62" s="6">
        <f>IF(MID(I$1,6,1)="3",Froto!I62,Froto!I62-Froto!J62)</f>
        <v>0</v>
      </c>
      <c r="J62" s="6">
        <f>IF(MID(J$1,6,1)="3",Froto!J62,Froto!J62-Froto!K62)</f>
        <v>0</v>
      </c>
      <c r="K62" s="6">
        <f>IF(MID(K$1,6,1)="3",Froto!K62,Froto!K62-Froto!L62)</f>
        <v>0</v>
      </c>
      <c r="L62" s="6">
        <f>IF(MID(L$1,6,1)="3",Froto!L62,Froto!L62-Froto!M62)</f>
        <v>0</v>
      </c>
      <c r="M62" s="6">
        <f>IF(MID(M$1,6,1)="3",Froto!M62,Froto!M62-Froto!N62)</f>
        <v>0</v>
      </c>
      <c r="N62" s="6">
        <f>IF(MID(N$1,6,1)="3",Froto!N62,Froto!N62-Froto!O62)</f>
        <v>0</v>
      </c>
      <c r="O62" s="6">
        <f>IF(MID(O$1,6,1)="3",Froto!O62,Froto!O62-Froto!P62)</f>
        <v>0</v>
      </c>
      <c r="P62" s="6">
        <f>IF(MID(P$1,6,1)="3",Froto!P62,Froto!P62-Froto!Q62)</f>
        <v>0</v>
      </c>
      <c r="Q62" s="6">
        <f>IF(MID(Q$1,6,1)="3",Froto!Q62,Froto!Q62-Froto!R62)</f>
        <v>0</v>
      </c>
      <c r="R62" s="6">
        <f>IF(MID(R$1,6,1)="3",Froto!R62,Froto!R62-Froto!S62)</f>
        <v>0</v>
      </c>
      <c r="S62" s="6">
        <f>IF(MID(S$1,6,1)="3",Froto!S62,Froto!S62-Froto!T62)</f>
        <v>0</v>
      </c>
      <c r="T62" s="6">
        <f>IF(MID(T$1,6,1)="3",Froto!T62,Froto!T62-Froto!U62)</f>
        <v>0</v>
      </c>
      <c r="U62" s="6">
        <f>IF(MID(U$1,6,1)="3",Froto!U62,Froto!U62-Froto!V62)</f>
        <v>0</v>
      </c>
    </row>
    <row r="63" spans="1:21" x14ac:dyDescent="0.25">
      <c r="A63" t="str">
        <f>Froto!A63</f>
        <v xml:space="preserve">  Hisse Senedi İhraç Primleri</v>
      </c>
      <c r="B63" s="6">
        <f>IF(MID(B$1,6,1)="3",Froto!B63,Froto!B63-Froto!C63)</f>
        <v>0</v>
      </c>
      <c r="C63" s="6">
        <f>IF(MID(C$1,6,1)="3",Froto!C63,Froto!C63-Froto!D63)</f>
        <v>0</v>
      </c>
      <c r="D63" s="6">
        <f>IF(MID(D$1,6,1)="3",Froto!D63,Froto!D63-Froto!E63)</f>
        <v>8000</v>
      </c>
      <c r="E63" s="6">
        <f>IF(MID(E$1,6,1)="3",Froto!E63,Froto!E63-Froto!F63)</f>
        <v>0</v>
      </c>
      <c r="F63" s="6">
        <f>IF(MID(F$1,6,1)="3",Froto!F63,Froto!F63-Froto!G63)</f>
        <v>8000</v>
      </c>
      <c r="G63" s="6">
        <f>IF(MID(G$1,6,1)="3",Froto!G63,Froto!G63-Froto!H63)</f>
        <v>0</v>
      </c>
      <c r="H63" s="6">
        <f>IF(MID(H$1,6,1)="3",Froto!H63,Froto!H63-Froto!I63)</f>
        <v>0</v>
      </c>
      <c r="I63" s="6">
        <f>IF(MID(I$1,6,1)="3",Froto!I63,Froto!I63-Froto!J63)</f>
        <v>0</v>
      </c>
      <c r="J63" s="6">
        <f>IF(MID(J$1,6,1)="3",Froto!J63,Froto!J63-Froto!K63)</f>
        <v>0</v>
      </c>
      <c r="K63" s="6">
        <f>IF(MID(K$1,6,1)="3",Froto!K63,Froto!K63-Froto!L63)</f>
        <v>8000</v>
      </c>
      <c r="L63" s="6">
        <f>IF(MID(L$1,6,1)="3",Froto!L63,Froto!L63-Froto!M63)</f>
        <v>-8000</v>
      </c>
      <c r="M63" s="6">
        <f>IF(MID(M$1,6,1)="3",Froto!M63,Froto!M63-Froto!N63)</f>
        <v>8000</v>
      </c>
      <c r="N63" s="6">
        <f>IF(MID(N$1,6,1)="3",Froto!N63,Froto!N63-Froto!O63)</f>
        <v>0</v>
      </c>
      <c r="O63" s="6">
        <f>IF(MID(O$1,6,1)="3",Froto!O63,Froto!O63-Froto!P63)</f>
        <v>0</v>
      </c>
      <c r="P63" s="6">
        <f>IF(MID(P$1,6,1)="3",Froto!P63,Froto!P63-Froto!Q63)</f>
        <v>0</v>
      </c>
      <c r="Q63" s="6">
        <f>IF(MID(Q$1,6,1)="3",Froto!Q63,Froto!Q63-Froto!R63)</f>
        <v>8000</v>
      </c>
      <c r="R63" s="6">
        <f>IF(MID(R$1,6,1)="3",Froto!R63,Froto!R63-Froto!S63)</f>
        <v>8000</v>
      </c>
      <c r="S63" s="6">
        <f>IF(MID(S$1,6,1)="3",Froto!S63,Froto!S63-Froto!T63)</f>
        <v>0</v>
      </c>
      <c r="T63" s="6">
        <f>IF(MID(T$1,6,1)="3",Froto!T63,Froto!T63-Froto!U63)</f>
        <v>-8000</v>
      </c>
      <c r="U63" s="6">
        <f>IF(MID(U$1,6,1)="3",Froto!U63,Froto!U63-Froto!V63)</f>
        <v>8000</v>
      </c>
    </row>
    <row r="64" spans="1:21" x14ac:dyDescent="0.25">
      <c r="A64" t="str">
        <f>Froto!A64</f>
        <v xml:space="preserve">  Değer Artış Fonları</v>
      </c>
      <c r="B64" s="6">
        <f>IF(MID(B$1,6,1)="3",Froto!B64,Froto!B64-Froto!C64)</f>
        <v>0</v>
      </c>
      <c r="C64" s="6">
        <f>IF(MID(C$1,6,1)="3",Froto!C64,Froto!C64-Froto!D64)</f>
        <v>0</v>
      </c>
      <c r="D64" s="6">
        <f>IF(MID(D$1,6,1)="3",Froto!D64,Froto!D64-Froto!E64)</f>
        <v>0</v>
      </c>
      <c r="E64" s="6">
        <f>IF(MID(E$1,6,1)="3",Froto!E64,Froto!E64-Froto!F64)</f>
        <v>0</v>
      </c>
      <c r="F64" s="6">
        <f>IF(MID(F$1,6,1)="3",Froto!F64,Froto!F64-Froto!G64)</f>
        <v>0</v>
      </c>
      <c r="G64" s="6">
        <f>IF(MID(G$1,6,1)="3",Froto!G64,Froto!G64-Froto!H64)</f>
        <v>0</v>
      </c>
      <c r="H64" s="6">
        <f>IF(MID(H$1,6,1)="3",Froto!H64,Froto!H64-Froto!I64)</f>
        <v>0</v>
      </c>
      <c r="I64" s="6">
        <f>IF(MID(I$1,6,1)="3",Froto!I64,Froto!I64-Froto!J64)</f>
        <v>0</v>
      </c>
      <c r="J64" s="6">
        <f>IF(MID(J$1,6,1)="3",Froto!J64,Froto!J64-Froto!K64)</f>
        <v>0</v>
      </c>
      <c r="K64" s="6">
        <f>IF(MID(K$1,6,1)="3",Froto!K64,Froto!K64-Froto!L64)</f>
        <v>0</v>
      </c>
      <c r="L64" s="6">
        <f>IF(MID(L$1,6,1)="3",Froto!L64,Froto!L64-Froto!M64)</f>
        <v>0</v>
      </c>
      <c r="M64" s="6">
        <f>IF(MID(M$1,6,1)="3",Froto!M64,Froto!M64-Froto!N64)</f>
        <v>0</v>
      </c>
      <c r="N64" s="6">
        <f>IF(MID(N$1,6,1)="3",Froto!N64,Froto!N64-Froto!O64)</f>
        <v>0</v>
      </c>
      <c r="O64" s="6">
        <f>IF(MID(O$1,6,1)="3",Froto!O64,Froto!O64-Froto!P64)</f>
        <v>0</v>
      </c>
      <c r="P64" s="6">
        <f>IF(MID(P$1,6,1)="3",Froto!P64,Froto!P64-Froto!Q64)</f>
        <v>0</v>
      </c>
      <c r="Q64" s="6">
        <f>IF(MID(Q$1,6,1)="3",Froto!Q64,Froto!Q64-Froto!R64)</f>
        <v>0</v>
      </c>
      <c r="R64" s="6">
        <f>IF(MID(R$1,6,1)="3",Froto!R64,Froto!R64-Froto!S64)</f>
        <v>0</v>
      </c>
      <c r="S64" s="6">
        <f>IF(MID(S$1,6,1)="3",Froto!S64,Froto!S64-Froto!T64)</f>
        <v>0</v>
      </c>
      <c r="T64" s="6">
        <f>IF(MID(T$1,6,1)="3",Froto!T64,Froto!T64-Froto!U64)</f>
        <v>0</v>
      </c>
      <c r="U64" s="6">
        <f>IF(MID(U$1,6,1)="3",Froto!U64,Froto!U64-Froto!V64)</f>
        <v>0</v>
      </c>
    </row>
    <row r="65" spans="1:21" x14ac:dyDescent="0.25">
      <c r="A65" t="str">
        <f>Froto!A65</f>
        <v xml:space="preserve">  Yabancı Para Çevrim Farkları</v>
      </c>
      <c r="B65" s="6">
        <f>IF(MID(B$1,6,1)="3",Froto!B65,Froto!B65-Froto!C65)</f>
        <v>1444694000</v>
      </c>
      <c r="C65" s="6">
        <f>IF(MID(C$1,6,1)="3",Froto!C65,Froto!C65-Froto!D65)</f>
        <v>230249000</v>
      </c>
      <c r="D65" s="6">
        <f>IF(MID(D$1,6,1)="3",Froto!D65,Froto!D65-Froto!E65)</f>
        <v>0</v>
      </c>
      <c r="E65" s="6">
        <f>IF(MID(E$1,6,1)="3",Froto!E65,Froto!E65-Froto!F65)</f>
        <v>0</v>
      </c>
      <c r="F65" s="6">
        <f>IF(MID(F$1,6,1)="3",Froto!F65,Froto!F65-Froto!G65)</f>
        <v>0</v>
      </c>
      <c r="G65" s="6">
        <f>IF(MID(G$1,6,1)="3",Froto!G65,Froto!G65-Froto!H65)</f>
        <v>0</v>
      </c>
      <c r="H65" s="6">
        <f>IF(MID(H$1,6,1)="3",Froto!H65,Froto!H65-Froto!I65)</f>
        <v>0</v>
      </c>
      <c r="I65" s="6">
        <f>IF(MID(I$1,6,1)="3",Froto!I65,Froto!I65-Froto!J65)</f>
        <v>0</v>
      </c>
      <c r="J65" s="6">
        <f>IF(MID(J$1,6,1)="3",Froto!J65,Froto!J65-Froto!K65)</f>
        <v>0</v>
      </c>
      <c r="K65" s="6">
        <f>IF(MID(K$1,6,1)="3",Froto!K65,Froto!K65-Froto!L65)</f>
        <v>0</v>
      </c>
      <c r="L65" s="6">
        <f>IF(MID(L$1,6,1)="3",Froto!L65,Froto!L65-Froto!M65)</f>
        <v>0</v>
      </c>
      <c r="M65" s="6">
        <f>IF(MID(M$1,6,1)="3",Froto!M65,Froto!M65-Froto!N65)</f>
        <v>0</v>
      </c>
      <c r="N65" s="6">
        <f>IF(MID(N$1,6,1)="3",Froto!N65,Froto!N65-Froto!O65)</f>
        <v>0</v>
      </c>
      <c r="O65" s="6">
        <f>IF(MID(O$1,6,1)="3",Froto!O65,Froto!O65-Froto!P65)</f>
        <v>0</v>
      </c>
      <c r="P65" s="6">
        <f>IF(MID(P$1,6,1)="3",Froto!P65,Froto!P65-Froto!Q65)</f>
        <v>0</v>
      </c>
      <c r="Q65" s="6">
        <f>IF(MID(Q$1,6,1)="3",Froto!Q65,Froto!Q65-Froto!R65)</f>
        <v>0</v>
      </c>
      <c r="R65" s="6">
        <f>IF(MID(R$1,6,1)="3",Froto!R65,Froto!R65-Froto!S65)</f>
        <v>0</v>
      </c>
      <c r="S65" s="6">
        <f>IF(MID(S$1,6,1)="3",Froto!S65,Froto!S65-Froto!T65)</f>
        <v>0</v>
      </c>
      <c r="T65" s="6">
        <f>IF(MID(T$1,6,1)="3",Froto!T65,Froto!T65-Froto!U65)</f>
        <v>0</v>
      </c>
      <c r="U65" s="6">
        <f>IF(MID(U$1,6,1)="3",Froto!U65,Froto!U65-Froto!V65)</f>
        <v>0</v>
      </c>
    </row>
    <row r="66" spans="1:21" x14ac:dyDescent="0.25">
      <c r="A66" t="str">
        <f>Froto!A66</f>
        <v xml:space="preserve">  Kardan Ayrılan Kısıtlanmış Yedekler</v>
      </c>
      <c r="B66" s="6">
        <f>IF(MID(B$1,6,1)="3",Froto!B66,Froto!B66-Froto!C66)</f>
        <v>200019000</v>
      </c>
      <c r="C66" s="6">
        <f>IF(MID(C$1,6,1)="3",Froto!C66,Froto!C66-Froto!D66)</f>
        <v>0</v>
      </c>
      <c r="D66" s="6">
        <f>IF(MID(D$1,6,1)="3",Froto!D66,Froto!D66-Froto!E66)</f>
        <v>0</v>
      </c>
      <c r="E66" s="6">
        <f>IF(MID(E$1,6,1)="3",Froto!E66,Froto!E66-Froto!F66)</f>
        <v>1220744000</v>
      </c>
      <c r="F66" s="6">
        <f>IF(MID(F$1,6,1)="3",Froto!F66,Froto!F66-Froto!G66)</f>
        <v>132293000</v>
      </c>
      <c r="G66" s="6">
        <f>IF(MID(G$1,6,1)="3",Froto!G66,Froto!G66-Froto!H66)</f>
        <v>0</v>
      </c>
      <c r="H66" s="6">
        <f>IF(MID(H$1,6,1)="3",Froto!H66,Froto!H66-Froto!I66)</f>
        <v>0</v>
      </c>
      <c r="I66" s="6">
        <f>IF(MID(I$1,6,1)="3",Froto!I66,Froto!I66-Froto!J66)</f>
        <v>634023000</v>
      </c>
      <c r="J66" s="6">
        <f>IF(MID(J$1,6,1)="3",Froto!J66,Froto!J66-Froto!K66)</f>
        <v>0</v>
      </c>
      <c r="K66" s="6">
        <f>IF(MID(K$1,6,1)="3",Froto!K66,Froto!K66-Froto!L66)</f>
        <v>0</v>
      </c>
      <c r="L66" s="6">
        <f>IF(MID(L$1,6,1)="3",Froto!L66,Froto!L66-Froto!M66)</f>
        <v>0</v>
      </c>
      <c r="M66" s="6">
        <f>IF(MID(M$1,6,1)="3",Froto!M66,Froto!M66-Froto!N66)</f>
        <v>410493000</v>
      </c>
      <c r="N66" s="6">
        <f>IF(MID(N$1,6,1)="3",Froto!N66,Froto!N66-Froto!O66)</f>
        <v>-151352000</v>
      </c>
      <c r="O66" s="6">
        <f>IF(MID(O$1,6,1)="3",Froto!O66,Froto!O66-Froto!P66)</f>
        <v>0</v>
      </c>
      <c r="P66" s="6">
        <f>IF(MID(P$1,6,1)="3",Froto!P66,Froto!P66-Froto!Q66)</f>
        <v>0</v>
      </c>
      <c r="Q66" s="6">
        <f>IF(MID(Q$1,6,1)="3",Froto!Q66,Froto!Q66-Froto!R66)</f>
        <v>454116000</v>
      </c>
      <c r="R66" s="6">
        <f>IF(MID(R$1,6,1)="3",Froto!R66,Froto!R66-Froto!S66)</f>
        <v>37942000</v>
      </c>
      <c r="S66" s="6">
        <f>IF(MID(S$1,6,1)="3",Froto!S66,Froto!S66-Froto!T66)</f>
        <v>0</v>
      </c>
      <c r="T66" s="6">
        <f>IF(MID(T$1,6,1)="3",Froto!T66,Froto!T66-Froto!U66)</f>
        <v>0</v>
      </c>
      <c r="U66" s="6">
        <f>IF(MID(U$1,6,1)="3",Froto!U66,Froto!U66-Froto!V66)</f>
        <v>332657000</v>
      </c>
    </row>
    <row r="67" spans="1:21" x14ac:dyDescent="0.25">
      <c r="A67" t="str">
        <f>Froto!A67</f>
        <v xml:space="preserve">  Geçmiş Yıllar Kar/Zararları</v>
      </c>
      <c r="B67" s="6">
        <f>IF(MID(B$1,6,1)="3",Froto!B67,Froto!B67-Froto!C67)</f>
        <v>-2200206000</v>
      </c>
      <c r="C67" s="6">
        <f>IF(MID(C$1,6,1)="3",Froto!C67,Froto!C67-Froto!D67)</f>
        <v>0</v>
      </c>
      <c r="D67" s="6">
        <f>IF(MID(D$1,6,1)="3",Froto!D67,Froto!D67-Froto!E67)</f>
        <v>0</v>
      </c>
      <c r="E67" s="6">
        <f>IF(MID(E$1,6,1)="3",Froto!E67,Froto!E67-Froto!F67)</f>
        <v>7257593000</v>
      </c>
      <c r="F67" s="6">
        <f>IF(MID(F$1,6,1)="3",Froto!F67,Froto!F67-Froto!G67)</f>
        <v>-1455224000</v>
      </c>
      <c r="G67" s="6">
        <f>IF(MID(G$1,6,1)="3",Froto!G67,Froto!G67-Froto!H67)</f>
        <v>0</v>
      </c>
      <c r="H67" s="6">
        <f>IF(MID(H$1,6,1)="3",Froto!H67,Froto!H67-Froto!I67)</f>
        <v>10400000</v>
      </c>
      <c r="I67" s="6">
        <f>IF(MID(I$1,6,1)="3",Froto!I67,Froto!I67-Froto!J67)</f>
        <v>4917670000</v>
      </c>
      <c r="J67" s="6">
        <f>IF(MID(J$1,6,1)="3",Froto!J67,Froto!J67-Froto!K67)</f>
        <v>0</v>
      </c>
      <c r="K67" s="6">
        <f>IF(MID(K$1,6,1)="3",Froto!K67,Froto!K67-Froto!L67)</f>
        <v>0</v>
      </c>
      <c r="L67" s="6">
        <f>IF(MID(L$1,6,1)="3",Froto!L67,Froto!L67-Froto!M67)</f>
        <v>0</v>
      </c>
      <c r="M67" s="6">
        <f>IF(MID(M$1,6,1)="3",Froto!M67,Froto!M67-Froto!N67)</f>
        <v>3467929000</v>
      </c>
      <c r="N67" s="6">
        <f>IF(MID(N$1,6,1)="3",Froto!N67,Froto!N67-Froto!O67)</f>
        <v>-280268000</v>
      </c>
      <c r="O67" s="6">
        <f>IF(MID(O$1,6,1)="3",Froto!O67,Froto!O67-Froto!P67)</f>
        <v>0</v>
      </c>
      <c r="P67" s="6">
        <f>IF(MID(P$1,6,1)="3",Froto!P67,Froto!P67-Froto!Q67)</f>
        <v>0</v>
      </c>
      <c r="Q67" s="6">
        <f>IF(MID(Q$1,6,1)="3",Froto!Q67,Froto!Q67-Froto!R67)</f>
        <v>2991281000</v>
      </c>
      <c r="R67" s="6">
        <f>IF(MID(R$1,6,1)="3",Froto!R67,Froto!R67-Froto!S67)</f>
        <v>-441489000</v>
      </c>
      <c r="S67" s="6">
        <f>IF(MID(S$1,6,1)="3",Froto!S67,Froto!S67-Froto!T67)</f>
        <v>0</v>
      </c>
      <c r="T67" s="6">
        <f>IF(MID(T$1,6,1)="3",Froto!T67,Froto!T67-Froto!U67)</f>
        <v>0</v>
      </c>
      <c r="U67" s="6">
        <f>IF(MID(U$1,6,1)="3",Froto!U67,Froto!U67-Froto!V67)</f>
        <v>2685802000</v>
      </c>
    </row>
    <row r="68" spans="1:21" x14ac:dyDescent="0.25">
      <c r="A68" t="str">
        <f>Froto!A68</f>
        <v xml:space="preserve">  Dönem Net Kar/Zararı</v>
      </c>
      <c r="B68" s="6">
        <f>IF(MID(B$1,6,1)="3",Froto!B68,Froto!B68-Froto!C68)</f>
        <v>8291772000</v>
      </c>
      <c r="C68" s="6">
        <f>IF(MID(C$1,6,1)="3",Froto!C68,Froto!C68-Froto!D68)</f>
        <v>3816190000</v>
      </c>
      <c r="D68" s="6">
        <f>IF(MID(D$1,6,1)="3",Froto!D68,Froto!D68-Froto!E68)</f>
        <v>3704202000</v>
      </c>
      <c r="E68" s="6">
        <f>IF(MID(E$1,6,1)="3",Froto!E68,Froto!E68-Froto!F68)</f>
        <v>2801779000</v>
      </c>
      <c r="F68" s="6">
        <f>IF(MID(F$1,6,1)="3",Froto!F68,Froto!F68-Froto!G68)</f>
        <v>4090244000</v>
      </c>
      <c r="G68" s="6">
        <f>IF(MID(G$1,6,1)="3",Froto!G68,Froto!G68-Froto!H68)</f>
        <v>1892184000</v>
      </c>
      <c r="H68" s="6">
        <f>IF(MID(H$1,6,1)="3",Froto!H68,Froto!H68-Froto!I68)</f>
        <v>999203000</v>
      </c>
      <c r="I68" s="6">
        <f>IF(MID(I$1,6,1)="3",Froto!I68,Froto!I68-Froto!J68)</f>
        <v>1819374000</v>
      </c>
      <c r="J68" s="6">
        <f>IF(MID(J$1,6,1)="3",Froto!J68,Froto!J68-Froto!K68)</f>
        <v>1927207000</v>
      </c>
      <c r="K68" s="6">
        <f>IF(MID(K$1,6,1)="3",Froto!K68,Froto!K68-Froto!L68)</f>
        <v>1358269000</v>
      </c>
      <c r="L68" s="6">
        <f>IF(MID(L$1,6,1)="3",Froto!L68,Froto!L68-Froto!M68)</f>
        <v>280008000</v>
      </c>
      <c r="M68" s="6">
        <f>IF(MID(M$1,6,1)="3",Froto!M68,Froto!M68-Froto!N68)</f>
        <v>629429000</v>
      </c>
      <c r="N68" s="6">
        <f>IF(MID(N$1,6,1)="3",Froto!N68,Froto!N68-Froto!O68)</f>
        <v>616777000</v>
      </c>
      <c r="O68" s="6">
        <f>IF(MID(O$1,6,1)="3",Froto!O68,Froto!O68-Froto!P68)</f>
        <v>454419000</v>
      </c>
      <c r="P68" s="6">
        <f>IF(MID(P$1,6,1)="3",Froto!P68,Froto!P68-Froto!Q68)</f>
        <v>410328000</v>
      </c>
      <c r="Q68" s="6">
        <f>IF(MID(Q$1,6,1)="3",Froto!Q68,Froto!Q68-Froto!R68)</f>
        <v>477960000</v>
      </c>
      <c r="R68" s="6">
        <f>IF(MID(R$1,6,1)="3",Froto!R68,Froto!R68-Froto!S68)</f>
        <v>410838000</v>
      </c>
      <c r="S68" s="6">
        <f>IF(MID(S$1,6,1)="3",Froto!S68,Froto!S68-Froto!T68)</f>
        <v>353839000</v>
      </c>
      <c r="T68" s="6">
        <f>IF(MID(T$1,6,1)="3",Froto!T68,Froto!T68-Froto!U68)</f>
        <v>486254000</v>
      </c>
      <c r="U68" s="6">
        <f>IF(MID(U$1,6,1)="3",Froto!U68,Froto!U68-Froto!V68)</f>
        <v>432265000</v>
      </c>
    </row>
    <row r="69" spans="1:21" x14ac:dyDescent="0.25">
      <c r="A69" t="str">
        <f>Froto!A69</f>
        <v xml:space="preserve">  Diğer Özsermaye Kalemleri</v>
      </c>
      <c r="B69" s="6">
        <f>IF(MID(B$1,6,1)="3",Froto!B69,Froto!B69-Froto!C69)</f>
        <v>-1973274000</v>
      </c>
      <c r="C69" s="6">
        <f>IF(MID(C$1,6,1)="3",Froto!C69,Froto!C69-Froto!D69)</f>
        <v>-75869000</v>
      </c>
      <c r="D69" s="6">
        <f>IF(MID(D$1,6,1)="3",Froto!D69,Froto!D69-Froto!E69)</f>
        <v>-330663000</v>
      </c>
      <c r="E69" s="6">
        <f>IF(MID(E$1,6,1)="3",Froto!E69,Froto!E69-Froto!F69)</f>
        <v>-3335974000</v>
      </c>
      <c r="F69" s="6">
        <f>IF(MID(F$1,6,1)="3",Froto!F69,Froto!F69-Froto!G69)</f>
        <v>-1623057000</v>
      </c>
      <c r="G69" s="6">
        <f>IF(MID(G$1,6,1)="3",Froto!G69,Froto!G69-Froto!H69)</f>
        <v>136337000</v>
      </c>
      <c r="H69" s="6">
        <f>IF(MID(H$1,6,1)="3",Froto!H69,Froto!H69-Froto!I69)</f>
        <v>-82171000</v>
      </c>
      <c r="I69" s="6">
        <f>IF(MID(I$1,6,1)="3",Froto!I69,Froto!I69-Froto!J69)</f>
        <v>-1673656000</v>
      </c>
      <c r="J69" s="6">
        <f>IF(MID(J$1,6,1)="3",Froto!J69,Froto!J69-Froto!K69)</f>
        <v>343456000</v>
      </c>
      <c r="K69" s="6">
        <f>IF(MID(K$1,6,1)="3",Froto!K69,Froto!K69-Froto!L69)</f>
        <v>-734871000</v>
      </c>
      <c r="L69" s="6">
        <f>IF(MID(L$1,6,1)="3",Froto!L69,Froto!L69-Froto!M69)</f>
        <v>-147421000</v>
      </c>
      <c r="M69" s="6">
        <f>IF(MID(M$1,6,1)="3",Froto!M69,Froto!M69-Froto!N69)</f>
        <v>-841515000</v>
      </c>
      <c r="N69" s="6">
        <f>IF(MID(N$1,6,1)="3",Froto!N69,Froto!N69-Froto!O69)</f>
        <v>-138097000</v>
      </c>
      <c r="O69" s="6">
        <f>IF(MID(O$1,6,1)="3",Froto!O69,Froto!O69-Froto!P69)</f>
        <v>210516000</v>
      </c>
      <c r="P69" s="6">
        <f>IF(MID(P$1,6,1)="3",Froto!P69,Froto!P69-Froto!Q69)</f>
        <v>51364000</v>
      </c>
      <c r="Q69" s="6">
        <f>IF(MID(Q$1,6,1)="3",Froto!Q69,Froto!Q69-Froto!R69)</f>
        <v>-783041000</v>
      </c>
      <c r="R69" s="6">
        <f>IF(MID(R$1,6,1)="3",Froto!R69,Froto!R69-Froto!S69)</f>
        <v>465407000</v>
      </c>
      <c r="S69" s="6">
        <f>IF(MID(S$1,6,1)="3",Froto!S69,Froto!S69-Froto!T69)</f>
        <v>-534456000</v>
      </c>
      <c r="T69" s="6">
        <f>IF(MID(T$1,6,1)="3",Froto!T69,Froto!T69-Froto!U69)</f>
        <v>-112480000</v>
      </c>
      <c r="U69" s="6">
        <f>IF(MID(U$1,6,1)="3",Froto!U69,Froto!U69-Froto!V69)</f>
        <v>-574258000</v>
      </c>
    </row>
    <row r="70" spans="1:21" x14ac:dyDescent="0.25">
      <c r="A70" t="str">
        <f>Froto!A70</f>
        <v xml:space="preserve">  Azınlık Payları</v>
      </c>
      <c r="B70" s="6">
        <f>IF(MID(B$1,6,1)="3",Froto!B70,Froto!B70-Froto!C70)</f>
        <v>0</v>
      </c>
      <c r="C70" s="6">
        <f>IF(MID(C$1,6,1)="3",Froto!C70,Froto!C70-Froto!D70)</f>
        <v>0</v>
      </c>
      <c r="D70" s="6">
        <f>IF(MID(D$1,6,1)="3",Froto!D70,Froto!D70-Froto!E70)</f>
        <v>0</v>
      </c>
      <c r="E70" s="6">
        <f>IF(MID(E$1,6,1)="3",Froto!E70,Froto!E70-Froto!F70)</f>
        <v>0</v>
      </c>
      <c r="F70" s="6">
        <f>IF(MID(F$1,6,1)="3",Froto!F70,Froto!F70-Froto!G70)</f>
        <v>0</v>
      </c>
      <c r="G70" s="6">
        <f>IF(MID(G$1,6,1)="3",Froto!G70,Froto!G70-Froto!H70)</f>
        <v>0</v>
      </c>
      <c r="H70" s="6">
        <f>IF(MID(H$1,6,1)="3",Froto!H70,Froto!H70-Froto!I70)</f>
        <v>0</v>
      </c>
      <c r="I70" s="6">
        <f>IF(MID(I$1,6,1)="3",Froto!I70,Froto!I70-Froto!J70)</f>
        <v>0</v>
      </c>
      <c r="J70" s="6">
        <f>IF(MID(J$1,6,1)="3",Froto!J70,Froto!J70-Froto!K70)</f>
        <v>0</v>
      </c>
      <c r="K70" s="6">
        <f>IF(MID(K$1,6,1)="3",Froto!K70,Froto!K70-Froto!L70)</f>
        <v>0</v>
      </c>
      <c r="L70" s="6">
        <f>IF(MID(L$1,6,1)="3",Froto!L70,Froto!L70-Froto!M70)</f>
        <v>0</v>
      </c>
      <c r="M70" s="6">
        <f>IF(MID(M$1,6,1)="3",Froto!M70,Froto!M70-Froto!N70)</f>
        <v>0</v>
      </c>
      <c r="N70" s="6">
        <f>IF(MID(N$1,6,1)="3",Froto!N70,Froto!N70-Froto!O70)</f>
        <v>0</v>
      </c>
      <c r="O70" s="6">
        <f>IF(MID(O$1,6,1)="3",Froto!O70,Froto!O70-Froto!P70)</f>
        <v>0</v>
      </c>
      <c r="P70" s="6">
        <f>IF(MID(P$1,6,1)="3",Froto!P70,Froto!P70-Froto!Q70)</f>
        <v>0</v>
      </c>
      <c r="Q70" s="6">
        <f>IF(MID(Q$1,6,1)="3",Froto!Q70,Froto!Q70-Froto!R70)</f>
        <v>0</v>
      </c>
      <c r="R70" s="6">
        <f>IF(MID(R$1,6,1)="3",Froto!R70,Froto!R70-Froto!S70)</f>
        <v>0</v>
      </c>
      <c r="S70" s="6">
        <f>IF(MID(S$1,6,1)="3",Froto!S70,Froto!S70-Froto!T70)</f>
        <v>0</v>
      </c>
      <c r="T70" s="6">
        <f>IF(MID(T$1,6,1)="3",Froto!T70,Froto!T70-Froto!U70)</f>
        <v>0</v>
      </c>
      <c r="U70" s="6">
        <f>IF(MID(U$1,6,1)="3",Froto!U70,Froto!U70-Froto!V70)</f>
        <v>0</v>
      </c>
    </row>
    <row r="71" spans="1:21" x14ac:dyDescent="0.25">
      <c r="A71" t="str">
        <f>Froto!A71</f>
        <v>TOPLAM KAYNAKLAR</v>
      </c>
      <c r="B71" s="6">
        <f>IF(MID(B$1,6,1)="3",Froto!B71,Froto!B71-Froto!C71)</f>
        <v>16327720000</v>
      </c>
      <c r="C71" s="6">
        <f>IF(MID(C$1,6,1)="3",Froto!C71,Froto!C71-Froto!D71)</f>
        <v>16697231000</v>
      </c>
      <c r="D71" s="6">
        <f>IF(MID(D$1,6,1)="3",Froto!D71,Froto!D71-Froto!E71)</f>
        <v>12993483000</v>
      </c>
      <c r="E71" s="6">
        <f>IF(MID(E$1,6,1)="3",Froto!E71,Froto!E71-Froto!F71)</f>
        <v>50033813000</v>
      </c>
      <c r="F71" s="6">
        <f>IF(MID(F$1,6,1)="3",Froto!F71,Froto!F71-Froto!G71)</f>
        <v>8779652000</v>
      </c>
      <c r="G71" s="6">
        <f>IF(MID(G$1,6,1)="3",Froto!G71,Froto!G71-Froto!H71)</f>
        <v>10357469000</v>
      </c>
      <c r="H71" s="6">
        <f>IF(MID(H$1,6,1)="3",Froto!H71,Froto!H71-Froto!I71)</f>
        <v>-2790321000</v>
      </c>
      <c r="I71" s="6">
        <f>IF(MID(I$1,6,1)="3",Froto!I71,Froto!I71-Froto!J71)</f>
        <v>26446053000</v>
      </c>
      <c r="J71" s="6">
        <f>IF(MID(J$1,6,1)="3",Froto!J71,Froto!J71-Froto!K71)</f>
        <v>1616337000</v>
      </c>
      <c r="K71" s="6">
        <f>IF(MID(K$1,6,1)="3",Froto!K71,Froto!K71-Froto!L71)</f>
        <v>4708047000</v>
      </c>
      <c r="L71" s="6">
        <f>IF(MID(L$1,6,1)="3",Froto!L71,Froto!L71-Froto!M71)</f>
        <v>1425420000</v>
      </c>
      <c r="M71" s="6">
        <f>IF(MID(M$1,6,1)="3",Froto!M71,Froto!M71-Froto!N71)</f>
        <v>16599375000</v>
      </c>
      <c r="N71" s="6">
        <f>IF(MID(N$1,6,1)="3",Froto!N71,Froto!N71-Froto!O71)</f>
        <v>1338428000</v>
      </c>
      <c r="O71" s="6">
        <f>IF(MID(O$1,6,1)="3",Froto!O71,Froto!O71-Froto!P71)</f>
        <v>-171611000</v>
      </c>
      <c r="P71" s="6">
        <f>IF(MID(P$1,6,1)="3",Froto!P71,Froto!P71-Froto!Q71)</f>
        <v>284906000</v>
      </c>
      <c r="Q71" s="6">
        <f>IF(MID(Q$1,6,1)="3",Froto!Q71,Froto!Q71-Froto!R71)</f>
        <v>14954649000</v>
      </c>
      <c r="R71" s="6">
        <f>IF(MID(R$1,6,1)="3",Froto!R71,Froto!R71-Froto!S71)</f>
        <v>-516097000</v>
      </c>
      <c r="S71" s="6">
        <f>IF(MID(S$1,6,1)="3",Froto!S71,Froto!S71-Froto!T71)</f>
        <v>1161567000</v>
      </c>
      <c r="T71" s="6">
        <f>IF(MID(T$1,6,1)="3",Froto!T71,Froto!T71-Froto!U71)</f>
        <v>-371309000</v>
      </c>
      <c r="U71" s="6">
        <f>IF(MID(U$1,6,1)="3",Froto!U71,Froto!U71-Froto!V71)</f>
        <v>12910279000</v>
      </c>
    </row>
    <row r="72" spans="1:21" x14ac:dyDescent="0.25">
      <c r="A72" t="str">
        <f>Froto!A72</f>
        <v>Sürdürülen Faaliyetler</v>
      </c>
      <c r="B72" s="6">
        <f>IF(MID(B$1,6,1)="3",Froto!B72,Froto!B72-Froto!C72)</f>
        <v>0</v>
      </c>
      <c r="C72" s="6">
        <f>IF(MID(C$1,6,1)="3",Froto!C72,Froto!C72-Froto!D72)</f>
        <v>0</v>
      </c>
      <c r="D72" s="6">
        <f>IF(MID(D$1,6,1)="3",Froto!D72,Froto!D72-Froto!E72)</f>
        <v>0</v>
      </c>
      <c r="E72" s="6">
        <f>IF(MID(E$1,6,1)="3",Froto!E72,Froto!E72-Froto!F72)</f>
        <v>0</v>
      </c>
      <c r="F72" s="6">
        <f>IF(MID(F$1,6,1)="3",Froto!F72,Froto!F72-Froto!G72)</f>
        <v>0</v>
      </c>
      <c r="G72" s="6">
        <f>IF(MID(G$1,6,1)="3",Froto!G72,Froto!G72-Froto!H72)</f>
        <v>0</v>
      </c>
      <c r="H72" s="6">
        <f>IF(MID(H$1,6,1)="3",Froto!H72,Froto!H72-Froto!I72)</f>
        <v>0</v>
      </c>
      <c r="I72" s="6">
        <f>IF(MID(I$1,6,1)="3",Froto!I72,Froto!I72-Froto!J72)</f>
        <v>0</v>
      </c>
      <c r="J72" s="6">
        <f>IF(MID(J$1,6,1)="3",Froto!J72,Froto!J72-Froto!K72)</f>
        <v>0</v>
      </c>
      <c r="K72" s="6">
        <f>IF(MID(K$1,6,1)="3",Froto!K72,Froto!K72-Froto!L72)</f>
        <v>0</v>
      </c>
      <c r="L72" s="6">
        <f>IF(MID(L$1,6,1)="3",Froto!L72,Froto!L72-Froto!M72)</f>
        <v>0</v>
      </c>
      <c r="M72" s="6">
        <f>IF(MID(M$1,6,1)="3",Froto!M72,Froto!M72-Froto!N72)</f>
        <v>0</v>
      </c>
      <c r="N72" s="6">
        <f>IF(MID(N$1,6,1)="3",Froto!N72,Froto!N72-Froto!O72)</f>
        <v>0</v>
      </c>
      <c r="O72" s="6">
        <f>IF(MID(O$1,6,1)="3",Froto!O72,Froto!O72-Froto!P72)</f>
        <v>0</v>
      </c>
      <c r="P72" s="6">
        <f>IF(MID(P$1,6,1)="3",Froto!P72,Froto!P72-Froto!Q72)</f>
        <v>0</v>
      </c>
      <c r="Q72" s="6">
        <f>IF(MID(Q$1,6,1)="3",Froto!Q72,Froto!Q72-Froto!R72)</f>
        <v>0</v>
      </c>
      <c r="R72" s="6">
        <f>IF(MID(R$1,6,1)="3",Froto!R72,Froto!R72-Froto!S72)</f>
        <v>0</v>
      </c>
      <c r="S72" s="6">
        <f>IF(MID(S$1,6,1)="3",Froto!S72,Froto!S72-Froto!T72)</f>
        <v>0</v>
      </c>
      <c r="T72" s="6">
        <f>IF(MID(T$1,6,1)="3",Froto!T72,Froto!T72-Froto!U72)</f>
        <v>0</v>
      </c>
      <c r="U72" s="6">
        <f>IF(MID(U$1,6,1)="3",Froto!U72,Froto!U72-Froto!V72)</f>
        <v>0</v>
      </c>
    </row>
    <row r="73" spans="1:21" x14ac:dyDescent="0.25">
      <c r="A73" t="str">
        <f>Froto!A73</f>
        <v>GELİR TABLOSU</v>
      </c>
      <c r="B73" s="6">
        <f>IF(MID(B$1,6,1)="3",Froto!B73,Froto!B73-Froto!C73)</f>
        <v>0</v>
      </c>
      <c r="C73" s="6">
        <f>IF(MID(C$1,6,1)="3",Froto!C73,Froto!C73-Froto!D73)</f>
        <v>0</v>
      </c>
      <c r="D73" s="6">
        <f>IF(MID(D$1,6,1)="3",Froto!D73,Froto!D73-Froto!E73)</f>
        <v>0</v>
      </c>
      <c r="E73" s="6">
        <f>IF(MID(E$1,6,1)="3",Froto!E73,Froto!E73-Froto!F73)</f>
        <v>0</v>
      </c>
      <c r="F73" s="6">
        <f>IF(MID(F$1,6,1)="3",Froto!F73,Froto!F73-Froto!G73)</f>
        <v>0</v>
      </c>
      <c r="G73" s="6">
        <f>IF(MID(G$1,6,1)="3",Froto!G73,Froto!G73-Froto!H73)</f>
        <v>0</v>
      </c>
      <c r="H73" s="6">
        <f>IF(MID(H$1,6,1)="3",Froto!H73,Froto!H73-Froto!I73)</f>
        <v>0</v>
      </c>
      <c r="I73" s="6">
        <f>IF(MID(I$1,6,1)="3",Froto!I73,Froto!I73-Froto!J73)</f>
        <v>0</v>
      </c>
      <c r="J73" s="6">
        <f>IF(MID(J$1,6,1)="3",Froto!J73,Froto!J73-Froto!K73)</f>
        <v>0</v>
      </c>
      <c r="K73" s="6">
        <f>IF(MID(K$1,6,1)="3",Froto!K73,Froto!K73-Froto!L73)</f>
        <v>0</v>
      </c>
      <c r="L73" s="6">
        <f>IF(MID(L$1,6,1)="3",Froto!L73,Froto!L73-Froto!M73)</f>
        <v>0</v>
      </c>
      <c r="M73" s="6">
        <f>IF(MID(M$1,6,1)="3",Froto!M73,Froto!M73-Froto!N73)</f>
        <v>0</v>
      </c>
      <c r="N73" s="6">
        <f>IF(MID(N$1,6,1)="3",Froto!N73,Froto!N73-Froto!O73)</f>
        <v>0</v>
      </c>
      <c r="O73" s="6">
        <f>IF(MID(O$1,6,1)="3",Froto!O73,Froto!O73-Froto!P73)</f>
        <v>0</v>
      </c>
      <c r="P73" s="6">
        <f>IF(MID(P$1,6,1)="3",Froto!P73,Froto!P73-Froto!Q73)</f>
        <v>0</v>
      </c>
      <c r="Q73" s="6">
        <f>IF(MID(Q$1,6,1)="3",Froto!Q73,Froto!Q73-Froto!R73)</f>
        <v>0</v>
      </c>
      <c r="R73" s="6">
        <f>IF(MID(R$1,6,1)="3",Froto!R73,Froto!R73-Froto!S73)</f>
        <v>0</v>
      </c>
      <c r="S73" s="6">
        <f>IF(MID(S$1,6,1)="3",Froto!S73,Froto!S73-Froto!T73)</f>
        <v>0</v>
      </c>
      <c r="T73" s="6">
        <f>IF(MID(T$1,6,1)="3",Froto!T73,Froto!T73-Froto!U73)</f>
        <v>0</v>
      </c>
      <c r="U73" s="6">
        <f>IF(MID(U$1,6,1)="3",Froto!U73,Froto!U73-Froto!V73)</f>
        <v>0</v>
      </c>
    </row>
    <row r="74" spans="1:21" x14ac:dyDescent="0.25">
      <c r="A74" t="str">
        <f>Froto!A74</f>
        <v>Satış Gelirleri</v>
      </c>
      <c r="B74" s="6">
        <f>IF(MID(B$1,6,1)="3",Froto!B74,Froto!B74-Froto!C74)</f>
        <v>60939425000</v>
      </c>
      <c r="C74" s="6">
        <f>IF(MID(C$1,6,1)="3",Froto!C74,Froto!C74-Froto!D74)</f>
        <v>50127391000</v>
      </c>
      <c r="D74" s="6">
        <f>IF(MID(D$1,6,1)="3",Froto!D74,Froto!D74-Froto!E74)</f>
        <v>32853661000</v>
      </c>
      <c r="E74" s="6">
        <f>IF(MID(E$1,6,1)="3",Froto!E74,Froto!E74-Froto!F74)</f>
        <v>27876425000</v>
      </c>
      <c r="F74" s="6">
        <f>IF(MID(F$1,6,1)="3",Froto!F74,Froto!F74-Froto!G74)</f>
        <v>25443769000</v>
      </c>
      <c r="G74" s="6">
        <f>IF(MID(G$1,6,1)="3",Froto!G74,Froto!G74-Froto!H74)</f>
        <v>18870745000</v>
      </c>
      <c r="H74" s="6">
        <f>IF(MID(H$1,6,1)="3",Froto!H74,Froto!H74-Froto!I74)</f>
        <v>10532602000</v>
      </c>
      <c r="I74" s="6">
        <f>IF(MID(I$1,6,1)="3",Froto!I74,Froto!I74-Froto!J74)</f>
        <v>16254142000</v>
      </c>
      <c r="J74" s="6">
        <f>IF(MID(J$1,6,1)="3",Froto!J74,Froto!J74-Froto!K74)</f>
        <v>20961218000</v>
      </c>
      <c r="K74" s="6">
        <f>IF(MID(K$1,6,1)="3",Froto!K74,Froto!K74-Froto!L74)</f>
        <v>13396274000</v>
      </c>
      <c r="L74" s="6">
        <f>IF(MID(L$1,6,1)="3",Froto!L74,Froto!L74-Froto!M74)</f>
        <v>5727306000</v>
      </c>
      <c r="M74" s="6">
        <f>IF(MID(M$1,6,1)="3",Froto!M74,Froto!M74-Froto!N74)</f>
        <v>9366609000</v>
      </c>
      <c r="N74" s="6">
        <f>IF(MID(N$1,6,1)="3",Froto!N74,Froto!N74-Froto!O74)</f>
        <v>11502294000</v>
      </c>
      <c r="O74" s="6">
        <f>IF(MID(O$1,6,1)="3",Froto!O74,Froto!O74-Froto!P74)</f>
        <v>9297503000</v>
      </c>
      <c r="P74" s="6">
        <f>IF(MID(P$1,6,1)="3",Froto!P74,Froto!P74-Froto!Q74)</f>
        <v>9125170000</v>
      </c>
      <c r="Q74" s="6">
        <f>IF(MID(Q$1,6,1)="3",Froto!Q74,Froto!Q74-Froto!R74)</f>
        <v>9284052000</v>
      </c>
      <c r="R74" s="6">
        <f>IF(MID(R$1,6,1)="3",Froto!R74,Froto!R74-Froto!S74)</f>
        <v>10047647000</v>
      </c>
      <c r="S74" s="6">
        <f>IF(MID(S$1,6,1)="3",Froto!S74,Froto!S74-Froto!T74)</f>
        <v>7772025000</v>
      </c>
      <c r="T74" s="6">
        <f>IF(MID(T$1,6,1)="3",Froto!T74,Froto!T74-Froto!U74)</f>
        <v>8190348000</v>
      </c>
      <c r="U74" s="6">
        <f>IF(MID(U$1,6,1)="3",Froto!U74,Froto!U74-Froto!V74)</f>
        <v>7282010000</v>
      </c>
    </row>
    <row r="75" spans="1:21" x14ac:dyDescent="0.25">
      <c r="A75" t="str">
        <f>Froto!A75</f>
        <v>Satışların Maliyeti (-)</v>
      </c>
      <c r="B75" s="6">
        <f>IF(MID(B$1,6,1)="3",Froto!B75,Froto!B75-Froto!C75)</f>
        <v>-51557685000</v>
      </c>
      <c r="C75" s="6">
        <f>IF(MID(C$1,6,1)="3",Froto!C75,Froto!C75-Froto!D75)</f>
        <v>-44440293000</v>
      </c>
      <c r="D75" s="6">
        <f>IF(MID(D$1,6,1)="3",Froto!D75,Froto!D75-Froto!E75)</f>
        <v>-27700369000</v>
      </c>
      <c r="E75" s="6">
        <f>IF(MID(E$1,6,1)="3",Froto!E75,Froto!E75-Froto!F75)</f>
        <v>-24157311000</v>
      </c>
      <c r="F75" s="6">
        <f>IF(MID(F$1,6,1)="3",Froto!F75,Froto!F75-Froto!G75)</f>
        <v>-20193905000</v>
      </c>
      <c r="G75" s="6">
        <f>IF(MID(G$1,6,1)="3",Froto!G75,Froto!G75-Froto!H75)</f>
        <v>-16551730000</v>
      </c>
      <c r="H75" s="6">
        <f>IF(MID(H$1,6,1)="3",Froto!H75,Froto!H75-Froto!I75)</f>
        <v>-9015394000</v>
      </c>
      <c r="I75" s="6">
        <f>IF(MID(I$1,6,1)="3",Froto!I75,Froto!I75-Froto!J75)</f>
        <v>-14186069000</v>
      </c>
      <c r="J75" s="6">
        <f>IF(MID(J$1,6,1)="3",Froto!J75,Froto!J75-Froto!K75)</f>
        <v>-18173801000</v>
      </c>
      <c r="K75" s="6">
        <f>IF(MID(K$1,6,1)="3",Froto!K75,Froto!K75-Froto!L75)</f>
        <v>-11747531000</v>
      </c>
      <c r="L75" s="6">
        <f>IF(MID(L$1,6,1)="3",Froto!L75,Froto!L75-Froto!M75)</f>
        <v>-5048454000</v>
      </c>
      <c r="M75" s="6">
        <f>IF(MID(M$1,6,1)="3",Froto!M75,Froto!M75-Froto!N75)</f>
        <v>-8295092000</v>
      </c>
      <c r="N75" s="6">
        <f>IF(MID(N$1,6,1)="3",Froto!N75,Froto!N75-Froto!O75)</f>
        <v>-10351700000</v>
      </c>
      <c r="O75" s="6">
        <f>IF(MID(O$1,6,1)="3",Froto!O75,Froto!O75-Froto!P75)</f>
        <v>-8347741000</v>
      </c>
      <c r="P75" s="6">
        <f>IF(MID(P$1,6,1)="3",Froto!P75,Froto!P75-Froto!Q75)</f>
        <v>-8154081000</v>
      </c>
      <c r="Q75" s="6">
        <f>IF(MID(Q$1,6,1)="3",Froto!Q75,Froto!Q75-Froto!R75)</f>
        <v>-8340280000</v>
      </c>
      <c r="R75" s="6">
        <f>IF(MID(R$1,6,1)="3",Froto!R75,Froto!R75-Froto!S75)</f>
        <v>-9089756000</v>
      </c>
      <c r="S75" s="6">
        <f>IF(MID(S$1,6,1)="3",Froto!S75,Froto!S75-Froto!T75)</f>
        <v>-6949940000</v>
      </c>
      <c r="T75" s="6">
        <f>IF(MID(T$1,6,1)="3",Froto!T75,Froto!T75-Froto!U75)</f>
        <v>-7269074000</v>
      </c>
      <c r="U75" s="6">
        <f>IF(MID(U$1,6,1)="3",Froto!U75,Froto!U75-Froto!V75)</f>
        <v>-6524689000</v>
      </c>
    </row>
    <row r="76" spans="1:21" x14ac:dyDescent="0.25">
      <c r="A76" t="str">
        <f>Froto!A76</f>
        <v>Ticari Faaliyetlerden Diğer Kar (Zarar)</v>
      </c>
      <c r="B76" s="6">
        <f>IF(MID(B$1,6,1)="3",Froto!B76,Froto!B76-Froto!C76)</f>
        <v>0</v>
      </c>
      <c r="C76" s="6">
        <f>IF(MID(C$1,6,1)="3",Froto!C76,Froto!C76-Froto!D76)</f>
        <v>0</v>
      </c>
      <c r="D76" s="6">
        <f>IF(MID(D$1,6,1)="3",Froto!D76,Froto!D76-Froto!E76)</f>
        <v>0</v>
      </c>
      <c r="E76" s="6">
        <f>IF(MID(E$1,6,1)="3",Froto!E76,Froto!E76-Froto!F76)</f>
        <v>0</v>
      </c>
      <c r="F76" s="6">
        <f>IF(MID(F$1,6,1)="3",Froto!F76,Froto!F76-Froto!G76)</f>
        <v>0</v>
      </c>
      <c r="G76" s="6">
        <f>IF(MID(G$1,6,1)="3",Froto!G76,Froto!G76-Froto!H76)</f>
        <v>0</v>
      </c>
      <c r="H76" s="6">
        <f>IF(MID(H$1,6,1)="3",Froto!H76,Froto!H76-Froto!I76)</f>
        <v>0</v>
      </c>
      <c r="I76" s="6">
        <f>IF(MID(I$1,6,1)="3",Froto!I76,Froto!I76-Froto!J76)</f>
        <v>0</v>
      </c>
      <c r="J76" s="6">
        <f>IF(MID(J$1,6,1)="3",Froto!J76,Froto!J76-Froto!K76)</f>
        <v>0</v>
      </c>
      <c r="K76" s="6">
        <f>IF(MID(K$1,6,1)="3",Froto!K76,Froto!K76-Froto!L76)</f>
        <v>0</v>
      </c>
      <c r="L76" s="6">
        <f>IF(MID(L$1,6,1)="3",Froto!L76,Froto!L76-Froto!M76)</f>
        <v>0</v>
      </c>
      <c r="M76" s="6">
        <f>IF(MID(M$1,6,1)="3",Froto!M76,Froto!M76-Froto!N76)</f>
        <v>0</v>
      </c>
      <c r="N76" s="6">
        <f>IF(MID(N$1,6,1)="3",Froto!N76,Froto!N76-Froto!O76)</f>
        <v>0</v>
      </c>
      <c r="O76" s="6">
        <f>IF(MID(O$1,6,1)="3",Froto!O76,Froto!O76-Froto!P76)</f>
        <v>0</v>
      </c>
      <c r="P76" s="6">
        <f>IF(MID(P$1,6,1)="3",Froto!P76,Froto!P76-Froto!Q76)</f>
        <v>0</v>
      </c>
      <c r="Q76" s="6">
        <f>IF(MID(Q$1,6,1)="3",Froto!Q76,Froto!Q76-Froto!R76)</f>
        <v>0</v>
      </c>
      <c r="R76" s="6">
        <f>IF(MID(R$1,6,1)="3",Froto!R76,Froto!R76-Froto!S76)</f>
        <v>0</v>
      </c>
      <c r="S76" s="6">
        <f>IF(MID(S$1,6,1)="3",Froto!S76,Froto!S76-Froto!T76)</f>
        <v>0</v>
      </c>
      <c r="T76" s="6">
        <f>IF(MID(T$1,6,1)="3",Froto!T76,Froto!T76-Froto!U76)</f>
        <v>0</v>
      </c>
      <c r="U76" s="6">
        <f>IF(MID(U$1,6,1)="3",Froto!U76,Froto!U76-Froto!V76)</f>
        <v>0</v>
      </c>
    </row>
    <row r="77" spans="1:21" x14ac:dyDescent="0.25">
      <c r="A77" t="str">
        <f>Froto!A77</f>
        <v>Ticari Faaliyetlerden Brüt Kar (Zarar)</v>
      </c>
      <c r="B77" s="6">
        <f>IF(MID(B$1,6,1)="3",Froto!B77,Froto!B77-Froto!C77)</f>
        <v>9381740000</v>
      </c>
      <c r="C77" s="6">
        <f>IF(MID(C$1,6,1)="3",Froto!C77,Froto!C77-Froto!D77)</f>
        <v>5687098000</v>
      </c>
      <c r="D77" s="6">
        <f>IF(MID(D$1,6,1)="3",Froto!D77,Froto!D77-Froto!E77)</f>
        <v>5153292000</v>
      </c>
      <c r="E77" s="6">
        <f>IF(MID(E$1,6,1)="3",Froto!E77,Froto!E77-Froto!F77)</f>
        <v>3719114000</v>
      </c>
      <c r="F77" s="6">
        <f>IF(MID(F$1,6,1)="3",Froto!F77,Froto!F77-Froto!G77)</f>
        <v>5249864000</v>
      </c>
      <c r="G77" s="6">
        <f>IF(MID(G$1,6,1)="3",Froto!G77,Froto!G77-Froto!H77)</f>
        <v>2319015000</v>
      </c>
      <c r="H77" s="6">
        <f>IF(MID(H$1,6,1)="3",Froto!H77,Froto!H77-Froto!I77)</f>
        <v>1517208000</v>
      </c>
      <c r="I77" s="6">
        <f>IF(MID(I$1,6,1)="3",Froto!I77,Froto!I77-Froto!J77)</f>
        <v>2068073000</v>
      </c>
      <c r="J77" s="6">
        <f>IF(MID(J$1,6,1)="3",Froto!J77,Froto!J77-Froto!K77)</f>
        <v>2787417000</v>
      </c>
      <c r="K77" s="6">
        <f>IF(MID(K$1,6,1)="3",Froto!K77,Froto!K77-Froto!L77)</f>
        <v>1648743000</v>
      </c>
      <c r="L77" s="6">
        <f>IF(MID(L$1,6,1)="3",Froto!L77,Froto!L77-Froto!M77)</f>
        <v>678852000</v>
      </c>
      <c r="M77" s="6">
        <f>IF(MID(M$1,6,1)="3",Froto!M77,Froto!M77-Froto!N77)</f>
        <v>1071517000</v>
      </c>
      <c r="N77" s="6">
        <f>IF(MID(N$1,6,1)="3",Froto!N77,Froto!N77-Froto!O77)</f>
        <v>1150594000</v>
      </c>
      <c r="O77" s="6">
        <f>IF(MID(O$1,6,1)="3",Froto!O77,Froto!O77-Froto!P77)</f>
        <v>949762000</v>
      </c>
      <c r="P77" s="6">
        <f>IF(MID(P$1,6,1)="3",Froto!P77,Froto!P77-Froto!Q77)</f>
        <v>971089000</v>
      </c>
      <c r="Q77" s="6">
        <f>IF(MID(Q$1,6,1)="3",Froto!Q77,Froto!Q77-Froto!R77)</f>
        <v>943772000</v>
      </c>
      <c r="R77" s="6">
        <f>IF(MID(R$1,6,1)="3",Froto!R77,Froto!R77-Froto!S77)</f>
        <v>957891000</v>
      </c>
      <c r="S77" s="6">
        <f>IF(MID(S$1,6,1)="3",Froto!S77,Froto!S77-Froto!T77)</f>
        <v>822085000</v>
      </c>
      <c r="T77" s="6">
        <f>IF(MID(T$1,6,1)="3",Froto!T77,Froto!T77-Froto!U77)</f>
        <v>921274000</v>
      </c>
      <c r="U77" s="6">
        <f>IF(MID(U$1,6,1)="3",Froto!U77,Froto!U77-Froto!V77)</f>
        <v>757321000</v>
      </c>
    </row>
    <row r="78" spans="1:21" x14ac:dyDescent="0.25">
      <c r="A78" t="str">
        <f>Froto!A78</f>
        <v>Faiz, Ücret, Prim, Komisyon ve Diğer Gelirler</v>
      </c>
      <c r="B78" s="6">
        <f>IF(MID(B$1,6,1)="3",Froto!B78,Froto!B78-Froto!C78)</f>
        <v>0</v>
      </c>
      <c r="C78" s="6">
        <f>IF(MID(C$1,6,1)="3",Froto!C78,Froto!C78-Froto!D78)</f>
        <v>0</v>
      </c>
      <c r="D78" s="6">
        <f>IF(MID(D$1,6,1)="3",Froto!D78,Froto!D78-Froto!E78)</f>
        <v>0</v>
      </c>
      <c r="E78" s="6">
        <f>IF(MID(E$1,6,1)="3",Froto!E78,Froto!E78-Froto!F78)</f>
        <v>0</v>
      </c>
      <c r="F78" s="6">
        <f>IF(MID(F$1,6,1)="3",Froto!F78,Froto!F78-Froto!G78)</f>
        <v>0</v>
      </c>
      <c r="G78" s="6">
        <f>IF(MID(G$1,6,1)="3",Froto!G78,Froto!G78-Froto!H78)</f>
        <v>0</v>
      </c>
      <c r="H78" s="6">
        <f>IF(MID(H$1,6,1)="3",Froto!H78,Froto!H78-Froto!I78)</f>
        <v>0</v>
      </c>
      <c r="I78" s="6">
        <f>IF(MID(I$1,6,1)="3",Froto!I78,Froto!I78-Froto!J78)</f>
        <v>0</v>
      </c>
      <c r="J78" s="6">
        <f>IF(MID(J$1,6,1)="3",Froto!J78,Froto!J78-Froto!K78)</f>
        <v>0</v>
      </c>
      <c r="K78" s="6">
        <f>IF(MID(K$1,6,1)="3",Froto!K78,Froto!K78-Froto!L78)</f>
        <v>0</v>
      </c>
      <c r="L78" s="6">
        <f>IF(MID(L$1,6,1)="3",Froto!L78,Froto!L78-Froto!M78)</f>
        <v>0</v>
      </c>
      <c r="M78" s="6">
        <f>IF(MID(M$1,6,1)="3",Froto!M78,Froto!M78-Froto!N78)</f>
        <v>0</v>
      </c>
      <c r="N78" s="6">
        <f>IF(MID(N$1,6,1)="3",Froto!N78,Froto!N78-Froto!O78)</f>
        <v>0</v>
      </c>
      <c r="O78" s="6">
        <f>IF(MID(O$1,6,1)="3",Froto!O78,Froto!O78-Froto!P78)</f>
        <v>0</v>
      </c>
      <c r="P78" s="6">
        <f>IF(MID(P$1,6,1)="3",Froto!P78,Froto!P78-Froto!Q78)</f>
        <v>0</v>
      </c>
      <c r="Q78" s="6">
        <f>IF(MID(Q$1,6,1)="3",Froto!Q78,Froto!Q78-Froto!R78)</f>
        <v>0</v>
      </c>
      <c r="R78" s="6">
        <f>IF(MID(R$1,6,1)="3",Froto!R78,Froto!R78-Froto!S78)</f>
        <v>0</v>
      </c>
      <c r="S78" s="6">
        <f>IF(MID(S$1,6,1)="3",Froto!S78,Froto!S78-Froto!T78)</f>
        <v>0</v>
      </c>
      <c r="T78" s="6">
        <f>IF(MID(T$1,6,1)="3",Froto!T78,Froto!T78-Froto!U78)</f>
        <v>0</v>
      </c>
      <c r="U78" s="6">
        <f>IF(MID(U$1,6,1)="3",Froto!U78,Froto!U78-Froto!V78)</f>
        <v>0</v>
      </c>
    </row>
    <row r="79" spans="1:21" x14ac:dyDescent="0.25">
      <c r="A79" t="str">
        <f>Froto!A79</f>
        <v>Faiz, Ücret, Prim, Komisyon ve Diğer Giderler (-)</v>
      </c>
      <c r="B79" s="6">
        <f>IF(MID(B$1,6,1)="3",Froto!B79,Froto!B79-Froto!C79)</f>
        <v>0</v>
      </c>
      <c r="C79" s="6">
        <f>IF(MID(C$1,6,1)="3",Froto!C79,Froto!C79-Froto!D79)</f>
        <v>0</v>
      </c>
      <c r="D79" s="6">
        <f>IF(MID(D$1,6,1)="3",Froto!D79,Froto!D79-Froto!E79)</f>
        <v>0</v>
      </c>
      <c r="E79" s="6">
        <f>IF(MID(E$1,6,1)="3",Froto!E79,Froto!E79-Froto!F79)</f>
        <v>0</v>
      </c>
      <c r="F79" s="6">
        <f>IF(MID(F$1,6,1)="3",Froto!F79,Froto!F79-Froto!G79)</f>
        <v>0</v>
      </c>
      <c r="G79" s="6">
        <f>IF(MID(G$1,6,1)="3",Froto!G79,Froto!G79-Froto!H79)</f>
        <v>0</v>
      </c>
      <c r="H79" s="6">
        <f>IF(MID(H$1,6,1)="3",Froto!H79,Froto!H79-Froto!I79)</f>
        <v>0</v>
      </c>
      <c r="I79" s="6">
        <f>IF(MID(I$1,6,1)="3",Froto!I79,Froto!I79-Froto!J79)</f>
        <v>0</v>
      </c>
      <c r="J79" s="6">
        <f>IF(MID(J$1,6,1)="3",Froto!J79,Froto!J79-Froto!K79)</f>
        <v>0</v>
      </c>
      <c r="K79" s="6">
        <f>IF(MID(K$1,6,1)="3",Froto!K79,Froto!K79-Froto!L79)</f>
        <v>0</v>
      </c>
      <c r="L79" s="6">
        <f>IF(MID(L$1,6,1)="3",Froto!L79,Froto!L79-Froto!M79)</f>
        <v>0</v>
      </c>
      <c r="M79" s="6">
        <f>IF(MID(M$1,6,1)="3",Froto!M79,Froto!M79-Froto!N79)</f>
        <v>0</v>
      </c>
      <c r="N79" s="6">
        <f>IF(MID(N$1,6,1)="3",Froto!N79,Froto!N79-Froto!O79)</f>
        <v>0</v>
      </c>
      <c r="O79" s="6">
        <f>IF(MID(O$1,6,1)="3",Froto!O79,Froto!O79-Froto!P79)</f>
        <v>0</v>
      </c>
      <c r="P79" s="6">
        <f>IF(MID(P$1,6,1)="3",Froto!P79,Froto!P79-Froto!Q79)</f>
        <v>0</v>
      </c>
      <c r="Q79" s="6">
        <f>IF(MID(Q$1,6,1)="3",Froto!Q79,Froto!Q79-Froto!R79)</f>
        <v>0</v>
      </c>
      <c r="R79" s="6">
        <f>IF(MID(R$1,6,1)="3",Froto!R79,Froto!R79-Froto!S79)</f>
        <v>0</v>
      </c>
      <c r="S79" s="6">
        <f>IF(MID(S$1,6,1)="3",Froto!S79,Froto!S79-Froto!T79)</f>
        <v>0</v>
      </c>
      <c r="T79" s="6">
        <f>IF(MID(T$1,6,1)="3",Froto!T79,Froto!T79-Froto!U79)</f>
        <v>0</v>
      </c>
      <c r="U79" s="6">
        <f>IF(MID(U$1,6,1)="3",Froto!U79,Froto!U79-Froto!V79)</f>
        <v>0</v>
      </c>
    </row>
    <row r="80" spans="1:21" x14ac:dyDescent="0.25">
      <c r="A80" t="str">
        <f>Froto!A80</f>
        <v>Finans Sektörü Faaliyetlerinden Diğer Kar (Zarar)</v>
      </c>
      <c r="B80" s="6">
        <f>IF(MID(B$1,6,1)="3",Froto!B80,Froto!B80-Froto!C80)</f>
        <v>0</v>
      </c>
      <c r="C80" s="6">
        <f>IF(MID(C$1,6,1)="3",Froto!C80,Froto!C80-Froto!D80)</f>
        <v>0</v>
      </c>
      <c r="D80" s="6">
        <f>IF(MID(D$1,6,1)="3",Froto!D80,Froto!D80-Froto!E80)</f>
        <v>0</v>
      </c>
      <c r="E80" s="6">
        <f>IF(MID(E$1,6,1)="3",Froto!E80,Froto!E80-Froto!F80)</f>
        <v>0</v>
      </c>
      <c r="F80" s="6">
        <f>IF(MID(F$1,6,1)="3",Froto!F80,Froto!F80-Froto!G80)</f>
        <v>0</v>
      </c>
      <c r="G80" s="6">
        <f>IF(MID(G$1,6,1)="3",Froto!G80,Froto!G80-Froto!H80)</f>
        <v>0</v>
      </c>
      <c r="H80" s="6">
        <f>IF(MID(H$1,6,1)="3",Froto!H80,Froto!H80-Froto!I80)</f>
        <v>0</v>
      </c>
      <c r="I80" s="6">
        <f>IF(MID(I$1,6,1)="3",Froto!I80,Froto!I80-Froto!J80)</f>
        <v>0</v>
      </c>
      <c r="J80" s="6">
        <f>IF(MID(J$1,6,1)="3",Froto!J80,Froto!J80-Froto!K80)</f>
        <v>0</v>
      </c>
      <c r="K80" s="6">
        <f>IF(MID(K$1,6,1)="3",Froto!K80,Froto!K80-Froto!L80)</f>
        <v>0</v>
      </c>
      <c r="L80" s="6">
        <f>IF(MID(L$1,6,1)="3",Froto!L80,Froto!L80-Froto!M80)</f>
        <v>0</v>
      </c>
      <c r="M80" s="6">
        <f>IF(MID(M$1,6,1)="3",Froto!M80,Froto!M80-Froto!N80)</f>
        <v>0</v>
      </c>
      <c r="N80" s="6">
        <f>IF(MID(N$1,6,1)="3",Froto!N80,Froto!N80-Froto!O80)</f>
        <v>0</v>
      </c>
      <c r="O80" s="6">
        <f>IF(MID(O$1,6,1)="3",Froto!O80,Froto!O80-Froto!P80)</f>
        <v>0</v>
      </c>
      <c r="P80" s="6">
        <f>IF(MID(P$1,6,1)="3",Froto!P80,Froto!P80-Froto!Q80)</f>
        <v>0</v>
      </c>
      <c r="Q80" s="6">
        <f>IF(MID(Q$1,6,1)="3",Froto!Q80,Froto!Q80-Froto!R80)</f>
        <v>0</v>
      </c>
      <c r="R80" s="6">
        <f>IF(MID(R$1,6,1)="3",Froto!R80,Froto!R80-Froto!S80)</f>
        <v>0</v>
      </c>
      <c r="S80" s="6">
        <f>IF(MID(S$1,6,1)="3",Froto!S80,Froto!S80-Froto!T80)</f>
        <v>0</v>
      </c>
      <c r="T80" s="6">
        <f>IF(MID(T$1,6,1)="3",Froto!T80,Froto!T80-Froto!U80)</f>
        <v>0</v>
      </c>
      <c r="U80" s="6">
        <f>IF(MID(U$1,6,1)="3",Froto!U80,Froto!U80-Froto!V80)</f>
        <v>0</v>
      </c>
    </row>
    <row r="81" spans="1:21" x14ac:dyDescent="0.25">
      <c r="A81" t="str">
        <f>Froto!A81</f>
        <v>Finans Sektörü Faaliyetlerinden Brüt Kar (Zarar)</v>
      </c>
      <c r="B81" s="6">
        <f>IF(MID(B$1,6,1)="3",Froto!B81,Froto!B81-Froto!C81)</f>
        <v>0</v>
      </c>
      <c r="C81" s="6">
        <f>IF(MID(C$1,6,1)="3",Froto!C81,Froto!C81-Froto!D81)</f>
        <v>0</v>
      </c>
      <c r="D81" s="6">
        <f>IF(MID(D$1,6,1)="3",Froto!D81,Froto!D81-Froto!E81)</f>
        <v>0</v>
      </c>
      <c r="E81" s="6">
        <f>IF(MID(E$1,6,1)="3",Froto!E81,Froto!E81-Froto!F81)</f>
        <v>0</v>
      </c>
      <c r="F81" s="6">
        <f>IF(MID(F$1,6,1)="3",Froto!F81,Froto!F81-Froto!G81)</f>
        <v>0</v>
      </c>
      <c r="G81" s="6">
        <f>IF(MID(G$1,6,1)="3",Froto!G81,Froto!G81-Froto!H81)</f>
        <v>0</v>
      </c>
      <c r="H81" s="6">
        <f>IF(MID(H$1,6,1)="3",Froto!H81,Froto!H81-Froto!I81)</f>
        <v>0</v>
      </c>
      <c r="I81" s="6">
        <f>IF(MID(I$1,6,1)="3",Froto!I81,Froto!I81-Froto!J81)</f>
        <v>0</v>
      </c>
      <c r="J81" s="6">
        <f>IF(MID(J$1,6,1)="3",Froto!J81,Froto!J81-Froto!K81)</f>
        <v>0</v>
      </c>
      <c r="K81" s="6">
        <f>IF(MID(K$1,6,1)="3",Froto!K81,Froto!K81-Froto!L81)</f>
        <v>0</v>
      </c>
      <c r="L81" s="6">
        <f>IF(MID(L$1,6,1)="3",Froto!L81,Froto!L81-Froto!M81)</f>
        <v>0</v>
      </c>
      <c r="M81" s="6">
        <f>IF(MID(M$1,6,1)="3",Froto!M81,Froto!M81-Froto!N81)</f>
        <v>0</v>
      </c>
      <c r="N81" s="6">
        <f>IF(MID(N$1,6,1)="3",Froto!N81,Froto!N81-Froto!O81)</f>
        <v>0</v>
      </c>
      <c r="O81" s="6">
        <f>IF(MID(O$1,6,1)="3",Froto!O81,Froto!O81-Froto!P81)</f>
        <v>0</v>
      </c>
      <c r="P81" s="6">
        <f>IF(MID(P$1,6,1)="3",Froto!P81,Froto!P81-Froto!Q81)</f>
        <v>0</v>
      </c>
      <c r="Q81" s="6">
        <f>IF(MID(Q$1,6,1)="3",Froto!Q81,Froto!Q81-Froto!R81)</f>
        <v>0</v>
      </c>
      <c r="R81" s="6">
        <f>IF(MID(R$1,6,1)="3",Froto!R81,Froto!R81-Froto!S81)</f>
        <v>0</v>
      </c>
      <c r="S81" s="6">
        <f>IF(MID(S$1,6,1)="3",Froto!S81,Froto!S81-Froto!T81)</f>
        <v>0</v>
      </c>
      <c r="T81" s="6">
        <f>IF(MID(T$1,6,1)="3",Froto!T81,Froto!T81-Froto!U81)</f>
        <v>0</v>
      </c>
      <c r="U81" s="6">
        <f>IF(MID(U$1,6,1)="3",Froto!U81,Froto!U81-Froto!V81)</f>
        <v>0</v>
      </c>
    </row>
    <row r="82" spans="1:21" x14ac:dyDescent="0.25">
      <c r="A82" t="str">
        <f>Froto!A82</f>
        <v>Diğer Gelir ve Giderler</v>
      </c>
      <c r="B82" s="6">
        <f>IF(MID(B$1,6,1)="3",Froto!B82,Froto!B82-Froto!C82)</f>
        <v>0</v>
      </c>
      <c r="C82" s="6">
        <f>IF(MID(C$1,6,1)="3",Froto!C82,Froto!C82-Froto!D82)</f>
        <v>0</v>
      </c>
      <c r="D82" s="6">
        <f>IF(MID(D$1,6,1)="3",Froto!D82,Froto!D82-Froto!E82)</f>
        <v>0</v>
      </c>
      <c r="E82" s="6">
        <f>IF(MID(E$1,6,1)="3",Froto!E82,Froto!E82-Froto!F82)</f>
        <v>0</v>
      </c>
      <c r="F82" s="6">
        <f>IF(MID(F$1,6,1)="3",Froto!F82,Froto!F82-Froto!G82)</f>
        <v>0</v>
      </c>
      <c r="G82" s="6">
        <f>IF(MID(G$1,6,1)="3",Froto!G82,Froto!G82-Froto!H82)</f>
        <v>0</v>
      </c>
      <c r="H82" s="6">
        <f>IF(MID(H$1,6,1)="3",Froto!H82,Froto!H82-Froto!I82)</f>
        <v>0</v>
      </c>
      <c r="I82" s="6">
        <f>IF(MID(I$1,6,1)="3",Froto!I82,Froto!I82-Froto!J82)</f>
        <v>0</v>
      </c>
      <c r="J82" s="6">
        <f>IF(MID(J$1,6,1)="3",Froto!J82,Froto!J82-Froto!K82)</f>
        <v>0</v>
      </c>
      <c r="K82" s="6">
        <f>IF(MID(K$1,6,1)="3",Froto!K82,Froto!K82-Froto!L82)</f>
        <v>0</v>
      </c>
      <c r="L82" s="6">
        <f>IF(MID(L$1,6,1)="3",Froto!L82,Froto!L82-Froto!M82)</f>
        <v>0</v>
      </c>
      <c r="M82" s="6">
        <f>IF(MID(M$1,6,1)="3",Froto!M82,Froto!M82-Froto!N82)</f>
        <v>0</v>
      </c>
      <c r="N82" s="6">
        <f>IF(MID(N$1,6,1)="3",Froto!N82,Froto!N82-Froto!O82)</f>
        <v>0</v>
      </c>
      <c r="O82" s="6">
        <f>IF(MID(O$1,6,1)="3",Froto!O82,Froto!O82-Froto!P82)</f>
        <v>0</v>
      </c>
      <c r="P82" s="6">
        <f>IF(MID(P$1,6,1)="3",Froto!P82,Froto!P82-Froto!Q82)</f>
        <v>0</v>
      </c>
      <c r="Q82" s="6">
        <f>IF(MID(Q$1,6,1)="3",Froto!Q82,Froto!Q82-Froto!R82)</f>
        <v>0</v>
      </c>
      <c r="R82" s="6">
        <f>IF(MID(R$1,6,1)="3",Froto!R82,Froto!R82-Froto!S82)</f>
        <v>0</v>
      </c>
      <c r="S82" s="6">
        <f>IF(MID(S$1,6,1)="3",Froto!S82,Froto!S82-Froto!T82)</f>
        <v>0</v>
      </c>
      <c r="T82" s="6">
        <f>IF(MID(T$1,6,1)="3",Froto!T82,Froto!T82-Froto!U82)</f>
        <v>0</v>
      </c>
      <c r="U82" s="6">
        <f>IF(MID(U$1,6,1)="3",Froto!U82,Froto!U82-Froto!V82)</f>
        <v>0</v>
      </c>
    </row>
    <row r="83" spans="1:21" x14ac:dyDescent="0.25">
      <c r="A83" t="str">
        <f>Froto!A83</f>
        <v>BRÜT KAR (ZARAR)</v>
      </c>
      <c r="B83" s="6">
        <f>IF(MID(B$1,6,1)="3",Froto!B83,Froto!B83-Froto!C83)</f>
        <v>9381740000</v>
      </c>
      <c r="C83" s="6">
        <f>IF(MID(C$1,6,1)="3",Froto!C83,Froto!C83-Froto!D83)</f>
        <v>5687098000</v>
      </c>
      <c r="D83" s="6">
        <f>IF(MID(D$1,6,1)="3",Froto!D83,Froto!D83-Froto!E83)</f>
        <v>5153292000</v>
      </c>
      <c r="E83" s="6">
        <f>IF(MID(E$1,6,1)="3",Froto!E83,Froto!E83-Froto!F83)</f>
        <v>3719114000</v>
      </c>
      <c r="F83" s="6">
        <f>IF(MID(F$1,6,1)="3",Froto!F83,Froto!F83-Froto!G83)</f>
        <v>5249864000</v>
      </c>
      <c r="G83" s="6">
        <f>IF(MID(G$1,6,1)="3",Froto!G83,Froto!G83-Froto!H83)</f>
        <v>2319015000</v>
      </c>
      <c r="H83" s="6">
        <f>IF(MID(H$1,6,1)="3",Froto!H83,Froto!H83-Froto!I83)</f>
        <v>1517208000</v>
      </c>
      <c r="I83" s="6">
        <f>IF(MID(I$1,6,1)="3",Froto!I83,Froto!I83-Froto!J83)</f>
        <v>2068073000</v>
      </c>
      <c r="J83" s="6">
        <f>IF(MID(J$1,6,1)="3",Froto!J83,Froto!J83-Froto!K83)</f>
        <v>2787417000</v>
      </c>
      <c r="K83" s="6">
        <f>IF(MID(K$1,6,1)="3",Froto!K83,Froto!K83-Froto!L83)</f>
        <v>1648743000</v>
      </c>
      <c r="L83" s="6">
        <f>IF(MID(L$1,6,1)="3",Froto!L83,Froto!L83-Froto!M83)</f>
        <v>678852000</v>
      </c>
      <c r="M83" s="6">
        <f>IF(MID(M$1,6,1)="3",Froto!M83,Froto!M83-Froto!N83)</f>
        <v>1071517000</v>
      </c>
      <c r="N83" s="6">
        <f>IF(MID(N$1,6,1)="3",Froto!N83,Froto!N83-Froto!O83)</f>
        <v>1150594000</v>
      </c>
      <c r="O83" s="6">
        <f>IF(MID(O$1,6,1)="3",Froto!O83,Froto!O83-Froto!P83)</f>
        <v>949762000</v>
      </c>
      <c r="P83" s="6">
        <f>IF(MID(P$1,6,1)="3",Froto!P83,Froto!P83-Froto!Q83)</f>
        <v>971089000</v>
      </c>
      <c r="Q83" s="6">
        <f>IF(MID(Q$1,6,1)="3",Froto!Q83,Froto!Q83-Froto!R83)</f>
        <v>943772000</v>
      </c>
      <c r="R83" s="6">
        <f>IF(MID(R$1,6,1)="3",Froto!R83,Froto!R83-Froto!S83)</f>
        <v>957891000</v>
      </c>
      <c r="S83" s="6">
        <f>IF(MID(S$1,6,1)="3",Froto!S83,Froto!S83-Froto!T83)</f>
        <v>822085000</v>
      </c>
      <c r="T83" s="6">
        <f>IF(MID(T$1,6,1)="3",Froto!T83,Froto!T83-Froto!U83)</f>
        <v>921274000</v>
      </c>
      <c r="U83" s="6">
        <f>IF(MID(U$1,6,1)="3",Froto!U83,Froto!U83-Froto!V83)</f>
        <v>757321000</v>
      </c>
    </row>
    <row r="84" spans="1:21" x14ac:dyDescent="0.25">
      <c r="A84" t="str">
        <f>Froto!A84</f>
        <v>Pazarlama, Satış ve Dağıtım Giderleri (-)</v>
      </c>
      <c r="B84" s="6">
        <f>IF(MID(B$1,6,1)="3",Froto!B84,Froto!B84-Froto!C84)</f>
        <v>-1064181000</v>
      </c>
      <c r="C84" s="6">
        <f>IF(MID(C$1,6,1)="3",Froto!C84,Froto!C84-Froto!D84)</f>
        <v>-606218000</v>
      </c>
      <c r="D84" s="6">
        <f>IF(MID(D$1,6,1)="3",Froto!D84,Froto!D84-Froto!E84)</f>
        <v>-605526000</v>
      </c>
      <c r="E84" s="6">
        <f>IF(MID(E$1,6,1)="3",Froto!E84,Froto!E84-Froto!F84)</f>
        <v>-480099000</v>
      </c>
      <c r="F84" s="6">
        <f>IF(MID(F$1,6,1)="3",Froto!F84,Froto!F84-Froto!G84)</f>
        <v>-643023000</v>
      </c>
      <c r="G84" s="6">
        <f>IF(MID(G$1,6,1)="3",Froto!G84,Froto!G84-Froto!H84)</f>
        <v>-238918000</v>
      </c>
      <c r="H84" s="6">
        <f>IF(MID(H$1,6,1)="3",Froto!H84,Froto!H84-Froto!I84)</f>
        <v>-232435000</v>
      </c>
      <c r="I84" s="6">
        <f>IF(MID(I$1,6,1)="3",Froto!I84,Froto!I84-Froto!J84)</f>
        <v>-209224000</v>
      </c>
      <c r="J84" s="6">
        <f>IF(MID(J$1,6,1)="3",Froto!J84,Froto!J84-Froto!K84)</f>
        <v>-333040000</v>
      </c>
      <c r="K84" s="6">
        <f>IF(MID(K$1,6,1)="3",Froto!K84,Froto!K84-Froto!L84)</f>
        <v>-235300000</v>
      </c>
      <c r="L84" s="6">
        <f>IF(MID(L$1,6,1)="3",Froto!L84,Froto!L84-Froto!M84)</f>
        <v>-115843000</v>
      </c>
      <c r="M84" s="6">
        <f>IF(MID(M$1,6,1)="3",Froto!M84,Froto!M84-Froto!N84)</f>
        <v>-159382000</v>
      </c>
      <c r="N84" s="6">
        <f>IF(MID(N$1,6,1)="3",Froto!N84,Froto!N84-Froto!O84)</f>
        <v>-199090000</v>
      </c>
      <c r="O84" s="6">
        <f>IF(MID(O$1,6,1)="3",Froto!O84,Froto!O84-Froto!P84)</f>
        <v>-146904000</v>
      </c>
      <c r="P84" s="6">
        <f>IF(MID(P$1,6,1)="3",Froto!P84,Froto!P84-Froto!Q84)</f>
        <v>-152094000</v>
      </c>
      <c r="Q84" s="6">
        <f>IF(MID(Q$1,6,1)="3",Froto!Q84,Froto!Q84-Froto!R84)</f>
        <v>-151014000</v>
      </c>
      <c r="R84" s="6">
        <f>IF(MID(R$1,6,1)="3",Froto!R84,Froto!R84-Froto!S84)</f>
        <v>-133125000</v>
      </c>
      <c r="S84" s="6">
        <f>IF(MID(S$1,6,1)="3",Froto!S84,Froto!S84-Froto!T84)</f>
        <v>-121602000</v>
      </c>
      <c r="T84" s="6">
        <f>IF(MID(T$1,6,1)="3",Froto!T84,Froto!T84-Froto!U84)</f>
        <v>-134378000</v>
      </c>
      <c r="U84" s="6">
        <f>IF(MID(U$1,6,1)="3",Froto!U84,Froto!U84-Froto!V84)</f>
        <v>-118113000</v>
      </c>
    </row>
    <row r="85" spans="1:21" x14ac:dyDescent="0.25">
      <c r="A85" t="str">
        <f>Froto!A85</f>
        <v>Genel Yönetim Giderleri (-)</v>
      </c>
      <c r="B85" s="6">
        <f>IF(MID(B$1,6,1)="3",Froto!B85,Froto!B85-Froto!C85)</f>
        <v>-697331000</v>
      </c>
      <c r="C85" s="6">
        <f>IF(MID(C$1,6,1)="3",Froto!C85,Froto!C85-Froto!D85)</f>
        <v>-537148000</v>
      </c>
      <c r="D85" s="6">
        <f>IF(MID(D$1,6,1)="3",Froto!D85,Froto!D85-Froto!E85)</f>
        <v>-383760000</v>
      </c>
      <c r="E85" s="6">
        <f>IF(MID(E$1,6,1)="3",Froto!E85,Froto!E85-Froto!F85)</f>
        <v>-285627000</v>
      </c>
      <c r="F85" s="6">
        <f>IF(MID(F$1,6,1)="3",Froto!F85,Froto!F85-Froto!G85)</f>
        <v>-266932000</v>
      </c>
      <c r="G85" s="6">
        <f>IF(MID(G$1,6,1)="3",Froto!G85,Froto!G85-Froto!H85)</f>
        <v>-164237000</v>
      </c>
      <c r="H85" s="6">
        <f>IF(MID(H$1,6,1)="3",Froto!H85,Froto!H85-Froto!I85)</f>
        <v>-139213000</v>
      </c>
      <c r="I85" s="6">
        <f>IF(MID(I$1,6,1)="3",Froto!I85,Froto!I85-Froto!J85)</f>
        <v>-170047000</v>
      </c>
      <c r="J85" s="6">
        <f>IF(MID(J$1,6,1)="3",Froto!J85,Froto!J85-Froto!K85)</f>
        <v>-211132000</v>
      </c>
      <c r="K85" s="6">
        <f>IF(MID(K$1,6,1)="3",Froto!K85,Froto!K85-Froto!L85)</f>
        <v>-117449000</v>
      </c>
      <c r="L85" s="6">
        <f>IF(MID(L$1,6,1)="3",Froto!L85,Froto!L85-Froto!M85)</f>
        <v>-74375000</v>
      </c>
      <c r="M85" s="6">
        <f>IF(MID(M$1,6,1)="3",Froto!M85,Froto!M85-Froto!N85)</f>
        <v>-113732000</v>
      </c>
      <c r="N85" s="6">
        <f>IF(MID(N$1,6,1)="3",Froto!N85,Froto!N85-Froto!O85)</f>
        <v>-76237000</v>
      </c>
      <c r="O85" s="6">
        <f>IF(MID(O$1,6,1)="3",Froto!O85,Froto!O85-Froto!P85)</f>
        <v>-110057000</v>
      </c>
      <c r="P85" s="6">
        <f>IF(MID(P$1,6,1)="3",Froto!P85,Froto!P85-Froto!Q85)</f>
        <v>-100411000</v>
      </c>
      <c r="Q85" s="6">
        <f>IF(MID(Q$1,6,1)="3",Froto!Q85,Froto!Q85-Froto!R85)</f>
        <v>-86188000</v>
      </c>
      <c r="R85" s="6">
        <f>IF(MID(R$1,6,1)="3",Froto!R85,Froto!R85-Froto!S85)</f>
        <v>-70906000</v>
      </c>
      <c r="S85" s="6">
        <f>IF(MID(S$1,6,1)="3",Froto!S85,Froto!S85-Froto!T85)</f>
        <v>-83520000</v>
      </c>
      <c r="T85" s="6">
        <f>IF(MID(T$1,6,1)="3",Froto!T85,Froto!T85-Froto!U85)</f>
        <v>-82764000</v>
      </c>
      <c r="U85" s="6">
        <f>IF(MID(U$1,6,1)="3",Froto!U85,Froto!U85-Froto!V85)</f>
        <v>-74953000</v>
      </c>
    </row>
    <row r="86" spans="1:21" x14ac:dyDescent="0.25">
      <c r="A86" t="str">
        <f>Froto!A86</f>
        <v>Araştırma ve Geliştirme Giderleri (-)</v>
      </c>
      <c r="B86" s="6">
        <f>IF(MID(B$1,6,1)="3",Froto!B86,Froto!B86-Froto!C86)</f>
        <v>-509985000</v>
      </c>
      <c r="C86" s="6">
        <f>IF(MID(C$1,6,1)="3",Froto!C86,Froto!C86-Froto!D86)</f>
        <v>-357362000</v>
      </c>
      <c r="D86" s="6">
        <f>IF(MID(D$1,6,1)="3",Froto!D86,Froto!D86-Froto!E86)</f>
        <v>-304971000</v>
      </c>
      <c r="E86" s="6">
        <f>IF(MID(E$1,6,1)="3",Froto!E86,Froto!E86-Froto!F86)</f>
        <v>-276715000</v>
      </c>
      <c r="F86" s="6">
        <f>IF(MID(F$1,6,1)="3",Froto!F86,Froto!F86-Froto!G86)</f>
        <v>-264248000</v>
      </c>
      <c r="G86" s="6">
        <f>IF(MID(G$1,6,1)="3",Froto!G86,Froto!G86-Froto!H86)</f>
        <v>-141955000</v>
      </c>
      <c r="H86" s="6">
        <f>IF(MID(H$1,6,1)="3",Froto!H86,Froto!H86-Froto!I86)</f>
        <v>-144797000</v>
      </c>
      <c r="I86" s="6">
        <f>IF(MID(I$1,6,1)="3",Froto!I86,Froto!I86-Froto!J86)</f>
        <v>-129519000</v>
      </c>
      <c r="J86" s="6">
        <f>IF(MID(J$1,6,1)="3",Froto!J86,Froto!J86-Froto!K86)</f>
        <v>-163751000</v>
      </c>
      <c r="K86" s="6">
        <f>IF(MID(K$1,6,1)="3",Froto!K86,Froto!K86-Froto!L86)</f>
        <v>-91515000</v>
      </c>
      <c r="L86" s="6">
        <f>IF(MID(L$1,6,1)="3",Froto!L86,Froto!L86-Froto!M86)</f>
        <v>-83056000</v>
      </c>
      <c r="M86" s="6">
        <f>IF(MID(M$1,6,1)="3",Froto!M86,Froto!M86-Froto!N86)</f>
        <v>-121129000</v>
      </c>
      <c r="N86" s="6">
        <f>IF(MID(N$1,6,1)="3",Froto!N86,Froto!N86-Froto!O86)</f>
        <v>-114288000</v>
      </c>
      <c r="O86" s="6">
        <f>IF(MID(O$1,6,1)="3",Froto!O86,Froto!O86-Froto!P86)</f>
        <v>-87056000</v>
      </c>
      <c r="P86" s="6">
        <f>IF(MID(P$1,6,1)="3",Froto!P86,Froto!P86-Froto!Q86)</f>
        <v>-114296000</v>
      </c>
      <c r="Q86" s="6">
        <f>IF(MID(Q$1,6,1)="3",Froto!Q86,Froto!Q86-Froto!R86)</f>
        <v>-103943000</v>
      </c>
      <c r="R86" s="6">
        <f>IF(MID(R$1,6,1)="3",Froto!R86,Froto!R86-Froto!S86)</f>
        <v>-87303000</v>
      </c>
      <c r="S86" s="6">
        <f>IF(MID(S$1,6,1)="3",Froto!S86,Froto!S86-Froto!T86)</f>
        <v>-97683000</v>
      </c>
      <c r="T86" s="6">
        <f>IF(MID(T$1,6,1)="3",Froto!T86,Froto!T86-Froto!U86)</f>
        <v>-85002000</v>
      </c>
      <c r="U86" s="6">
        <f>IF(MID(U$1,6,1)="3",Froto!U86,Froto!U86-Froto!V86)</f>
        <v>-98580000</v>
      </c>
    </row>
    <row r="87" spans="1:21" x14ac:dyDescent="0.25">
      <c r="A87" t="str">
        <f>Froto!A87</f>
        <v>Diğer Faaliyet Gelirleri</v>
      </c>
      <c r="B87" s="6">
        <f>IF(MID(B$1,6,1)="3",Froto!B87,Froto!B87-Froto!C87)</f>
        <v>1511173000</v>
      </c>
      <c r="C87" s="6">
        <f>IF(MID(C$1,6,1)="3",Froto!C87,Froto!C87-Froto!D87)</f>
        <v>497049000</v>
      </c>
      <c r="D87" s="6">
        <f>IF(MID(D$1,6,1)="3",Froto!D87,Froto!D87-Froto!E87)</f>
        <v>596402000</v>
      </c>
      <c r="E87" s="6">
        <f>IF(MID(E$1,6,1)="3",Froto!E87,Froto!E87-Froto!F87)</f>
        <v>808270000</v>
      </c>
      <c r="F87" s="6">
        <f>IF(MID(F$1,6,1)="3",Froto!F87,Froto!F87-Froto!G87)</f>
        <v>1280509000</v>
      </c>
      <c r="G87" s="6">
        <f>IF(MID(G$1,6,1)="3",Froto!G87,Froto!G87-Froto!H87)</f>
        <v>228707000</v>
      </c>
      <c r="H87" s="6">
        <f>IF(MID(H$1,6,1)="3",Froto!H87,Froto!H87-Froto!I87)</f>
        <v>220536000</v>
      </c>
      <c r="I87" s="6">
        <f>IF(MID(I$1,6,1)="3",Froto!I87,Froto!I87-Froto!J87)</f>
        <v>381260000</v>
      </c>
      <c r="J87" s="6">
        <f>IF(MID(J$1,6,1)="3",Froto!J87,Froto!J87-Froto!K87)</f>
        <v>135396000</v>
      </c>
      <c r="K87" s="6">
        <f>IF(MID(K$1,6,1)="3",Froto!K87,Froto!K87-Froto!L87)</f>
        <v>386306000</v>
      </c>
      <c r="L87" s="6">
        <f>IF(MID(L$1,6,1)="3",Froto!L87,Froto!L87-Froto!M87)</f>
        <v>116016000</v>
      </c>
      <c r="M87" s="6">
        <f>IF(MID(M$1,6,1)="3",Froto!M87,Froto!M87-Froto!N87)</f>
        <v>217058000</v>
      </c>
      <c r="N87" s="6">
        <f>IF(MID(N$1,6,1)="3",Froto!N87,Froto!N87-Froto!O87)</f>
        <v>221826000</v>
      </c>
      <c r="O87" s="6">
        <f>IF(MID(O$1,6,1)="3",Froto!O87,Froto!O87-Froto!P87)</f>
        <v>72707000</v>
      </c>
      <c r="P87" s="6">
        <f>IF(MID(P$1,6,1)="3",Froto!P87,Froto!P87-Froto!Q87)</f>
        <v>177029000</v>
      </c>
      <c r="Q87" s="6">
        <f>IF(MID(Q$1,6,1)="3",Froto!Q87,Froto!Q87-Froto!R87)</f>
        <v>162216000</v>
      </c>
      <c r="R87" s="6">
        <f>IF(MID(R$1,6,1)="3",Froto!R87,Froto!R87-Froto!S87)</f>
        <v>-106320000</v>
      </c>
      <c r="S87" s="6">
        <f>IF(MID(S$1,6,1)="3",Froto!S87,Froto!S87-Froto!T87)</f>
        <v>364631000</v>
      </c>
      <c r="T87" s="6">
        <f>IF(MID(T$1,6,1)="3",Froto!T87,Froto!T87-Froto!U87)</f>
        <v>174245000</v>
      </c>
      <c r="U87" s="6">
        <f>IF(MID(U$1,6,1)="3",Froto!U87,Froto!U87-Froto!V87)</f>
        <v>148573000</v>
      </c>
    </row>
    <row r="88" spans="1:21" x14ac:dyDescent="0.25">
      <c r="A88" t="str">
        <f>Froto!A88</f>
        <v>Diğer Faaliyet Giderleri (-)</v>
      </c>
      <c r="B88" s="6">
        <f>IF(MID(B$1,6,1)="3",Froto!B88,Froto!B88-Froto!C88)</f>
        <v>-897241000</v>
      </c>
      <c r="C88" s="6">
        <f>IF(MID(C$1,6,1)="3",Froto!C88,Froto!C88-Froto!D88)</f>
        <v>-436461000</v>
      </c>
      <c r="D88" s="6">
        <f>IF(MID(D$1,6,1)="3",Froto!D88,Froto!D88-Froto!E88)</f>
        <v>-409009000</v>
      </c>
      <c r="E88" s="6">
        <f>IF(MID(E$1,6,1)="3",Froto!E88,Froto!E88-Froto!F88)</f>
        <v>-362161000</v>
      </c>
      <c r="F88" s="6">
        <f>IF(MID(F$1,6,1)="3",Froto!F88,Froto!F88-Froto!G88)</f>
        <v>-508223000</v>
      </c>
      <c r="G88" s="6">
        <f>IF(MID(G$1,6,1)="3",Froto!G88,Froto!G88-Froto!H88)</f>
        <v>-215056000</v>
      </c>
      <c r="H88" s="6">
        <f>IF(MID(H$1,6,1)="3",Froto!H88,Froto!H88-Froto!I88)</f>
        <v>-139715000</v>
      </c>
      <c r="I88" s="6">
        <f>IF(MID(I$1,6,1)="3",Froto!I88,Froto!I88-Froto!J88)</f>
        <v>-219887000</v>
      </c>
      <c r="J88" s="6">
        <f>IF(MID(J$1,6,1)="3",Froto!J88,Froto!J88-Froto!K88)</f>
        <v>-170892000</v>
      </c>
      <c r="K88" s="6">
        <f>IF(MID(K$1,6,1)="3",Froto!K88,Froto!K88-Froto!L88)</f>
        <v>-93640000</v>
      </c>
      <c r="L88" s="6">
        <f>IF(MID(L$1,6,1)="3",Froto!L88,Froto!L88-Froto!M88)</f>
        <v>-50732000</v>
      </c>
      <c r="M88" s="6">
        <f>IF(MID(M$1,6,1)="3",Froto!M88,Froto!M88-Froto!N88)</f>
        <v>-100676000</v>
      </c>
      <c r="N88" s="6">
        <f>IF(MID(N$1,6,1)="3",Froto!N88,Froto!N88-Froto!O88)</f>
        <v>-136123000</v>
      </c>
      <c r="O88" s="6">
        <f>IF(MID(O$1,6,1)="3",Froto!O88,Froto!O88-Froto!P88)</f>
        <v>-317829000</v>
      </c>
      <c r="P88" s="6">
        <f>IF(MID(P$1,6,1)="3",Froto!P88,Froto!P88-Froto!Q88)</f>
        <v>-169851000</v>
      </c>
      <c r="Q88" s="6">
        <f>IF(MID(Q$1,6,1)="3",Froto!Q88,Froto!Q88-Froto!R88)</f>
        <v>-161586000</v>
      </c>
      <c r="R88" s="6">
        <f>IF(MID(R$1,6,1)="3",Froto!R88,Froto!R88-Froto!S88)</f>
        <v>-143664000</v>
      </c>
      <c r="S88" s="6">
        <f>IF(MID(S$1,6,1)="3",Froto!S88,Froto!S88-Froto!T88)</f>
        <v>-154158000</v>
      </c>
      <c r="T88" s="6">
        <f>IF(MID(T$1,6,1)="3",Froto!T88,Froto!T88-Froto!U88)</f>
        <v>-168190000</v>
      </c>
      <c r="U88" s="6">
        <f>IF(MID(U$1,6,1)="3",Froto!U88,Froto!U88-Froto!V88)</f>
        <v>-100886000</v>
      </c>
    </row>
    <row r="89" spans="1:21" x14ac:dyDescent="0.25">
      <c r="A89" t="str">
        <f>Froto!A89</f>
        <v>Faaliyet Karı Öncesi Diğer Gelir ve Giderler</v>
      </c>
      <c r="B89" s="6">
        <f>IF(MID(B$1,6,1)="3",Froto!B89,Froto!B89-Froto!C89)</f>
        <v>0</v>
      </c>
      <c r="C89" s="6">
        <f>IF(MID(C$1,6,1)="3",Froto!C89,Froto!C89-Froto!D89)</f>
        <v>0</v>
      </c>
      <c r="D89" s="6">
        <f>IF(MID(D$1,6,1)="3",Froto!D89,Froto!D89-Froto!E89)</f>
        <v>0</v>
      </c>
      <c r="E89" s="6">
        <f>IF(MID(E$1,6,1)="3",Froto!E89,Froto!E89-Froto!F89)</f>
        <v>0</v>
      </c>
      <c r="F89" s="6">
        <f>IF(MID(F$1,6,1)="3",Froto!F89,Froto!F89-Froto!G89)</f>
        <v>0</v>
      </c>
      <c r="G89" s="6">
        <f>IF(MID(G$1,6,1)="3",Froto!G89,Froto!G89-Froto!H89)</f>
        <v>0</v>
      </c>
      <c r="H89" s="6">
        <f>IF(MID(H$1,6,1)="3",Froto!H89,Froto!H89-Froto!I89)</f>
        <v>0</v>
      </c>
      <c r="I89" s="6">
        <f>IF(MID(I$1,6,1)="3",Froto!I89,Froto!I89-Froto!J89)</f>
        <v>0</v>
      </c>
      <c r="J89" s="6">
        <f>IF(MID(J$1,6,1)="3",Froto!J89,Froto!J89-Froto!K89)</f>
        <v>0</v>
      </c>
      <c r="K89" s="6">
        <f>IF(MID(K$1,6,1)="3",Froto!K89,Froto!K89-Froto!L89)</f>
        <v>0</v>
      </c>
      <c r="L89" s="6">
        <f>IF(MID(L$1,6,1)="3",Froto!L89,Froto!L89-Froto!M89)</f>
        <v>0</v>
      </c>
      <c r="M89" s="6">
        <f>IF(MID(M$1,6,1)="3",Froto!M89,Froto!M89-Froto!N89)</f>
        <v>0</v>
      </c>
      <c r="N89" s="6">
        <f>IF(MID(N$1,6,1)="3",Froto!N89,Froto!N89-Froto!O89)</f>
        <v>0</v>
      </c>
      <c r="O89" s="6">
        <f>IF(MID(O$1,6,1)="3",Froto!O89,Froto!O89-Froto!P89)</f>
        <v>0</v>
      </c>
      <c r="P89" s="6">
        <f>IF(MID(P$1,6,1)="3",Froto!P89,Froto!P89-Froto!Q89)</f>
        <v>0</v>
      </c>
      <c r="Q89" s="6">
        <f>IF(MID(Q$1,6,1)="3",Froto!Q89,Froto!Q89-Froto!R89)</f>
        <v>0</v>
      </c>
      <c r="R89" s="6">
        <f>IF(MID(R$1,6,1)="3",Froto!R89,Froto!R89-Froto!S89)</f>
        <v>0</v>
      </c>
      <c r="S89" s="6">
        <f>IF(MID(S$1,6,1)="3",Froto!S89,Froto!S89-Froto!T89)</f>
        <v>0</v>
      </c>
      <c r="T89" s="6">
        <f>IF(MID(T$1,6,1)="3",Froto!T89,Froto!T89-Froto!U89)</f>
        <v>0</v>
      </c>
      <c r="U89" s="6">
        <f>IF(MID(U$1,6,1)="3",Froto!U89,Froto!U89-Froto!V89)</f>
        <v>0</v>
      </c>
    </row>
    <row r="90" spans="1:21" x14ac:dyDescent="0.25">
      <c r="A90" t="str">
        <f>Froto!A90</f>
        <v>FAALİYET KARI (ZARARI)</v>
      </c>
      <c r="B90" s="6">
        <f>IF(MID(B$1,6,1)="3",Froto!B90,Froto!B90-Froto!C90)</f>
        <v>7724175000</v>
      </c>
      <c r="C90" s="6">
        <f>IF(MID(C$1,6,1)="3",Froto!C90,Froto!C90-Froto!D90)</f>
        <v>4246958000</v>
      </c>
      <c r="D90" s="6">
        <f>IF(MID(D$1,6,1)="3",Froto!D90,Froto!D90-Froto!E90)</f>
        <v>4046428000</v>
      </c>
      <c r="E90" s="6">
        <f>IF(MID(E$1,6,1)="3",Froto!E90,Froto!E90-Froto!F90)</f>
        <v>3122782000</v>
      </c>
      <c r="F90" s="6">
        <f>IF(MID(F$1,6,1)="3",Froto!F90,Froto!F90-Froto!G90)</f>
        <v>4847947000</v>
      </c>
      <c r="G90" s="6">
        <f>IF(MID(G$1,6,1)="3",Froto!G90,Froto!G90-Froto!H90)</f>
        <v>1787556000</v>
      </c>
      <c r="H90" s="6">
        <f>IF(MID(H$1,6,1)="3",Froto!H90,Froto!H90-Froto!I90)</f>
        <v>1081584000</v>
      </c>
      <c r="I90" s="6">
        <f>IF(MID(I$1,6,1)="3",Froto!I90,Froto!I90-Froto!J90)</f>
        <v>1720656000</v>
      </c>
      <c r="J90" s="6">
        <f>IF(MID(J$1,6,1)="3",Froto!J90,Froto!J90-Froto!K90)</f>
        <v>2043998000</v>
      </c>
      <c r="K90" s="6">
        <f>IF(MID(K$1,6,1)="3",Froto!K90,Froto!K90-Froto!L90)</f>
        <v>1497145000</v>
      </c>
      <c r="L90" s="6">
        <f>IF(MID(L$1,6,1)="3",Froto!L90,Froto!L90-Froto!M90)</f>
        <v>470862000</v>
      </c>
      <c r="M90" s="6">
        <f>IF(MID(M$1,6,1)="3",Froto!M90,Froto!M90-Froto!N90)</f>
        <v>793656000</v>
      </c>
      <c r="N90" s="6">
        <f>IF(MID(N$1,6,1)="3",Froto!N90,Froto!N90-Froto!O90)</f>
        <v>846682000</v>
      </c>
      <c r="O90" s="6">
        <f>IF(MID(O$1,6,1)="3",Froto!O90,Froto!O90-Froto!P90)</f>
        <v>360623000</v>
      </c>
      <c r="P90" s="6">
        <f>IF(MID(P$1,6,1)="3",Froto!P90,Froto!P90-Froto!Q90)</f>
        <v>611466000</v>
      </c>
      <c r="Q90" s="6">
        <f>IF(MID(Q$1,6,1)="3",Froto!Q90,Froto!Q90-Froto!R90)</f>
        <v>603257000</v>
      </c>
      <c r="R90" s="6">
        <f>IF(MID(R$1,6,1)="3",Froto!R90,Froto!R90-Froto!S90)</f>
        <v>416573000</v>
      </c>
      <c r="S90" s="6">
        <f>IF(MID(S$1,6,1)="3",Froto!S90,Froto!S90-Froto!T90)</f>
        <v>729753000</v>
      </c>
      <c r="T90" s="6">
        <f>IF(MID(T$1,6,1)="3",Froto!T90,Froto!T90-Froto!U90)</f>
        <v>625185000</v>
      </c>
      <c r="U90" s="6">
        <f>IF(MID(U$1,6,1)="3",Froto!U90,Froto!U90-Froto!V90)</f>
        <v>513362000</v>
      </c>
    </row>
    <row r="91" spans="1:21" x14ac:dyDescent="0.25">
      <c r="A91" t="str">
        <f>Froto!A91</f>
        <v>Net Faaliyet Kar/Zararı</v>
      </c>
      <c r="B91" s="6">
        <f>IF(MID(B$1,6,1)="3",Froto!B91,Froto!B91-Froto!C91)</f>
        <v>7110243000</v>
      </c>
      <c r="C91" s="6">
        <f>IF(MID(C$1,6,1)="3",Froto!C91,Froto!C91-Froto!D91)</f>
        <v>4186370000</v>
      </c>
      <c r="D91" s="6">
        <f>IF(MID(D$1,6,1)="3",Froto!D91,Froto!D91-Froto!E91)</f>
        <v>3859035000</v>
      </c>
      <c r="E91" s="6">
        <f>IF(MID(E$1,6,1)="3",Froto!E91,Froto!E91-Froto!F91)</f>
        <v>2676673000</v>
      </c>
      <c r="F91" s="6">
        <f>IF(MID(F$1,6,1)="3",Froto!F91,Froto!F91-Froto!G91)</f>
        <v>4075661000</v>
      </c>
      <c r="G91" s="6">
        <f>IF(MID(G$1,6,1)="3",Froto!G91,Froto!G91-Froto!H91)</f>
        <v>1773905000</v>
      </c>
      <c r="H91" s="6">
        <f>IF(MID(H$1,6,1)="3",Froto!H91,Froto!H91-Froto!I91)</f>
        <v>1000763000</v>
      </c>
      <c r="I91" s="6">
        <f>IF(MID(I$1,6,1)="3",Froto!I91,Froto!I91-Froto!J91)</f>
        <v>1559283000</v>
      </c>
      <c r="J91" s="6">
        <f>IF(MID(J$1,6,1)="3",Froto!J91,Froto!J91-Froto!K91)</f>
        <v>2079494000</v>
      </c>
      <c r="K91" s="6">
        <f>IF(MID(K$1,6,1)="3",Froto!K91,Froto!K91-Froto!L91)</f>
        <v>1204479000</v>
      </c>
      <c r="L91" s="6">
        <f>IF(MID(L$1,6,1)="3",Froto!L91,Froto!L91-Froto!M91)</f>
        <v>405578000</v>
      </c>
      <c r="M91" s="6">
        <f>IF(MID(M$1,6,1)="3",Froto!M91,Froto!M91-Froto!N91)</f>
        <v>677274000</v>
      </c>
      <c r="N91" s="6">
        <f>IF(MID(N$1,6,1)="3",Froto!N91,Froto!N91-Froto!O91)</f>
        <v>760979000</v>
      </c>
      <c r="O91" s="6">
        <f>IF(MID(O$1,6,1)="3",Froto!O91,Froto!O91-Froto!P91)</f>
        <v>605745000</v>
      </c>
      <c r="P91" s="6">
        <f>IF(MID(P$1,6,1)="3",Froto!P91,Froto!P91-Froto!Q91)</f>
        <v>604288000</v>
      </c>
      <c r="Q91" s="6">
        <f>IF(MID(Q$1,6,1)="3",Froto!Q91,Froto!Q91-Froto!R91)</f>
        <v>602627000</v>
      </c>
      <c r="R91" s="6">
        <f>IF(MID(R$1,6,1)="3",Froto!R91,Froto!R91-Froto!S91)</f>
        <v>666557000</v>
      </c>
      <c r="S91" s="6">
        <f>IF(MID(S$1,6,1)="3",Froto!S91,Froto!S91-Froto!T91)</f>
        <v>519280000</v>
      </c>
      <c r="T91" s="6">
        <f>IF(MID(T$1,6,1)="3",Froto!T91,Froto!T91-Froto!U91)</f>
        <v>619130000</v>
      </c>
      <c r="U91" s="6">
        <f>IF(MID(U$1,6,1)="3",Froto!U91,Froto!U91-Froto!V91)</f>
        <v>465675000</v>
      </c>
    </row>
    <row r="92" spans="1:21" x14ac:dyDescent="0.25">
      <c r="A92" t="str">
        <f>Froto!A92</f>
        <v xml:space="preserve">  Yatırım Faaliyetlerinden Gelirler</v>
      </c>
      <c r="B92" s="6">
        <f>IF(MID(B$1,6,1)="3",Froto!B92,Froto!B92-Froto!C92)</f>
        <v>7983000</v>
      </c>
      <c r="C92" s="6">
        <f>IF(MID(C$1,6,1)="3",Froto!C92,Froto!C92-Froto!D92)</f>
        <v>7833000</v>
      </c>
      <c r="D92" s="6">
        <f>IF(MID(D$1,6,1)="3",Froto!D92,Froto!D92-Froto!E92)</f>
        <v>1596000</v>
      </c>
      <c r="E92" s="6">
        <f>IF(MID(E$1,6,1)="3",Froto!E92,Froto!E92-Froto!F92)</f>
        <v>3601000</v>
      </c>
      <c r="F92" s="6">
        <f>IF(MID(F$1,6,1)="3",Froto!F92,Froto!F92-Froto!G92)</f>
        <v>0</v>
      </c>
      <c r="G92" s="6">
        <f>IF(MID(G$1,6,1)="3",Froto!G92,Froto!G92-Froto!H92)</f>
        <v>0</v>
      </c>
      <c r="H92" s="6">
        <f>IF(MID(H$1,6,1)="3",Froto!H92,Froto!H92-Froto!I92)</f>
        <v>0</v>
      </c>
      <c r="I92" s="6">
        <f>IF(MID(I$1,6,1)="3",Froto!I92,Froto!I92-Froto!J92)</f>
        <v>2464000</v>
      </c>
      <c r="J92" s="6">
        <f>IF(MID(J$1,6,1)="3",Froto!J92,Froto!J92-Froto!K92)</f>
        <v>0</v>
      </c>
      <c r="K92" s="6">
        <f>IF(MID(K$1,6,1)="3",Froto!K92,Froto!K92-Froto!L92)</f>
        <v>1377000</v>
      </c>
      <c r="L92" s="6">
        <f>IF(MID(L$1,6,1)="3",Froto!L92,Froto!L92-Froto!M92)</f>
        <v>0</v>
      </c>
      <c r="M92" s="6">
        <f>IF(MID(M$1,6,1)="3",Froto!M92,Froto!M92-Froto!N92)</f>
        <v>1172000</v>
      </c>
      <c r="N92" s="6">
        <f>IF(MID(N$1,6,1)="3",Froto!N92,Froto!N92-Froto!O92)</f>
        <v>0</v>
      </c>
      <c r="O92" s="6">
        <f>IF(MID(O$1,6,1)="3",Froto!O92,Froto!O92-Froto!P92)</f>
        <v>0</v>
      </c>
      <c r="P92" s="6">
        <f>IF(MID(P$1,6,1)="3",Froto!P92,Froto!P92-Froto!Q92)</f>
        <v>0</v>
      </c>
      <c r="Q92" s="6">
        <f>IF(MID(Q$1,6,1)="3",Froto!Q92,Froto!Q92-Froto!R92)</f>
        <v>422000</v>
      </c>
      <c r="R92" s="6">
        <f>IF(MID(R$1,6,1)="3",Froto!R92,Froto!R92-Froto!S92)</f>
        <v>0</v>
      </c>
      <c r="S92" s="6">
        <f>IF(MID(S$1,6,1)="3",Froto!S92,Froto!S92-Froto!T92)</f>
        <v>0</v>
      </c>
      <c r="T92" s="6">
        <f>IF(MID(T$1,6,1)="3",Froto!T92,Froto!T92-Froto!U92)</f>
        <v>0</v>
      </c>
      <c r="U92" s="6">
        <f>IF(MID(U$1,6,1)="3",Froto!U92,Froto!U92-Froto!V92)</f>
        <v>410000</v>
      </c>
    </row>
    <row r="93" spans="1:21" x14ac:dyDescent="0.25">
      <c r="A93" t="str">
        <f>Froto!A93</f>
        <v xml:space="preserve">  Yatırım Faaliyetlerinden Giderler (-)</v>
      </c>
      <c r="B93" s="6">
        <f>IF(MID(B$1,6,1)="3",Froto!B93,Froto!B93-Froto!C93)</f>
        <v>-12888000</v>
      </c>
      <c r="C93" s="6">
        <f>IF(MID(C$1,6,1)="3",Froto!C93,Froto!C93-Froto!D93)</f>
        <v>-4779000</v>
      </c>
      <c r="D93" s="6">
        <f>IF(MID(D$1,6,1)="3",Froto!D93,Froto!D93-Froto!E93)</f>
        <v>-1037000</v>
      </c>
      <c r="E93" s="6">
        <f>IF(MID(E$1,6,1)="3",Froto!E93,Froto!E93-Froto!F93)</f>
        <v>-16226000</v>
      </c>
      <c r="F93" s="6">
        <f>IF(MID(F$1,6,1)="3",Froto!F93,Froto!F93-Froto!G93)</f>
        <v>-2847000</v>
      </c>
      <c r="G93" s="6">
        <f>IF(MID(G$1,6,1)="3",Froto!G93,Froto!G93-Froto!H93)</f>
        <v>-33248000</v>
      </c>
      <c r="H93" s="6">
        <f>IF(MID(H$1,6,1)="3",Froto!H93,Froto!H93-Froto!I93)</f>
        <v>-1466000</v>
      </c>
      <c r="I93" s="6">
        <f>IF(MID(I$1,6,1)="3",Froto!I93,Froto!I93-Froto!J93)</f>
        <v>0</v>
      </c>
      <c r="J93" s="6">
        <f>IF(MID(J$1,6,1)="3",Froto!J93,Froto!J93-Froto!K93)</f>
        <v>-631000</v>
      </c>
      <c r="K93" s="6">
        <f>IF(MID(K$1,6,1)="3",Froto!K93,Froto!K93-Froto!L93)</f>
        <v>0</v>
      </c>
      <c r="L93" s="6">
        <f>IF(MID(L$1,6,1)="3",Froto!L93,Froto!L93-Froto!M93)</f>
        <v>-442000</v>
      </c>
      <c r="M93" s="6">
        <f>IF(MID(M$1,6,1)="3",Froto!M93,Froto!M93-Froto!N93)</f>
        <v>-286000</v>
      </c>
      <c r="N93" s="6">
        <f>IF(MID(N$1,6,1)="3",Froto!N93,Froto!N93-Froto!O93)</f>
        <v>448000</v>
      </c>
      <c r="O93" s="6">
        <f>IF(MID(O$1,6,1)="3",Froto!O93,Froto!O93-Froto!P93)</f>
        <v>-51000</v>
      </c>
      <c r="P93" s="6">
        <f>IF(MID(P$1,6,1)="3",Froto!P93,Froto!P93-Froto!Q93)</f>
        <v>-235000</v>
      </c>
      <c r="Q93" s="6">
        <f>IF(MID(Q$1,6,1)="3",Froto!Q93,Froto!Q93-Froto!R93)</f>
        <v>-876000</v>
      </c>
      <c r="R93" s="6">
        <f>IF(MID(R$1,6,1)="3",Froto!R93,Froto!R93-Froto!S93)</f>
        <v>-239000</v>
      </c>
      <c r="S93" s="6">
        <f>IF(MID(S$1,6,1)="3",Froto!S93,Froto!S93-Froto!T93)</f>
        <v>-1446000</v>
      </c>
      <c r="T93" s="6">
        <f>IF(MID(T$1,6,1)="3",Froto!T93,Froto!T93-Froto!U93)</f>
        <v>-690000</v>
      </c>
      <c r="U93" s="6">
        <f>IF(MID(U$1,6,1)="3",Froto!U93,Froto!U93-Froto!V93)</f>
        <v>-1480000</v>
      </c>
    </row>
    <row r="94" spans="1:21" x14ac:dyDescent="0.25">
      <c r="A94" t="str">
        <f>Froto!A94</f>
        <v xml:space="preserve">  Diğer Gelir ve Giderler</v>
      </c>
      <c r="B94" s="6">
        <f>IF(MID(B$1,6,1)="3",Froto!B94,Froto!B94-Froto!C94)</f>
        <v>0</v>
      </c>
      <c r="C94" s="6">
        <f>IF(MID(C$1,6,1)="3",Froto!C94,Froto!C94-Froto!D94)</f>
        <v>0</v>
      </c>
      <c r="D94" s="6">
        <f>IF(MID(D$1,6,1)="3",Froto!D94,Froto!D94-Froto!E94)</f>
        <v>0</v>
      </c>
      <c r="E94" s="6">
        <f>IF(MID(E$1,6,1)="3",Froto!E94,Froto!E94-Froto!F94)</f>
        <v>0</v>
      </c>
      <c r="F94" s="6">
        <f>IF(MID(F$1,6,1)="3",Froto!F94,Froto!F94-Froto!G94)</f>
        <v>0</v>
      </c>
      <c r="G94" s="6">
        <f>IF(MID(G$1,6,1)="3",Froto!G94,Froto!G94-Froto!H94)</f>
        <v>0</v>
      </c>
      <c r="H94" s="6">
        <f>IF(MID(H$1,6,1)="3",Froto!H94,Froto!H94-Froto!I94)</f>
        <v>0</v>
      </c>
      <c r="I94" s="6">
        <f>IF(MID(I$1,6,1)="3",Froto!I94,Froto!I94-Froto!J94)</f>
        <v>0</v>
      </c>
      <c r="J94" s="6">
        <f>IF(MID(J$1,6,1)="3",Froto!J94,Froto!J94-Froto!K94)</f>
        <v>0</v>
      </c>
      <c r="K94" s="6">
        <f>IF(MID(K$1,6,1)="3",Froto!K94,Froto!K94-Froto!L94)</f>
        <v>0</v>
      </c>
      <c r="L94" s="6">
        <f>IF(MID(L$1,6,1)="3",Froto!L94,Froto!L94-Froto!M94)</f>
        <v>0</v>
      </c>
      <c r="M94" s="6">
        <f>IF(MID(M$1,6,1)="3",Froto!M94,Froto!M94-Froto!N94)</f>
        <v>0</v>
      </c>
      <c r="N94" s="6">
        <f>IF(MID(N$1,6,1)="3",Froto!N94,Froto!N94-Froto!O94)</f>
        <v>0</v>
      </c>
      <c r="O94" s="6">
        <f>IF(MID(O$1,6,1)="3",Froto!O94,Froto!O94-Froto!P94)</f>
        <v>0</v>
      </c>
      <c r="P94" s="6">
        <f>IF(MID(P$1,6,1)="3",Froto!P94,Froto!P94-Froto!Q94)</f>
        <v>0</v>
      </c>
      <c r="Q94" s="6">
        <f>IF(MID(Q$1,6,1)="3",Froto!Q94,Froto!Q94-Froto!R94)</f>
        <v>0</v>
      </c>
      <c r="R94" s="6">
        <f>IF(MID(R$1,6,1)="3",Froto!R94,Froto!R94-Froto!S94)</f>
        <v>0</v>
      </c>
      <c r="S94" s="6">
        <f>IF(MID(S$1,6,1)="3",Froto!S94,Froto!S94-Froto!T94)</f>
        <v>0</v>
      </c>
      <c r="T94" s="6">
        <f>IF(MID(T$1,6,1)="3",Froto!T94,Froto!T94-Froto!U94)</f>
        <v>0</v>
      </c>
      <c r="U94" s="6">
        <f>IF(MID(U$1,6,1)="3",Froto!U94,Froto!U94-Froto!V94)</f>
        <v>0</v>
      </c>
    </row>
    <row r="95" spans="1:21" x14ac:dyDescent="0.25">
      <c r="A95" t="str">
        <f>Froto!A95</f>
        <v>Özkaynak Yöntemiyle Değerlenen Yatırımların Kar/Zararlarındaki Paylar</v>
      </c>
      <c r="B95" s="6">
        <f>IF(MID(B$1,6,1)="3",Froto!B95,Froto!B95-Froto!C95)</f>
        <v>0</v>
      </c>
      <c r="C95" s="6">
        <f>IF(MID(C$1,6,1)="3",Froto!C95,Froto!C95-Froto!D95)</f>
        <v>0</v>
      </c>
      <c r="D95" s="6">
        <f>IF(MID(D$1,6,1)="3",Froto!D95,Froto!D95-Froto!E95)</f>
        <v>0</v>
      </c>
      <c r="E95" s="6">
        <f>IF(MID(E$1,6,1)="3",Froto!E95,Froto!E95-Froto!F95)</f>
        <v>0</v>
      </c>
      <c r="F95" s="6">
        <f>IF(MID(F$1,6,1)="3",Froto!F95,Froto!F95-Froto!G95)</f>
        <v>0</v>
      </c>
      <c r="G95" s="6">
        <f>IF(MID(G$1,6,1)="3",Froto!G95,Froto!G95-Froto!H95)</f>
        <v>0</v>
      </c>
      <c r="H95" s="6">
        <f>IF(MID(H$1,6,1)="3",Froto!H95,Froto!H95-Froto!I95)</f>
        <v>0</v>
      </c>
      <c r="I95" s="6">
        <f>IF(MID(I$1,6,1)="3",Froto!I95,Froto!I95-Froto!J95)</f>
        <v>0</v>
      </c>
      <c r="J95" s="6">
        <f>IF(MID(J$1,6,1)="3",Froto!J95,Froto!J95-Froto!K95)</f>
        <v>0</v>
      </c>
      <c r="K95" s="6">
        <f>IF(MID(K$1,6,1)="3",Froto!K95,Froto!K95-Froto!L95)</f>
        <v>0</v>
      </c>
      <c r="L95" s="6">
        <f>IF(MID(L$1,6,1)="3",Froto!L95,Froto!L95-Froto!M95)</f>
        <v>0</v>
      </c>
      <c r="M95" s="6">
        <f>IF(MID(M$1,6,1)="3",Froto!M95,Froto!M95-Froto!N95)</f>
        <v>0</v>
      </c>
      <c r="N95" s="6">
        <f>IF(MID(N$1,6,1)="3",Froto!N95,Froto!N95-Froto!O95)</f>
        <v>0</v>
      </c>
      <c r="O95" s="6">
        <f>IF(MID(O$1,6,1)="3",Froto!O95,Froto!O95-Froto!P95)</f>
        <v>-783000</v>
      </c>
      <c r="P95" s="6">
        <f>IF(MID(P$1,6,1)="3",Froto!P95,Froto!P95-Froto!Q95)</f>
        <v>-118000</v>
      </c>
      <c r="Q95" s="6">
        <f>IF(MID(Q$1,6,1)="3",Froto!Q95,Froto!Q95-Froto!R95)</f>
        <v>-32000</v>
      </c>
      <c r="R95" s="6">
        <f>IF(MID(R$1,6,1)="3",Froto!R95,Froto!R95-Froto!S95)</f>
        <v>-73000</v>
      </c>
      <c r="S95" s="6">
        <f>IF(MID(S$1,6,1)="3",Froto!S95,Froto!S95-Froto!T95)</f>
        <v>-21000</v>
      </c>
      <c r="T95" s="6">
        <f>IF(MID(T$1,6,1)="3",Froto!T95,Froto!T95-Froto!U95)</f>
        <v>0</v>
      </c>
      <c r="U95" s="6">
        <f>IF(MID(U$1,6,1)="3",Froto!U95,Froto!U95-Froto!V95)</f>
        <v>0</v>
      </c>
    </row>
    <row r="96" spans="1:21" x14ac:dyDescent="0.25">
      <c r="A96" t="str">
        <f>Froto!A96</f>
        <v>Finansman Gideri Öncesi Faaliyet Karı/Zararı</v>
      </c>
      <c r="B96" s="6">
        <f>IF(MID(B$1,6,1)="3",Froto!B96,Froto!B96-Froto!C96)</f>
        <v>7719270000</v>
      </c>
      <c r="C96" s="6">
        <f>IF(MID(C$1,6,1)="3",Froto!C96,Froto!C96-Froto!D96)</f>
        <v>4250012000</v>
      </c>
      <c r="D96" s="6">
        <f>IF(MID(D$1,6,1)="3",Froto!D96,Froto!D96-Froto!E96)</f>
        <v>4046987000</v>
      </c>
      <c r="E96" s="6">
        <f>IF(MID(E$1,6,1)="3",Froto!E96,Froto!E96-Froto!F96)</f>
        <v>3110157000</v>
      </c>
      <c r="F96" s="6">
        <f>IF(MID(F$1,6,1)="3",Froto!F96,Froto!F96-Froto!G96)</f>
        <v>4845100000</v>
      </c>
      <c r="G96" s="6">
        <f>IF(MID(G$1,6,1)="3",Froto!G96,Froto!G96-Froto!H96)</f>
        <v>1754308000</v>
      </c>
      <c r="H96" s="6">
        <f>IF(MID(H$1,6,1)="3",Froto!H96,Froto!H96-Froto!I96)</f>
        <v>1080118000</v>
      </c>
      <c r="I96" s="6">
        <f>IF(MID(I$1,6,1)="3",Froto!I96,Froto!I96-Froto!J96)</f>
        <v>1723120000</v>
      </c>
      <c r="J96" s="6">
        <f>IF(MID(J$1,6,1)="3",Froto!J96,Froto!J96-Froto!K96)</f>
        <v>2043367000</v>
      </c>
      <c r="K96" s="6">
        <f>IF(MID(K$1,6,1)="3",Froto!K96,Froto!K96-Froto!L96)</f>
        <v>1498522000</v>
      </c>
      <c r="L96" s="6">
        <f>IF(MID(L$1,6,1)="3",Froto!L96,Froto!L96-Froto!M96)</f>
        <v>470420000</v>
      </c>
      <c r="M96" s="6">
        <f>IF(MID(M$1,6,1)="3",Froto!M96,Froto!M96-Froto!N96)</f>
        <v>794542000</v>
      </c>
      <c r="N96" s="6">
        <f>IF(MID(N$1,6,1)="3",Froto!N96,Froto!N96-Froto!O96)</f>
        <v>847130000</v>
      </c>
      <c r="O96" s="6">
        <f>IF(MID(O$1,6,1)="3",Froto!O96,Froto!O96-Froto!P96)</f>
        <v>359789000</v>
      </c>
      <c r="P96" s="6">
        <f>IF(MID(P$1,6,1)="3",Froto!P96,Froto!P96-Froto!Q96)</f>
        <v>611113000</v>
      </c>
      <c r="Q96" s="6">
        <f>IF(MID(Q$1,6,1)="3",Froto!Q96,Froto!Q96-Froto!R96)</f>
        <v>602771000</v>
      </c>
      <c r="R96" s="6">
        <f>IF(MID(R$1,6,1)="3",Froto!R96,Froto!R96-Froto!S96)</f>
        <v>416261000</v>
      </c>
      <c r="S96" s="6">
        <f>IF(MID(S$1,6,1)="3",Froto!S96,Froto!S96-Froto!T96)</f>
        <v>728286000</v>
      </c>
      <c r="T96" s="6">
        <f>IF(MID(T$1,6,1)="3",Froto!T96,Froto!T96-Froto!U96)</f>
        <v>624495000</v>
      </c>
      <c r="U96" s="6">
        <f>IF(MID(U$1,6,1)="3",Froto!U96,Froto!U96-Froto!V96)</f>
        <v>512292000</v>
      </c>
    </row>
    <row r="97" spans="1:21" x14ac:dyDescent="0.25">
      <c r="A97" t="str">
        <f>Froto!A97</f>
        <v>(Esas Faaliyet Dışı) Finansal Gelirler</v>
      </c>
      <c r="B97" s="6">
        <f>IF(MID(B$1,6,1)="3",Froto!B97,Froto!B97-Froto!C97)</f>
        <v>751045000</v>
      </c>
      <c r="C97" s="6">
        <f>IF(MID(C$1,6,1)="3",Froto!C97,Froto!C97-Froto!D97)</f>
        <v>1429083000</v>
      </c>
      <c r="D97" s="6">
        <f>IF(MID(D$1,6,1)="3",Froto!D97,Froto!D97-Froto!E97)</f>
        <v>2986764000</v>
      </c>
      <c r="E97" s="6">
        <f>IF(MID(E$1,6,1)="3",Froto!E97,Froto!E97-Froto!F97)</f>
        <v>1527538000</v>
      </c>
      <c r="F97" s="6">
        <f>IF(MID(F$1,6,1)="3",Froto!F97,Froto!F97-Froto!G97)</f>
        <v>3397141000</v>
      </c>
      <c r="G97" s="6">
        <f>IF(MID(G$1,6,1)="3",Froto!G97,Froto!G97-Froto!H97)</f>
        <v>1135193000</v>
      </c>
      <c r="H97" s="6">
        <f>IF(MID(H$1,6,1)="3",Froto!H97,Froto!H97-Froto!I97)</f>
        <v>508840000</v>
      </c>
      <c r="I97" s="6">
        <f>IF(MID(I$1,6,1)="3",Froto!I97,Froto!I97-Froto!J97)</f>
        <v>770574000</v>
      </c>
      <c r="J97" s="6">
        <f>IF(MID(J$1,6,1)="3",Froto!J97,Froto!J97-Froto!K97)</f>
        <v>898311000</v>
      </c>
      <c r="K97" s="6">
        <f>IF(MID(K$1,6,1)="3",Froto!K97,Froto!K97-Froto!L97)</f>
        <v>520784000</v>
      </c>
      <c r="L97" s="6">
        <f>IF(MID(L$1,6,1)="3",Froto!L97,Froto!L97-Froto!M97)</f>
        <v>235210000</v>
      </c>
      <c r="M97" s="6">
        <f>IF(MID(M$1,6,1)="3",Froto!M97,Froto!M97-Froto!N97)</f>
        <v>201049000</v>
      </c>
      <c r="N97" s="6">
        <f>IF(MID(N$1,6,1)="3",Froto!N97,Froto!N97-Froto!O97)</f>
        <v>217900000</v>
      </c>
      <c r="O97" s="6">
        <f>IF(MID(O$1,6,1)="3",Froto!O97,Froto!O97-Froto!P97)</f>
        <v>686392000</v>
      </c>
      <c r="P97" s="6">
        <f>IF(MID(P$1,6,1)="3",Froto!P97,Froto!P97-Froto!Q97)</f>
        <v>171759000</v>
      </c>
      <c r="Q97" s="6">
        <f>IF(MID(Q$1,6,1)="3",Froto!Q97,Froto!Q97-Froto!R97)</f>
        <v>109550000</v>
      </c>
      <c r="R97" s="6">
        <f>IF(MID(R$1,6,1)="3",Froto!R97,Froto!R97-Froto!S97)</f>
        <v>908694000</v>
      </c>
      <c r="S97" s="6">
        <f>IF(MID(S$1,6,1)="3",Froto!S97,Froto!S97-Froto!T97)</f>
        <v>861290000</v>
      </c>
      <c r="T97" s="6">
        <f>IF(MID(T$1,6,1)="3",Froto!T97,Froto!T97-Froto!U97)</f>
        <v>105334000</v>
      </c>
      <c r="U97" s="6">
        <f>IF(MID(U$1,6,1)="3",Froto!U97,Froto!U97-Froto!V97)</f>
        <v>106305000</v>
      </c>
    </row>
    <row r="98" spans="1:21" x14ac:dyDescent="0.25">
      <c r="A98" t="str">
        <f>Froto!A98</f>
        <v>(Esas Faaliyet Dışı) Finansal Giderler (-)</v>
      </c>
      <c r="B98" s="6">
        <f>IF(MID(B$1,6,1)="3",Froto!B98,Froto!B98-Froto!C98)</f>
        <v>-2118289000</v>
      </c>
      <c r="C98" s="6">
        <f>IF(MID(C$1,6,1)="3",Froto!C98,Froto!C98-Froto!D98)</f>
        <v>-2064066000</v>
      </c>
      <c r="D98" s="6">
        <f>IF(MID(D$1,6,1)="3",Froto!D98,Froto!D98-Froto!E98)</f>
        <v>-3662820000</v>
      </c>
      <c r="E98" s="6">
        <f>IF(MID(E$1,6,1)="3",Froto!E98,Froto!E98-Froto!F98)</f>
        <v>-2352474000</v>
      </c>
      <c r="F98" s="6">
        <f>IF(MID(F$1,6,1)="3",Froto!F98,Froto!F98-Froto!G98)</f>
        <v>-4250404000</v>
      </c>
      <c r="G98" s="6">
        <f>IF(MID(G$1,6,1)="3",Froto!G98,Froto!G98-Froto!H98)</f>
        <v>-987104000</v>
      </c>
      <c r="H98" s="6">
        <f>IF(MID(H$1,6,1)="3",Froto!H98,Froto!H98-Froto!I98)</f>
        <v>-613612000</v>
      </c>
      <c r="I98" s="6">
        <f>IF(MID(I$1,6,1)="3",Froto!I98,Froto!I98-Froto!J98)</f>
        <v>-676515000</v>
      </c>
      <c r="J98" s="6">
        <f>IF(MID(J$1,6,1)="3",Froto!J98,Froto!J98-Froto!K98)</f>
        <v>-1141223000</v>
      </c>
      <c r="K98" s="6">
        <f>IF(MID(K$1,6,1)="3",Froto!K98,Froto!K98-Froto!L98)</f>
        <v>-603223000</v>
      </c>
      <c r="L98" s="6">
        <f>IF(MID(L$1,6,1)="3",Froto!L98,Froto!L98-Froto!M98)</f>
        <v>-425687000</v>
      </c>
      <c r="M98" s="6">
        <f>IF(MID(M$1,6,1)="3",Froto!M98,Froto!M98-Froto!N98)</f>
        <v>-383742000</v>
      </c>
      <c r="N98" s="6">
        <f>IF(MID(N$1,6,1)="3",Froto!N98,Froto!N98-Froto!O98)</f>
        <v>-406581000</v>
      </c>
      <c r="O98" s="6">
        <f>IF(MID(O$1,6,1)="3",Froto!O98,Froto!O98-Froto!P98)</f>
        <v>-632592000</v>
      </c>
      <c r="P98" s="6">
        <f>IF(MID(P$1,6,1)="3",Froto!P98,Froto!P98-Froto!Q98)</f>
        <v>-381396000</v>
      </c>
      <c r="Q98" s="6">
        <f>IF(MID(Q$1,6,1)="3",Froto!Q98,Froto!Q98-Froto!R98)</f>
        <v>-235662000</v>
      </c>
      <c r="R98" s="6">
        <f>IF(MID(R$1,6,1)="3",Froto!R98,Froto!R98-Froto!S98)</f>
        <v>-993677000</v>
      </c>
      <c r="S98" s="6">
        <f>IF(MID(S$1,6,1)="3",Froto!S98,Froto!S98-Froto!T98)</f>
        <v>-1100155000</v>
      </c>
      <c r="T98" s="6">
        <f>IF(MID(T$1,6,1)="3",Froto!T98,Froto!T98-Froto!U98)</f>
        <v>-230768000</v>
      </c>
      <c r="U98" s="6">
        <f>IF(MID(U$1,6,1)="3",Froto!U98,Froto!U98-Froto!V98)</f>
        <v>-177245000</v>
      </c>
    </row>
    <row r="99" spans="1:21" x14ac:dyDescent="0.25">
      <c r="A99" t="str">
        <f>Froto!A99</f>
        <v>Vergi Öncesi Diğer Gelir ve Giderler</v>
      </c>
      <c r="B99" s="6">
        <f>IF(MID(B$1,6,1)="3",Froto!B99,Froto!B99-Froto!C99)</f>
        <v>-4905000</v>
      </c>
      <c r="C99" s="6">
        <f>IF(MID(C$1,6,1)="3",Froto!C99,Froto!C99-Froto!D99)</f>
        <v>3054000</v>
      </c>
      <c r="D99" s="6">
        <f>IF(MID(D$1,6,1)="3",Froto!D99,Froto!D99-Froto!E99)</f>
        <v>559000</v>
      </c>
      <c r="E99" s="6">
        <f>IF(MID(E$1,6,1)="3",Froto!E99,Froto!E99-Froto!F99)</f>
        <v>-12625000</v>
      </c>
      <c r="F99" s="6">
        <f>IF(MID(F$1,6,1)="3",Froto!F99,Froto!F99-Froto!G99)</f>
        <v>-2847000</v>
      </c>
      <c r="G99" s="6">
        <f>IF(MID(G$1,6,1)="3",Froto!G99,Froto!G99-Froto!H99)</f>
        <v>-33248000</v>
      </c>
      <c r="H99" s="6">
        <f>IF(MID(H$1,6,1)="3",Froto!H99,Froto!H99-Froto!I99)</f>
        <v>-1466000</v>
      </c>
      <c r="I99" s="6">
        <f>IF(MID(I$1,6,1)="3",Froto!I99,Froto!I99-Froto!J99)</f>
        <v>2464000</v>
      </c>
      <c r="J99" s="6">
        <f>IF(MID(J$1,6,1)="3",Froto!J99,Froto!J99-Froto!K99)</f>
        <v>-631000</v>
      </c>
      <c r="K99" s="6">
        <f>IF(MID(K$1,6,1)="3",Froto!K99,Froto!K99-Froto!L99)</f>
        <v>1377000</v>
      </c>
      <c r="L99" s="6">
        <f>IF(MID(L$1,6,1)="3",Froto!L99,Froto!L99-Froto!M99)</f>
        <v>-442000</v>
      </c>
      <c r="M99" s="6">
        <f>IF(MID(M$1,6,1)="3",Froto!M99,Froto!M99-Froto!N99)</f>
        <v>886000</v>
      </c>
      <c r="N99" s="6">
        <f>IF(MID(N$1,6,1)="3",Froto!N99,Froto!N99-Froto!O99)</f>
        <v>448000</v>
      </c>
      <c r="O99" s="6">
        <f>IF(MID(O$1,6,1)="3",Froto!O99,Froto!O99-Froto!P99)</f>
        <v>-51000</v>
      </c>
      <c r="P99" s="6">
        <f>IF(MID(P$1,6,1)="3",Froto!P99,Froto!P99-Froto!Q99)</f>
        <v>-235000</v>
      </c>
      <c r="Q99" s="6">
        <f>IF(MID(Q$1,6,1)="3",Froto!Q99,Froto!Q99-Froto!R99)</f>
        <v>-454000</v>
      </c>
      <c r="R99" s="6">
        <f>IF(MID(R$1,6,1)="3",Froto!R99,Froto!R99-Froto!S99)</f>
        <v>-239000</v>
      </c>
      <c r="S99" s="6">
        <f>IF(MID(S$1,6,1)="3",Froto!S99,Froto!S99-Froto!T99)</f>
        <v>-1446000</v>
      </c>
      <c r="T99" s="6">
        <f>IF(MID(T$1,6,1)="3",Froto!T99,Froto!T99-Froto!U99)</f>
        <v>-690000</v>
      </c>
      <c r="U99" s="6">
        <f>IF(MID(U$1,6,1)="3",Froto!U99,Froto!U99-Froto!V99)</f>
        <v>-1070000</v>
      </c>
    </row>
    <row r="100" spans="1:21" x14ac:dyDescent="0.25">
      <c r="A100" t="str">
        <f>Froto!A100</f>
        <v>SÜRDÜRÜLEN FAALİYETLER VERGİ ÖNCESİ KARI (ZARARI)</v>
      </c>
      <c r="B100" s="6">
        <f>IF(MID(B$1,6,1)="3",Froto!B100,Froto!B100-Froto!C100)</f>
        <v>6352026000</v>
      </c>
      <c r="C100" s="6">
        <f>IF(MID(C$1,6,1)="3",Froto!C100,Froto!C100-Froto!D100)</f>
        <v>3615029000</v>
      </c>
      <c r="D100" s="6">
        <f>IF(MID(D$1,6,1)="3",Froto!D100,Froto!D100-Froto!E100)</f>
        <v>3370931000</v>
      </c>
      <c r="E100" s="6">
        <f>IF(MID(E$1,6,1)="3",Froto!E100,Froto!E100-Froto!F100)</f>
        <v>2285221000</v>
      </c>
      <c r="F100" s="6">
        <f>IF(MID(F$1,6,1)="3",Froto!F100,Froto!F100-Froto!G100)</f>
        <v>3991837000</v>
      </c>
      <c r="G100" s="6">
        <f>IF(MID(G$1,6,1)="3",Froto!G100,Froto!G100-Froto!H100)</f>
        <v>1902397000</v>
      </c>
      <c r="H100" s="6">
        <f>IF(MID(H$1,6,1)="3",Froto!H100,Froto!H100-Froto!I100)</f>
        <v>975346000</v>
      </c>
      <c r="I100" s="6">
        <f>IF(MID(I$1,6,1)="3",Froto!I100,Froto!I100-Froto!J100)</f>
        <v>1817179000</v>
      </c>
      <c r="J100" s="6">
        <f>IF(MID(J$1,6,1)="3",Froto!J100,Froto!J100-Froto!K100)</f>
        <v>1800455000</v>
      </c>
      <c r="K100" s="6">
        <f>IF(MID(K$1,6,1)="3",Froto!K100,Froto!K100-Froto!L100)</f>
        <v>1416083000</v>
      </c>
      <c r="L100" s="6">
        <f>IF(MID(L$1,6,1)="3",Froto!L100,Froto!L100-Froto!M100)</f>
        <v>279943000</v>
      </c>
      <c r="M100" s="6">
        <f>IF(MID(M$1,6,1)="3",Froto!M100,Froto!M100-Froto!N100)</f>
        <v>611849000</v>
      </c>
      <c r="N100" s="6">
        <f>IF(MID(N$1,6,1)="3",Froto!N100,Froto!N100-Froto!O100)</f>
        <v>658449000</v>
      </c>
      <c r="O100" s="6">
        <f>IF(MID(O$1,6,1)="3",Froto!O100,Froto!O100-Froto!P100)</f>
        <v>413589000</v>
      </c>
      <c r="P100" s="6">
        <f>IF(MID(P$1,6,1)="3",Froto!P100,Froto!P100-Froto!Q100)</f>
        <v>401476000</v>
      </c>
      <c r="Q100" s="6">
        <f>IF(MID(Q$1,6,1)="3",Froto!Q100,Froto!Q100-Froto!R100)</f>
        <v>476659000</v>
      </c>
      <c r="R100" s="6">
        <f>IF(MID(R$1,6,1)="3",Froto!R100,Froto!R100-Froto!S100)</f>
        <v>331278000</v>
      </c>
      <c r="S100" s="6">
        <f>IF(MID(S$1,6,1)="3",Froto!S100,Froto!S100-Froto!T100)</f>
        <v>489421000</v>
      </c>
      <c r="T100" s="6">
        <f>IF(MID(T$1,6,1)="3",Froto!T100,Froto!T100-Froto!U100)</f>
        <v>499061000</v>
      </c>
      <c r="U100" s="6">
        <f>IF(MID(U$1,6,1)="3",Froto!U100,Froto!U100-Froto!V100)</f>
        <v>441352000</v>
      </c>
    </row>
    <row r="101" spans="1:21" x14ac:dyDescent="0.25">
      <c r="A101" t="str">
        <f>Froto!A101</f>
        <v>Sürdürülen Faaliyetler Vergi Geliri (Gideri)</v>
      </c>
      <c r="B101" s="6">
        <f>IF(MID(B$1,6,1)="3",Froto!B101,Froto!B101-Froto!C101)</f>
        <v>1939746000</v>
      </c>
      <c r="C101" s="6">
        <f>IF(MID(C$1,6,1)="3",Froto!C101,Froto!C101-Froto!D101)</f>
        <v>201161000</v>
      </c>
      <c r="D101" s="6">
        <f>IF(MID(D$1,6,1)="3",Froto!D101,Froto!D101-Froto!E101)</f>
        <v>333271000</v>
      </c>
      <c r="E101" s="6">
        <f>IF(MID(E$1,6,1)="3",Froto!E101,Froto!E101-Froto!F101)</f>
        <v>516558000</v>
      </c>
      <c r="F101" s="6">
        <f>IF(MID(F$1,6,1)="3",Froto!F101,Froto!F101-Froto!G101)</f>
        <v>98407000</v>
      </c>
      <c r="G101" s="6">
        <f>IF(MID(G$1,6,1)="3",Froto!G101,Froto!G101-Froto!H101)</f>
        <v>-10213000</v>
      </c>
      <c r="H101" s="6">
        <f>IF(MID(H$1,6,1)="3",Froto!H101,Froto!H101-Froto!I101)</f>
        <v>23857000</v>
      </c>
      <c r="I101" s="6">
        <f>IF(MID(I$1,6,1)="3",Froto!I101,Froto!I101-Froto!J101)</f>
        <v>2195000</v>
      </c>
      <c r="J101" s="6">
        <f>IF(MID(J$1,6,1)="3",Froto!J101,Froto!J101-Froto!K101)</f>
        <v>126752000</v>
      </c>
      <c r="K101" s="6">
        <f>IF(MID(K$1,6,1)="3",Froto!K101,Froto!K101-Froto!L101)</f>
        <v>-57814000</v>
      </c>
      <c r="L101" s="6">
        <f>IF(MID(L$1,6,1)="3",Froto!L101,Froto!L101-Froto!M101)</f>
        <v>65000</v>
      </c>
      <c r="M101" s="6">
        <f>IF(MID(M$1,6,1)="3",Froto!M101,Froto!M101-Froto!N101)</f>
        <v>17580000</v>
      </c>
      <c r="N101" s="6">
        <f>IF(MID(N$1,6,1)="3",Froto!N101,Froto!N101-Froto!O101)</f>
        <v>-41672000</v>
      </c>
      <c r="O101" s="6">
        <f>IF(MID(O$1,6,1)="3",Froto!O101,Froto!O101-Froto!P101)</f>
        <v>40830000</v>
      </c>
      <c r="P101" s="6">
        <f>IF(MID(P$1,6,1)="3",Froto!P101,Froto!P101-Froto!Q101)</f>
        <v>8852000</v>
      </c>
      <c r="Q101" s="6">
        <f>IF(MID(Q$1,6,1)="3",Froto!Q101,Froto!Q101-Froto!R101)</f>
        <v>1301000</v>
      </c>
      <c r="R101" s="6">
        <f>IF(MID(R$1,6,1)="3",Froto!R101,Froto!R101-Froto!S101)</f>
        <v>79560000</v>
      </c>
      <c r="S101" s="6">
        <f>IF(MID(S$1,6,1)="3",Froto!S101,Froto!S101-Froto!T101)</f>
        <v>-135582000</v>
      </c>
      <c r="T101" s="6">
        <f>IF(MID(T$1,6,1)="3",Froto!T101,Froto!T101-Froto!U101)</f>
        <v>-12807000</v>
      </c>
      <c r="U101" s="6">
        <f>IF(MID(U$1,6,1)="3",Froto!U101,Froto!U101-Froto!V101)</f>
        <v>-9087000</v>
      </c>
    </row>
    <row r="102" spans="1:21" x14ac:dyDescent="0.25">
      <c r="A102" t="str">
        <f>Froto!A102</f>
        <v xml:space="preserve">  Dönem Vergi Geliri (Gideri)</v>
      </c>
      <c r="B102" s="6">
        <f>IF(MID(B$1,6,1)="3",Froto!B102,Froto!B102-Froto!C102)</f>
        <v>-20707000</v>
      </c>
      <c r="C102" s="6">
        <f>IF(MID(C$1,6,1)="3",Froto!C102,Froto!C102-Froto!D102)</f>
        <v>-22742000</v>
      </c>
      <c r="D102" s="6">
        <f>IF(MID(D$1,6,1)="3",Froto!D102,Froto!D102-Froto!E102)</f>
        <v>-18481000</v>
      </c>
      <c r="E102" s="6">
        <f>IF(MID(E$1,6,1)="3",Froto!E102,Froto!E102-Froto!F102)</f>
        <v>-32280000</v>
      </c>
      <c r="F102" s="6">
        <f>IF(MID(F$1,6,1)="3",Froto!F102,Froto!F102-Froto!G102)</f>
        <v>-31838000</v>
      </c>
      <c r="G102" s="6">
        <f>IF(MID(G$1,6,1)="3",Froto!G102,Froto!G102-Froto!H102)</f>
        <v>-19183000</v>
      </c>
      <c r="H102" s="6">
        <f>IF(MID(H$1,6,1)="3",Froto!H102,Froto!H102-Froto!I102)</f>
        <v>-13028000</v>
      </c>
      <c r="I102" s="6">
        <f>IF(MID(I$1,6,1)="3",Froto!I102,Froto!I102-Froto!J102)</f>
        <v>-12901000</v>
      </c>
      <c r="J102" s="6">
        <f>IF(MID(J$1,6,1)="3",Froto!J102,Froto!J102-Froto!K102)</f>
        <v>-20474000</v>
      </c>
      <c r="K102" s="6">
        <f>IF(MID(K$1,6,1)="3",Froto!K102,Froto!K102-Froto!L102)</f>
        <v>-15300000</v>
      </c>
      <c r="L102" s="6">
        <f>IF(MID(L$1,6,1)="3",Froto!L102,Froto!L102-Froto!M102)</f>
        <v>632000</v>
      </c>
      <c r="M102" s="6">
        <f>IF(MID(M$1,6,1)="3",Froto!M102,Froto!M102-Froto!N102)</f>
        <v>-4657000</v>
      </c>
      <c r="N102" s="6">
        <f>IF(MID(N$1,6,1)="3",Froto!N102,Froto!N102-Froto!O102)</f>
        <v>-3438000</v>
      </c>
      <c r="O102" s="6">
        <f>IF(MID(O$1,6,1)="3",Froto!O102,Froto!O102-Froto!P102)</f>
        <v>-6693000</v>
      </c>
      <c r="P102" s="6">
        <f>IF(MID(P$1,6,1)="3",Froto!P102,Froto!P102-Froto!Q102)</f>
        <v>-4450000</v>
      </c>
      <c r="Q102" s="6">
        <f>IF(MID(Q$1,6,1)="3",Froto!Q102,Froto!Q102-Froto!R102)</f>
        <v>-6661000</v>
      </c>
      <c r="R102" s="6">
        <f>IF(MID(R$1,6,1)="3",Froto!R102,Froto!R102-Froto!S102)</f>
        <v>-9133000</v>
      </c>
      <c r="S102" s="6">
        <f>IF(MID(S$1,6,1)="3",Froto!S102,Froto!S102-Froto!T102)</f>
        <v>2852000</v>
      </c>
      <c r="T102" s="6">
        <f>IF(MID(T$1,6,1)="3",Froto!T102,Froto!T102-Froto!U102)</f>
        <v>-5307000</v>
      </c>
      <c r="U102" s="6">
        <f>IF(MID(U$1,6,1)="3",Froto!U102,Froto!U102-Froto!V102)</f>
        <v>-5381000</v>
      </c>
    </row>
    <row r="103" spans="1:21" x14ac:dyDescent="0.25">
      <c r="A103" t="str">
        <f>Froto!A103</f>
        <v xml:space="preserve">  Ertelenmiş Vergi Geliri (Gideri)</v>
      </c>
      <c r="B103" s="6">
        <f>IF(MID(B$1,6,1)="3",Froto!B103,Froto!B103-Froto!C103)</f>
        <v>1960453000</v>
      </c>
      <c r="C103" s="6">
        <f>IF(MID(C$1,6,1)="3",Froto!C103,Froto!C103-Froto!D103)</f>
        <v>223903000</v>
      </c>
      <c r="D103" s="6">
        <f>IF(MID(D$1,6,1)="3",Froto!D103,Froto!D103-Froto!E103)</f>
        <v>351752000</v>
      </c>
      <c r="E103" s="6">
        <f>IF(MID(E$1,6,1)="3",Froto!E103,Froto!E103-Froto!F103)</f>
        <v>548838000</v>
      </c>
      <c r="F103" s="6">
        <f>IF(MID(F$1,6,1)="3",Froto!F103,Froto!F103-Froto!G103)</f>
        <v>130245000</v>
      </c>
      <c r="G103" s="6">
        <f>IF(MID(G$1,6,1)="3",Froto!G103,Froto!G103-Froto!H103)</f>
        <v>8970000</v>
      </c>
      <c r="H103" s="6">
        <f>IF(MID(H$1,6,1)="3",Froto!H103,Froto!H103-Froto!I103)</f>
        <v>36885000</v>
      </c>
      <c r="I103" s="6">
        <f>IF(MID(I$1,6,1)="3",Froto!I103,Froto!I103-Froto!J103)</f>
        <v>15096000</v>
      </c>
      <c r="J103" s="6">
        <f>IF(MID(J$1,6,1)="3",Froto!J103,Froto!J103-Froto!K103)</f>
        <v>147226000</v>
      </c>
      <c r="K103" s="6">
        <f>IF(MID(K$1,6,1)="3",Froto!K103,Froto!K103-Froto!L103)</f>
        <v>-42514000</v>
      </c>
      <c r="L103" s="6">
        <f>IF(MID(L$1,6,1)="3",Froto!L103,Froto!L103-Froto!M103)</f>
        <v>-567000</v>
      </c>
      <c r="M103" s="6">
        <f>IF(MID(M$1,6,1)="3",Froto!M103,Froto!M103-Froto!N103)</f>
        <v>22237000</v>
      </c>
      <c r="N103" s="6">
        <f>IF(MID(N$1,6,1)="3",Froto!N103,Froto!N103-Froto!O103)</f>
        <v>-38234000</v>
      </c>
      <c r="O103" s="6">
        <f>IF(MID(O$1,6,1)="3",Froto!O103,Froto!O103-Froto!P103)</f>
        <v>47523000</v>
      </c>
      <c r="P103" s="6">
        <f>IF(MID(P$1,6,1)="3",Froto!P103,Froto!P103-Froto!Q103)</f>
        <v>13302000</v>
      </c>
      <c r="Q103" s="6">
        <f>IF(MID(Q$1,6,1)="3",Froto!Q103,Froto!Q103-Froto!R103)</f>
        <v>7962000</v>
      </c>
      <c r="R103" s="6">
        <f>IF(MID(R$1,6,1)="3",Froto!R103,Froto!R103-Froto!S103)</f>
        <v>88693000</v>
      </c>
      <c r="S103" s="6">
        <f>IF(MID(S$1,6,1)="3",Froto!S103,Froto!S103-Froto!T103)</f>
        <v>-138434000</v>
      </c>
      <c r="T103" s="6">
        <f>IF(MID(T$1,6,1)="3",Froto!T103,Froto!T103-Froto!U103)</f>
        <v>-7500000</v>
      </c>
      <c r="U103" s="6">
        <f>IF(MID(U$1,6,1)="3",Froto!U103,Froto!U103-Froto!V103)</f>
        <v>-3706000</v>
      </c>
    </row>
    <row r="104" spans="1:21" x14ac:dyDescent="0.25">
      <c r="A104" t="str">
        <f>Froto!A104</f>
        <v xml:space="preserve">  Diğer Vergi Geliri (Gideri)</v>
      </c>
      <c r="B104" s="6">
        <f>IF(MID(B$1,6,1)="3",Froto!B104,Froto!B104-Froto!C104)</f>
        <v>0</v>
      </c>
      <c r="C104" s="6">
        <f>IF(MID(C$1,6,1)="3",Froto!C104,Froto!C104-Froto!D104)</f>
        <v>0</v>
      </c>
      <c r="D104" s="6">
        <f>IF(MID(D$1,6,1)="3",Froto!D104,Froto!D104-Froto!E104)</f>
        <v>0</v>
      </c>
      <c r="E104" s="6">
        <f>IF(MID(E$1,6,1)="3",Froto!E104,Froto!E104-Froto!F104)</f>
        <v>0</v>
      </c>
      <c r="F104" s="6">
        <f>IF(MID(F$1,6,1)="3",Froto!F104,Froto!F104-Froto!G104)</f>
        <v>0</v>
      </c>
      <c r="G104" s="6">
        <f>IF(MID(G$1,6,1)="3",Froto!G104,Froto!G104-Froto!H104)</f>
        <v>0</v>
      </c>
      <c r="H104" s="6">
        <f>IF(MID(H$1,6,1)="3",Froto!H104,Froto!H104-Froto!I104)</f>
        <v>0</v>
      </c>
      <c r="I104" s="6">
        <f>IF(MID(I$1,6,1)="3",Froto!I104,Froto!I104-Froto!J104)</f>
        <v>0</v>
      </c>
      <c r="J104" s="6">
        <f>IF(MID(J$1,6,1)="3",Froto!J104,Froto!J104-Froto!K104)</f>
        <v>0</v>
      </c>
      <c r="K104" s="6">
        <f>IF(MID(K$1,6,1)="3",Froto!K104,Froto!K104-Froto!L104)</f>
        <v>0</v>
      </c>
      <c r="L104" s="6">
        <f>IF(MID(L$1,6,1)="3",Froto!L104,Froto!L104-Froto!M104)</f>
        <v>0</v>
      </c>
      <c r="M104" s="6">
        <f>IF(MID(M$1,6,1)="3",Froto!M104,Froto!M104-Froto!N104)</f>
        <v>0</v>
      </c>
      <c r="N104" s="6">
        <f>IF(MID(N$1,6,1)="3",Froto!N104,Froto!N104-Froto!O104)</f>
        <v>0</v>
      </c>
      <c r="O104" s="6">
        <f>IF(MID(O$1,6,1)="3",Froto!O104,Froto!O104-Froto!P104)</f>
        <v>0</v>
      </c>
      <c r="P104" s="6">
        <f>IF(MID(P$1,6,1)="3",Froto!P104,Froto!P104-Froto!Q104)</f>
        <v>0</v>
      </c>
      <c r="Q104" s="6">
        <f>IF(MID(Q$1,6,1)="3",Froto!Q104,Froto!Q104-Froto!R104)</f>
        <v>0</v>
      </c>
      <c r="R104" s="6">
        <f>IF(MID(R$1,6,1)="3",Froto!R104,Froto!R104-Froto!S104)</f>
        <v>0</v>
      </c>
      <c r="S104" s="6">
        <f>IF(MID(S$1,6,1)="3",Froto!S104,Froto!S104-Froto!T104)</f>
        <v>0</v>
      </c>
      <c r="T104" s="6">
        <f>IF(MID(T$1,6,1)="3",Froto!T104,Froto!T104-Froto!U104)</f>
        <v>0</v>
      </c>
      <c r="U104" s="6">
        <f>IF(MID(U$1,6,1)="3",Froto!U104,Froto!U104-Froto!V104)</f>
        <v>0</v>
      </c>
    </row>
    <row r="105" spans="1:21" x14ac:dyDescent="0.25">
      <c r="A105" t="str">
        <f>Froto!A105</f>
        <v>SÜRDÜRÜLEN FAALİYETLER DÖNEM KARI/ZARARI</v>
      </c>
      <c r="B105" s="6">
        <f>IF(MID(B$1,6,1)="3",Froto!B105,Froto!B105-Froto!C105)</f>
        <v>8291772000</v>
      </c>
      <c r="C105" s="6">
        <f>IF(MID(C$1,6,1)="3",Froto!C105,Froto!C105-Froto!D105)</f>
        <v>3816190000</v>
      </c>
      <c r="D105" s="6">
        <f>IF(MID(D$1,6,1)="3",Froto!D105,Froto!D105-Froto!E105)</f>
        <v>3704202000</v>
      </c>
      <c r="E105" s="6">
        <f>IF(MID(E$1,6,1)="3",Froto!E105,Froto!E105-Froto!F105)</f>
        <v>2801779000</v>
      </c>
      <c r="F105" s="6">
        <f>IF(MID(F$1,6,1)="3",Froto!F105,Froto!F105-Froto!G105)</f>
        <v>4090244000</v>
      </c>
      <c r="G105" s="6">
        <f>IF(MID(G$1,6,1)="3",Froto!G105,Froto!G105-Froto!H105)</f>
        <v>1892184000</v>
      </c>
      <c r="H105" s="6">
        <f>IF(MID(H$1,6,1)="3",Froto!H105,Froto!H105-Froto!I105)</f>
        <v>999203000</v>
      </c>
      <c r="I105" s="6">
        <f>IF(MID(I$1,6,1)="3",Froto!I105,Froto!I105-Froto!J105)</f>
        <v>1819374000</v>
      </c>
      <c r="J105" s="6">
        <f>IF(MID(J$1,6,1)="3",Froto!J105,Froto!J105-Froto!K105)</f>
        <v>1927207000</v>
      </c>
      <c r="K105" s="6">
        <f>IF(MID(K$1,6,1)="3",Froto!K105,Froto!K105-Froto!L105)</f>
        <v>1358269000</v>
      </c>
      <c r="L105" s="6">
        <f>IF(MID(L$1,6,1)="3",Froto!L105,Froto!L105-Froto!M105)</f>
        <v>280008000</v>
      </c>
      <c r="M105" s="6">
        <f>IF(MID(M$1,6,1)="3",Froto!M105,Froto!M105-Froto!N105)</f>
        <v>629429000</v>
      </c>
      <c r="N105" s="6">
        <f>IF(MID(N$1,6,1)="3",Froto!N105,Froto!N105-Froto!O105)</f>
        <v>616777000</v>
      </c>
      <c r="O105" s="6">
        <f>IF(MID(O$1,6,1)="3",Froto!O105,Froto!O105-Froto!P105)</f>
        <v>454419000</v>
      </c>
      <c r="P105" s="6">
        <f>IF(MID(P$1,6,1)="3",Froto!P105,Froto!P105-Froto!Q105)</f>
        <v>410328000</v>
      </c>
      <c r="Q105" s="6">
        <f>IF(MID(Q$1,6,1)="3",Froto!Q105,Froto!Q105-Froto!R105)</f>
        <v>477960000</v>
      </c>
      <c r="R105" s="6">
        <f>IF(MID(R$1,6,1)="3",Froto!R105,Froto!R105-Froto!S105)</f>
        <v>410838000</v>
      </c>
      <c r="S105" s="6">
        <f>IF(MID(S$1,6,1)="3",Froto!S105,Froto!S105-Froto!T105)</f>
        <v>353839000</v>
      </c>
      <c r="T105" s="6">
        <f>IF(MID(T$1,6,1)="3",Froto!T105,Froto!T105-Froto!U105)</f>
        <v>486254000</v>
      </c>
      <c r="U105" s="6">
        <f>IF(MID(U$1,6,1)="3",Froto!U105,Froto!U105-Froto!V105)</f>
        <v>432265000</v>
      </c>
    </row>
    <row r="106" spans="1:21" x14ac:dyDescent="0.25">
      <c r="A106" t="str">
        <f>Froto!A106</f>
        <v>DURDURULAN FAALİYETLER</v>
      </c>
      <c r="B106" s="6">
        <f>IF(MID(B$1,6,1)="3",Froto!B106,Froto!B106-Froto!C106)</f>
        <v>0</v>
      </c>
      <c r="C106" s="6">
        <f>IF(MID(C$1,6,1)="3",Froto!C106,Froto!C106-Froto!D106)</f>
        <v>0</v>
      </c>
      <c r="D106" s="6">
        <f>IF(MID(D$1,6,1)="3",Froto!D106,Froto!D106-Froto!E106)</f>
        <v>0</v>
      </c>
      <c r="E106" s="6">
        <f>IF(MID(E$1,6,1)="3",Froto!E106,Froto!E106-Froto!F106)</f>
        <v>0</v>
      </c>
      <c r="F106" s="6">
        <f>IF(MID(F$1,6,1)="3",Froto!F106,Froto!F106-Froto!G106)</f>
        <v>0</v>
      </c>
      <c r="G106" s="6">
        <f>IF(MID(G$1,6,1)="3",Froto!G106,Froto!G106-Froto!H106)</f>
        <v>0</v>
      </c>
      <c r="H106" s="6">
        <f>IF(MID(H$1,6,1)="3",Froto!H106,Froto!H106-Froto!I106)</f>
        <v>0</v>
      </c>
      <c r="I106" s="6">
        <f>IF(MID(I$1,6,1)="3",Froto!I106,Froto!I106-Froto!J106)</f>
        <v>0</v>
      </c>
      <c r="J106" s="6">
        <f>IF(MID(J$1,6,1)="3",Froto!J106,Froto!J106-Froto!K106)</f>
        <v>0</v>
      </c>
      <c r="K106" s="6">
        <f>IF(MID(K$1,6,1)="3",Froto!K106,Froto!K106-Froto!L106)</f>
        <v>0</v>
      </c>
      <c r="L106" s="6">
        <f>IF(MID(L$1,6,1)="3",Froto!L106,Froto!L106-Froto!M106)</f>
        <v>0</v>
      </c>
      <c r="M106" s="6">
        <f>IF(MID(M$1,6,1)="3",Froto!M106,Froto!M106-Froto!N106)</f>
        <v>0</v>
      </c>
      <c r="N106" s="6">
        <f>IF(MID(N$1,6,1)="3",Froto!N106,Froto!N106-Froto!O106)</f>
        <v>0</v>
      </c>
      <c r="O106" s="6">
        <f>IF(MID(O$1,6,1)="3",Froto!O106,Froto!O106-Froto!P106)</f>
        <v>0</v>
      </c>
      <c r="P106" s="6">
        <f>IF(MID(P$1,6,1)="3",Froto!P106,Froto!P106-Froto!Q106)</f>
        <v>0</v>
      </c>
      <c r="Q106" s="6">
        <f>IF(MID(Q$1,6,1)="3",Froto!Q106,Froto!Q106-Froto!R106)</f>
        <v>0</v>
      </c>
      <c r="R106" s="6">
        <f>IF(MID(R$1,6,1)="3",Froto!R106,Froto!R106-Froto!S106)</f>
        <v>0</v>
      </c>
      <c r="S106" s="6">
        <f>IF(MID(S$1,6,1)="3",Froto!S106,Froto!S106-Froto!T106)</f>
        <v>0</v>
      </c>
      <c r="T106" s="6">
        <f>IF(MID(T$1,6,1)="3",Froto!T106,Froto!T106-Froto!U106)</f>
        <v>0</v>
      </c>
      <c r="U106" s="6">
        <f>IF(MID(U$1,6,1)="3",Froto!U106,Froto!U106-Froto!V106)</f>
        <v>0</v>
      </c>
    </row>
    <row r="107" spans="1:21" x14ac:dyDescent="0.25">
      <c r="A107" t="str">
        <f>Froto!A107</f>
        <v>Durdurulan Faaliyetler Vergi Sonrası Dönem Karı (Zararı)</v>
      </c>
      <c r="B107" s="6">
        <f>IF(MID(B$1,6,1)="3",Froto!B107,Froto!B107-Froto!C107)</f>
        <v>0</v>
      </c>
      <c r="C107" s="6">
        <f>IF(MID(C$1,6,1)="3",Froto!C107,Froto!C107-Froto!D107)</f>
        <v>0</v>
      </c>
      <c r="D107" s="6">
        <f>IF(MID(D$1,6,1)="3",Froto!D107,Froto!D107-Froto!E107)</f>
        <v>0</v>
      </c>
      <c r="E107" s="6">
        <f>IF(MID(E$1,6,1)="3",Froto!E107,Froto!E107-Froto!F107)</f>
        <v>0</v>
      </c>
      <c r="F107" s="6">
        <f>IF(MID(F$1,6,1)="3",Froto!F107,Froto!F107-Froto!G107)</f>
        <v>0</v>
      </c>
      <c r="G107" s="6">
        <f>IF(MID(G$1,6,1)="3",Froto!G107,Froto!G107-Froto!H107)</f>
        <v>0</v>
      </c>
      <c r="H107" s="6">
        <f>IF(MID(H$1,6,1)="3",Froto!H107,Froto!H107-Froto!I107)</f>
        <v>0</v>
      </c>
      <c r="I107" s="6">
        <f>IF(MID(I$1,6,1)="3",Froto!I107,Froto!I107-Froto!J107)</f>
        <v>0</v>
      </c>
      <c r="J107" s="6">
        <f>IF(MID(J$1,6,1)="3",Froto!J107,Froto!J107-Froto!K107)</f>
        <v>0</v>
      </c>
      <c r="K107" s="6">
        <f>IF(MID(K$1,6,1)="3",Froto!K107,Froto!K107-Froto!L107)</f>
        <v>0</v>
      </c>
      <c r="L107" s="6">
        <f>IF(MID(L$1,6,1)="3",Froto!L107,Froto!L107-Froto!M107)</f>
        <v>0</v>
      </c>
      <c r="M107" s="6">
        <f>IF(MID(M$1,6,1)="3",Froto!M107,Froto!M107-Froto!N107)</f>
        <v>0</v>
      </c>
      <c r="N107" s="6">
        <f>IF(MID(N$1,6,1)="3",Froto!N107,Froto!N107-Froto!O107)</f>
        <v>0</v>
      </c>
      <c r="O107" s="6">
        <f>IF(MID(O$1,6,1)="3",Froto!O107,Froto!O107-Froto!P107)</f>
        <v>0</v>
      </c>
      <c r="P107" s="6">
        <f>IF(MID(P$1,6,1)="3",Froto!P107,Froto!P107-Froto!Q107)</f>
        <v>0</v>
      </c>
      <c r="Q107" s="6">
        <f>IF(MID(Q$1,6,1)="3",Froto!Q107,Froto!Q107-Froto!R107)</f>
        <v>0</v>
      </c>
      <c r="R107" s="6">
        <f>IF(MID(R$1,6,1)="3",Froto!R107,Froto!R107-Froto!S107)</f>
        <v>0</v>
      </c>
      <c r="S107" s="6">
        <f>IF(MID(S$1,6,1)="3",Froto!S107,Froto!S107-Froto!T107)</f>
        <v>0</v>
      </c>
      <c r="T107" s="6">
        <f>IF(MID(T$1,6,1)="3",Froto!T107,Froto!T107-Froto!U107)</f>
        <v>0</v>
      </c>
      <c r="U107" s="6">
        <f>IF(MID(U$1,6,1)="3",Froto!U107,Froto!U107-Froto!V107)</f>
        <v>0</v>
      </c>
    </row>
    <row r="108" spans="1:21" x14ac:dyDescent="0.25">
      <c r="A108" t="str">
        <f>Froto!A108</f>
        <v>DÖNEM KARI (ZARARI)</v>
      </c>
      <c r="B108" s="6">
        <f>IF(MID(B$1,6,1)="3",Froto!B108,Froto!B108-Froto!C108)</f>
        <v>8291772000</v>
      </c>
      <c r="C108" s="6">
        <f>IF(MID(C$1,6,1)="3",Froto!C108,Froto!C108-Froto!D108)</f>
        <v>3816190000</v>
      </c>
      <c r="D108" s="6">
        <f>IF(MID(D$1,6,1)="3",Froto!D108,Froto!D108-Froto!E108)</f>
        <v>3704202000</v>
      </c>
      <c r="E108" s="6">
        <f>IF(MID(E$1,6,1)="3",Froto!E108,Froto!E108-Froto!F108)</f>
        <v>2801779000</v>
      </c>
      <c r="F108" s="6">
        <f>IF(MID(F$1,6,1)="3",Froto!F108,Froto!F108-Froto!G108)</f>
        <v>4090244000</v>
      </c>
      <c r="G108" s="6">
        <f>IF(MID(G$1,6,1)="3",Froto!G108,Froto!G108-Froto!H108)</f>
        <v>1892184000</v>
      </c>
      <c r="H108" s="6">
        <f>IF(MID(H$1,6,1)="3",Froto!H108,Froto!H108-Froto!I108)</f>
        <v>999203000</v>
      </c>
      <c r="I108" s="6">
        <f>IF(MID(I$1,6,1)="3",Froto!I108,Froto!I108-Froto!J108)</f>
        <v>1819374000</v>
      </c>
      <c r="J108" s="6">
        <f>IF(MID(J$1,6,1)="3",Froto!J108,Froto!J108-Froto!K108)</f>
        <v>1927207000</v>
      </c>
      <c r="K108" s="6">
        <f>IF(MID(K$1,6,1)="3",Froto!K108,Froto!K108-Froto!L108)</f>
        <v>1358269000</v>
      </c>
      <c r="L108" s="6">
        <f>IF(MID(L$1,6,1)="3",Froto!L108,Froto!L108-Froto!M108)</f>
        <v>280008000</v>
      </c>
      <c r="M108" s="6">
        <f>IF(MID(M$1,6,1)="3",Froto!M108,Froto!M108-Froto!N108)</f>
        <v>629429000</v>
      </c>
      <c r="N108" s="6">
        <f>IF(MID(N$1,6,1)="3",Froto!N108,Froto!N108-Froto!O108)</f>
        <v>616777000</v>
      </c>
      <c r="O108" s="6">
        <f>IF(MID(O$1,6,1)="3",Froto!O108,Froto!O108-Froto!P108)</f>
        <v>454419000</v>
      </c>
      <c r="P108" s="6">
        <f>IF(MID(P$1,6,1)="3",Froto!P108,Froto!P108-Froto!Q108)</f>
        <v>410328000</v>
      </c>
      <c r="Q108" s="6">
        <f>IF(MID(Q$1,6,1)="3",Froto!Q108,Froto!Q108-Froto!R108)</f>
        <v>477960000</v>
      </c>
      <c r="R108" s="6">
        <f>IF(MID(R$1,6,1)="3",Froto!R108,Froto!R108-Froto!S108)</f>
        <v>410838000</v>
      </c>
      <c r="S108" s="6">
        <f>IF(MID(S$1,6,1)="3",Froto!S108,Froto!S108-Froto!T108)</f>
        <v>353839000</v>
      </c>
      <c r="T108" s="6">
        <f>IF(MID(T$1,6,1)="3",Froto!T108,Froto!T108-Froto!U108)</f>
        <v>486254000</v>
      </c>
      <c r="U108" s="6">
        <f>IF(MID(U$1,6,1)="3",Froto!U108,Froto!U108-Froto!V108)</f>
        <v>432265000</v>
      </c>
    </row>
    <row r="109" spans="1:21" x14ac:dyDescent="0.25">
      <c r="A109" t="str">
        <f>Froto!A109</f>
        <v>Dönem Kar/Zararının Dağılımı</v>
      </c>
      <c r="B109" s="6">
        <f>IF(MID(B$1,6,1)="3",Froto!B109,Froto!B109-Froto!C109)</f>
        <v>0</v>
      </c>
      <c r="C109" s="6">
        <f>IF(MID(C$1,6,1)="3",Froto!C109,Froto!C109-Froto!D109)</f>
        <v>0</v>
      </c>
      <c r="D109" s="6">
        <f>IF(MID(D$1,6,1)="3",Froto!D109,Froto!D109-Froto!E109)</f>
        <v>0</v>
      </c>
      <c r="E109" s="6">
        <f>IF(MID(E$1,6,1)="3",Froto!E109,Froto!E109-Froto!F109)</f>
        <v>0</v>
      </c>
      <c r="F109" s="6">
        <f>IF(MID(F$1,6,1)="3",Froto!F109,Froto!F109-Froto!G109)</f>
        <v>0</v>
      </c>
      <c r="G109" s="6">
        <f>IF(MID(G$1,6,1)="3",Froto!G109,Froto!G109-Froto!H109)</f>
        <v>0</v>
      </c>
      <c r="H109" s="6">
        <f>IF(MID(H$1,6,1)="3",Froto!H109,Froto!H109-Froto!I109)</f>
        <v>0</v>
      </c>
      <c r="I109" s="6">
        <f>IF(MID(I$1,6,1)="3",Froto!I109,Froto!I109-Froto!J109)</f>
        <v>0</v>
      </c>
      <c r="J109" s="6">
        <f>IF(MID(J$1,6,1)="3",Froto!J109,Froto!J109-Froto!K109)</f>
        <v>0</v>
      </c>
      <c r="K109" s="6">
        <f>IF(MID(K$1,6,1)="3",Froto!K109,Froto!K109-Froto!L109)</f>
        <v>0</v>
      </c>
      <c r="L109" s="6">
        <f>IF(MID(L$1,6,1)="3",Froto!L109,Froto!L109-Froto!M109)</f>
        <v>0</v>
      </c>
      <c r="M109" s="6">
        <f>IF(MID(M$1,6,1)="3",Froto!M109,Froto!M109-Froto!N109)</f>
        <v>0</v>
      </c>
      <c r="N109" s="6">
        <f>IF(MID(N$1,6,1)="3",Froto!N109,Froto!N109-Froto!O109)</f>
        <v>0</v>
      </c>
      <c r="O109" s="6">
        <f>IF(MID(O$1,6,1)="3",Froto!O109,Froto!O109-Froto!P109)</f>
        <v>0</v>
      </c>
      <c r="P109" s="6">
        <f>IF(MID(P$1,6,1)="3",Froto!P109,Froto!P109-Froto!Q109)</f>
        <v>0</v>
      </c>
      <c r="Q109" s="6">
        <f>IF(MID(Q$1,6,1)="3",Froto!Q109,Froto!Q109-Froto!R109)</f>
        <v>0</v>
      </c>
      <c r="R109" s="6">
        <f>IF(MID(R$1,6,1)="3",Froto!R109,Froto!R109-Froto!S109)</f>
        <v>0</v>
      </c>
      <c r="S109" s="6">
        <f>IF(MID(S$1,6,1)="3",Froto!S109,Froto!S109-Froto!T109)</f>
        <v>0</v>
      </c>
      <c r="T109" s="6">
        <f>IF(MID(T$1,6,1)="3",Froto!T109,Froto!T109-Froto!U109)</f>
        <v>0</v>
      </c>
      <c r="U109" s="6">
        <f>IF(MID(U$1,6,1)="3",Froto!U109,Froto!U109-Froto!V109)</f>
        <v>0</v>
      </c>
    </row>
    <row r="110" spans="1:21" x14ac:dyDescent="0.25">
      <c r="A110" t="str">
        <f>Froto!A110</f>
        <v>Azınlık Payları</v>
      </c>
      <c r="B110" s="6">
        <f>IF(MID(B$1,6,1)="3",Froto!B110,Froto!B110-Froto!C110)</f>
        <v>0</v>
      </c>
      <c r="C110" s="6">
        <f>IF(MID(C$1,6,1)="3",Froto!C110,Froto!C110-Froto!D110)</f>
        <v>0</v>
      </c>
      <c r="D110" s="6">
        <f>IF(MID(D$1,6,1)="3",Froto!D110,Froto!D110-Froto!E110)</f>
        <v>0</v>
      </c>
      <c r="E110" s="6">
        <f>IF(MID(E$1,6,1)="3",Froto!E110,Froto!E110-Froto!F110)</f>
        <v>0</v>
      </c>
      <c r="F110" s="6">
        <f>IF(MID(F$1,6,1)="3",Froto!F110,Froto!F110-Froto!G110)</f>
        <v>0</v>
      </c>
      <c r="G110" s="6">
        <f>IF(MID(G$1,6,1)="3",Froto!G110,Froto!G110-Froto!H110)</f>
        <v>0</v>
      </c>
      <c r="H110" s="6">
        <f>IF(MID(H$1,6,1)="3",Froto!H110,Froto!H110-Froto!I110)</f>
        <v>0</v>
      </c>
      <c r="I110" s="6">
        <f>IF(MID(I$1,6,1)="3",Froto!I110,Froto!I110-Froto!J110)</f>
        <v>0</v>
      </c>
      <c r="J110" s="6">
        <f>IF(MID(J$1,6,1)="3",Froto!J110,Froto!J110-Froto!K110)</f>
        <v>0</v>
      </c>
      <c r="K110" s="6">
        <f>IF(MID(K$1,6,1)="3",Froto!K110,Froto!K110-Froto!L110)</f>
        <v>0</v>
      </c>
      <c r="L110" s="6">
        <f>IF(MID(L$1,6,1)="3",Froto!L110,Froto!L110-Froto!M110)</f>
        <v>0</v>
      </c>
      <c r="M110" s="6">
        <f>IF(MID(M$1,6,1)="3",Froto!M110,Froto!M110-Froto!N110)</f>
        <v>0</v>
      </c>
      <c r="N110" s="6">
        <f>IF(MID(N$1,6,1)="3",Froto!N110,Froto!N110-Froto!O110)</f>
        <v>0</v>
      </c>
      <c r="O110" s="6">
        <f>IF(MID(O$1,6,1)="3",Froto!O110,Froto!O110-Froto!P110)</f>
        <v>0</v>
      </c>
      <c r="P110" s="6">
        <f>IF(MID(P$1,6,1)="3",Froto!P110,Froto!P110-Froto!Q110)</f>
        <v>0</v>
      </c>
      <c r="Q110" s="6">
        <f>IF(MID(Q$1,6,1)="3",Froto!Q110,Froto!Q110-Froto!R110)</f>
        <v>0</v>
      </c>
      <c r="R110" s="6">
        <f>IF(MID(R$1,6,1)="3",Froto!R110,Froto!R110-Froto!S110)</f>
        <v>0</v>
      </c>
      <c r="S110" s="6">
        <f>IF(MID(S$1,6,1)="3",Froto!S110,Froto!S110-Froto!T110)</f>
        <v>0</v>
      </c>
      <c r="T110" s="6">
        <f>IF(MID(T$1,6,1)="3",Froto!T110,Froto!T110-Froto!U110)</f>
        <v>0</v>
      </c>
      <c r="U110" s="6">
        <f>IF(MID(U$1,6,1)="3",Froto!U110,Froto!U110-Froto!V110)</f>
        <v>0</v>
      </c>
    </row>
    <row r="111" spans="1:21" x14ac:dyDescent="0.25">
      <c r="A111" t="str">
        <f>Froto!A111</f>
        <v>Ana Ortaklık Payları</v>
      </c>
      <c r="B111" s="6">
        <f>IF(MID(B$1,6,1)="3",Froto!B111,Froto!B111-Froto!C111)</f>
        <v>8291772000</v>
      </c>
      <c r="C111" s="6">
        <f>IF(MID(C$1,6,1)="3",Froto!C111,Froto!C111-Froto!D111)</f>
        <v>3816190000</v>
      </c>
      <c r="D111" s="6">
        <f>IF(MID(D$1,6,1)="3",Froto!D111,Froto!D111-Froto!E111)</f>
        <v>3704202000</v>
      </c>
      <c r="E111" s="6">
        <f>IF(MID(E$1,6,1)="3",Froto!E111,Froto!E111-Froto!F111)</f>
        <v>2801779000</v>
      </c>
      <c r="F111" s="6">
        <f>IF(MID(F$1,6,1)="3",Froto!F111,Froto!F111-Froto!G111)</f>
        <v>4090244000</v>
      </c>
      <c r="G111" s="6">
        <f>IF(MID(G$1,6,1)="3",Froto!G111,Froto!G111-Froto!H111)</f>
        <v>1892184000</v>
      </c>
      <c r="H111" s="6">
        <f>IF(MID(H$1,6,1)="3",Froto!H111,Froto!H111-Froto!I111)</f>
        <v>999203000</v>
      </c>
      <c r="I111" s="6">
        <f>IF(MID(I$1,6,1)="3",Froto!I111,Froto!I111-Froto!J111)</f>
        <v>1819374000</v>
      </c>
      <c r="J111" s="6">
        <f>IF(MID(J$1,6,1)="3",Froto!J111,Froto!J111-Froto!K111)</f>
        <v>1927207000</v>
      </c>
      <c r="K111" s="6">
        <f>IF(MID(K$1,6,1)="3",Froto!K111,Froto!K111-Froto!L111)</f>
        <v>1358269000</v>
      </c>
      <c r="L111" s="6">
        <f>IF(MID(L$1,6,1)="3",Froto!L111,Froto!L111-Froto!M111)</f>
        <v>280008000</v>
      </c>
      <c r="M111" s="6">
        <f>IF(MID(M$1,6,1)="3",Froto!M111,Froto!M111-Froto!N111)</f>
        <v>629429000</v>
      </c>
      <c r="N111" s="6">
        <f>IF(MID(N$1,6,1)="3",Froto!N111,Froto!N111-Froto!O111)</f>
        <v>616777000</v>
      </c>
      <c r="O111" s="6">
        <f>IF(MID(O$1,6,1)="3",Froto!O111,Froto!O111-Froto!P111)</f>
        <v>454419000</v>
      </c>
      <c r="P111" s="6">
        <f>IF(MID(P$1,6,1)="3",Froto!P111,Froto!P111-Froto!Q111)</f>
        <v>410328000</v>
      </c>
      <c r="Q111" s="6">
        <f>IF(MID(Q$1,6,1)="3",Froto!Q111,Froto!Q111-Froto!R111)</f>
        <v>477960000</v>
      </c>
      <c r="R111" s="6">
        <f>IF(MID(R$1,6,1)="3",Froto!R111,Froto!R111-Froto!S111)</f>
        <v>410838000</v>
      </c>
      <c r="S111" s="6">
        <f>IF(MID(S$1,6,1)="3",Froto!S111,Froto!S111-Froto!T111)</f>
        <v>353839000</v>
      </c>
      <c r="T111" s="6">
        <f>IF(MID(T$1,6,1)="3",Froto!T111,Froto!T111-Froto!U111)</f>
        <v>486254000</v>
      </c>
      <c r="U111" s="6">
        <f>IF(MID(U$1,6,1)="3",Froto!U111,Froto!U111-Froto!V111)</f>
        <v>432265000</v>
      </c>
    </row>
    <row r="112" spans="1:21" x14ac:dyDescent="0.25">
      <c r="A112" t="str">
        <f>Froto!A112</f>
        <v>Hisse Başına Kazanç</v>
      </c>
      <c r="B112" s="6">
        <f>IF(MID(B$1,6,1)="3",Froto!B112,Froto!B112-Froto!C112)</f>
        <v>24</v>
      </c>
      <c r="C112" s="6">
        <f>IF(MID(C$1,6,1)="3",Froto!C112,Froto!C112-Froto!D112)</f>
        <v>10</v>
      </c>
      <c r="D112" s="6">
        <f>IF(MID(D$1,6,1)="3",Froto!D112,Froto!D112-Froto!E112)</f>
        <v>11</v>
      </c>
      <c r="E112" s="6">
        <f>IF(MID(E$1,6,1)="3",Froto!E112,Froto!E112-Froto!F112)</f>
        <v>8</v>
      </c>
      <c r="F112" s="6">
        <f>IF(MID(F$1,6,1)="3",Froto!F112,Froto!F112-Froto!G112)</f>
        <v>12</v>
      </c>
      <c r="G112" s="6">
        <f>IF(MID(G$1,6,1)="3",Froto!G112,Froto!G112-Froto!H112)</f>
        <v>5</v>
      </c>
      <c r="H112" s="6">
        <f>IF(MID(H$1,6,1)="3",Froto!H112,Froto!H112-Froto!I112)</f>
        <v>3</v>
      </c>
      <c r="I112" s="6">
        <f>IF(MID(I$1,6,1)="3",Froto!I112,Froto!I112-Froto!J112)</f>
        <v>5</v>
      </c>
      <c r="J112" s="6">
        <f>IF(MID(J$1,6,1)="3",Froto!J112,Froto!J112-Froto!K112)</f>
        <v>6</v>
      </c>
      <c r="K112" s="6">
        <f>IF(MID(K$1,6,1)="3",Froto!K112,Froto!K112-Froto!L112)</f>
        <v>3</v>
      </c>
      <c r="L112" s="6">
        <f>IF(MID(L$1,6,1)="3",Froto!L112,Froto!L112-Froto!M112)</f>
        <v>1</v>
      </c>
      <c r="M112" s="6">
        <f>IF(MID(M$1,6,1)="3",Froto!M112,Froto!M112-Froto!N112)</f>
        <v>2</v>
      </c>
      <c r="N112" s="6">
        <f>IF(MID(N$1,6,1)="3",Froto!N112,Froto!N112-Froto!O112)</f>
        <v>2</v>
      </c>
      <c r="O112" s="6">
        <f>IF(MID(O$1,6,1)="3",Froto!O112,Froto!O112-Froto!P112)</f>
        <v>1</v>
      </c>
      <c r="P112" s="6">
        <f>IF(MID(P$1,6,1)="3",Froto!P112,Froto!P112-Froto!Q112)</f>
        <v>2</v>
      </c>
      <c r="Q112" s="6">
        <f>IF(MID(Q$1,6,1)="3",Froto!Q112,Froto!Q112-Froto!R112)</f>
        <v>1</v>
      </c>
      <c r="R112" s="6">
        <f>IF(MID(R$1,6,1)="3",Froto!R112,Froto!R112-Froto!S112)</f>
        <v>1</v>
      </c>
      <c r="S112" s="6">
        <f>IF(MID(S$1,6,1)="3",Froto!S112,Froto!S112-Froto!T112)</f>
        <v>3</v>
      </c>
      <c r="T112" s="6">
        <f>IF(MID(T$1,6,1)="3",Froto!T112,Froto!T112-Froto!U112)</f>
        <v>0</v>
      </c>
      <c r="U112" s="6">
        <f>IF(MID(U$1,6,1)="3",Froto!U112,Froto!U112-Froto!V112)</f>
        <v>1</v>
      </c>
    </row>
    <row r="113" spans="1:21" x14ac:dyDescent="0.25">
      <c r="A113" t="str">
        <f>Froto!A113</f>
        <v>Seyreltilmiş Hisse Başına Kazanç</v>
      </c>
      <c r="B113" s="6">
        <f>IF(MID(B$1,6,1)="3",Froto!B113,Froto!B113-Froto!C113)</f>
        <v>0</v>
      </c>
      <c r="C113" s="6">
        <f>IF(MID(C$1,6,1)="3",Froto!C113,Froto!C113-Froto!D113)</f>
        <v>0</v>
      </c>
      <c r="D113" s="6">
        <f>IF(MID(D$1,6,1)="3",Froto!D113,Froto!D113-Froto!E113)</f>
        <v>0</v>
      </c>
      <c r="E113" s="6">
        <f>IF(MID(E$1,6,1)="3",Froto!E113,Froto!E113-Froto!F113)</f>
        <v>0</v>
      </c>
      <c r="F113" s="6">
        <f>IF(MID(F$1,6,1)="3",Froto!F113,Froto!F113-Froto!G113)</f>
        <v>0</v>
      </c>
      <c r="G113" s="6">
        <f>IF(MID(G$1,6,1)="3",Froto!G113,Froto!G113-Froto!H113)</f>
        <v>0</v>
      </c>
      <c r="H113" s="6">
        <f>IF(MID(H$1,6,1)="3",Froto!H113,Froto!H113-Froto!I113)</f>
        <v>0</v>
      </c>
      <c r="I113" s="6">
        <f>IF(MID(I$1,6,1)="3",Froto!I113,Froto!I113-Froto!J113)</f>
        <v>0</v>
      </c>
      <c r="J113" s="6">
        <f>IF(MID(J$1,6,1)="3",Froto!J113,Froto!J113-Froto!K113)</f>
        <v>0</v>
      </c>
      <c r="K113" s="6">
        <f>IF(MID(K$1,6,1)="3",Froto!K113,Froto!K113-Froto!L113)</f>
        <v>-3</v>
      </c>
      <c r="L113" s="6">
        <f>IF(MID(L$1,6,1)="3",Froto!L113,Froto!L113-Froto!M113)</f>
        <v>3</v>
      </c>
      <c r="M113" s="6">
        <f>IF(MID(M$1,6,1)="3",Froto!M113,Froto!M113-Froto!N113)</f>
        <v>0</v>
      </c>
      <c r="N113" s="6">
        <f>IF(MID(N$1,6,1)="3",Froto!N113,Froto!N113-Froto!O113)</f>
        <v>0</v>
      </c>
      <c r="O113" s="6">
        <f>IF(MID(O$1,6,1)="3",Froto!O113,Froto!O113-Froto!P113)</f>
        <v>-3</v>
      </c>
      <c r="P113" s="6">
        <f>IF(MID(P$1,6,1)="3",Froto!P113,Froto!P113-Froto!Q113)</f>
        <v>3</v>
      </c>
      <c r="Q113" s="6">
        <f>IF(MID(Q$1,6,1)="3",Froto!Q113,Froto!Q113-Froto!R113)</f>
        <v>0</v>
      </c>
      <c r="R113" s="6">
        <f>IF(MID(R$1,6,1)="3",Froto!R113,Froto!R113-Froto!S113)</f>
        <v>0</v>
      </c>
      <c r="S113" s="6">
        <f>IF(MID(S$1,6,1)="3",Froto!S113,Froto!S113-Froto!T113)</f>
        <v>0</v>
      </c>
      <c r="T113" s="6">
        <f>IF(MID(T$1,6,1)="3",Froto!T113,Froto!T113-Froto!U113)</f>
        <v>0</v>
      </c>
      <c r="U113" s="6">
        <f>IF(MID(U$1,6,1)="3",Froto!U113,Froto!U113-Froto!V113)</f>
        <v>0</v>
      </c>
    </row>
    <row r="114" spans="1:21" x14ac:dyDescent="0.25">
      <c r="A114" t="str">
        <f>Froto!A114</f>
        <v>Sürdürülen Faaliyetlerden Hisse Başına Kazanç</v>
      </c>
      <c r="B114" s="6">
        <f>IF(MID(B$1,6,1)="3",Froto!B114,Froto!B114-Froto!C114)</f>
        <v>0</v>
      </c>
      <c r="C114" s="6">
        <f>IF(MID(C$1,6,1)="3",Froto!C114,Froto!C114-Froto!D114)</f>
        <v>0</v>
      </c>
      <c r="D114" s="6">
        <f>IF(MID(D$1,6,1)="3",Froto!D114,Froto!D114-Froto!E114)</f>
        <v>0</v>
      </c>
      <c r="E114" s="6">
        <f>IF(MID(E$1,6,1)="3",Froto!E114,Froto!E114-Froto!F114)</f>
        <v>0</v>
      </c>
      <c r="F114" s="6">
        <f>IF(MID(F$1,6,1)="3",Froto!F114,Froto!F114-Froto!G114)</f>
        <v>0</v>
      </c>
      <c r="G114" s="6">
        <f>IF(MID(G$1,6,1)="3",Froto!G114,Froto!G114-Froto!H114)</f>
        <v>0</v>
      </c>
      <c r="H114" s="6">
        <f>IF(MID(H$1,6,1)="3",Froto!H114,Froto!H114-Froto!I114)</f>
        <v>0</v>
      </c>
      <c r="I114" s="6">
        <f>IF(MID(I$1,6,1)="3",Froto!I114,Froto!I114-Froto!J114)</f>
        <v>0</v>
      </c>
      <c r="J114" s="6">
        <f>IF(MID(J$1,6,1)="3",Froto!J114,Froto!J114-Froto!K114)</f>
        <v>0</v>
      </c>
      <c r="K114" s="6">
        <f>IF(MID(K$1,6,1)="3",Froto!K114,Froto!K114-Froto!L114)</f>
        <v>-3</v>
      </c>
      <c r="L114" s="6">
        <f>IF(MID(L$1,6,1)="3",Froto!L114,Froto!L114-Froto!M114)</f>
        <v>3</v>
      </c>
      <c r="M114" s="6">
        <f>IF(MID(M$1,6,1)="3",Froto!M114,Froto!M114-Froto!N114)</f>
        <v>0</v>
      </c>
      <c r="N114" s="6">
        <f>IF(MID(N$1,6,1)="3",Froto!N114,Froto!N114-Froto!O114)</f>
        <v>0</v>
      </c>
      <c r="O114" s="6">
        <f>IF(MID(O$1,6,1)="3",Froto!O114,Froto!O114-Froto!P114)</f>
        <v>-3</v>
      </c>
      <c r="P114" s="6">
        <f>IF(MID(P$1,6,1)="3",Froto!P114,Froto!P114-Froto!Q114)</f>
        <v>3</v>
      </c>
      <c r="Q114" s="6">
        <f>IF(MID(Q$1,6,1)="3",Froto!Q114,Froto!Q114-Froto!R114)</f>
        <v>0</v>
      </c>
      <c r="R114" s="6">
        <f>IF(MID(R$1,6,1)="3",Froto!R114,Froto!R114-Froto!S114)</f>
        <v>0</v>
      </c>
      <c r="S114" s="6">
        <f>IF(MID(S$1,6,1)="3",Froto!S114,Froto!S114-Froto!T114)</f>
        <v>0</v>
      </c>
      <c r="T114" s="6">
        <f>IF(MID(T$1,6,1)="3",Froto!T114,Froto!T114-Froto!U114)</f>
        <v>0</v>
      </c>
      <c r="U114" s="6">
        <f>IF(MID(U$1,6,1)="3",Froto!U114,Froto!U114-Froto!V114)</f>
        <v>0</v>
      </c>
    </row>
    <row r="115" spans="1:21" x14ac:dyDescent="0.25">
      <c r="A115" t="str">
        <f>Froto!A115</f>
        <v>Sürdürülen Faaliyetlerden Seyreltilmiş Hisse Başına Kazanç</v>
      </c>
      <c r="B115" s="6">
        <f>IF(MID(B$1,6,1)="3",Froto!B115,Froto!B115-Froto!C115)</f>
        <v>0</v>
      </c>
      <c r="C115" s="6">
        <f>IF(MID(C$1,6,1)="3",Froto!C115,Froto!C115-Froto!D115)</f>
        <v>0</v>
      </c>
      <c r="D115" s="6">
        <f>IF(MID(D$1,6,1)="3",Froto!D115,Froto!D115-Froto!E115)</f>
        <v>0</v>
      </c>
      <c r="E115" s="6">
        <f>IF(MID(E$1,6,1)="3",Froto!E115,Froto!E115-Froto!F115)</f>
        <v>0</v>
      </c>
      <c r="F115" s="6">
        <f>IF(MID(F$1,6,1)="3",Froto!F115,Froto!F115-Froto!G115)</f>
        <v>0</v>
      </c>
      <c r="G115" s="6">
        <f>IF(MID(G$1,6,1)="3",Froto!G115,Froto!G115-Froto!H115)</f>
        <v>0</v>
      </c>
      <c r="H115" s="6">
        <f>IF(MID(H$1,6,1)="3",Froto!H115,Froto!H115-Froto!I115)</f>
        <v>0</v>
      </c>
      <c r="I115" s="6">
        <f>IF(MID(I$1,6,1)="3",Froto!I115,Froto!I115-Froto!J115)</f>
        <v>0</v>
      </c>
      <c r="J115" s="6">
        <f>IF(MID(J$1,6,1)="3",Froto!J115,Froto!J115-Froto!K115)</f>
        <v>0</v>
      </c>
      <c r="K115" s="6">
        <f>IF(MID(K$1,6,1)="3",Froto!K115,Froto!K115-Froto!L115)</f>
        <v>-3</v>
      </c>
      <c r="L115" s="6">
        <f>IF(MID(L$1,6,1)="3",Froto!L115,Froto!L115-Froto!M115)</f>
        <v>3</v>
      </c>
      <c r="M115" s="6">
        <f>IF(MID(M$1,6,1)="3",Froto!M115,Froto!M115-Froto!N115)</f>
        <v>0</v>
      </c>
      <c r="N115" s="6">
        <f>IF(MID(N$1,6,1)="3",Froto!N115,Froto!N115-Froto!O115)</f>
        <v>0</v>
      </c>
      <c r="O115" s="6">
        <f>IF(MID(O$1,6,1)="3",Froto!O115,Froto!O115-Froto!P115)</f>
        <v>-3</v>
      </c>
      <c r="P115" s="6">
        <f>IF(MID(P$1,6,1)="3",Froto!P115,Froto!P115-Froto!Q115)</f>
        <v>3</v>
      </c>
      <c r="Q115" s="6">
        <f>IF(MID(Q$1,6,1)="3",Froto!Q115,Froto!Q115-Froto!R115)</f>
        <v>0</v>
      </c>
      <c r="R115" s="6">
        <f>IF(MID(R$1,6,1)="3",Froto!R115,Froto!R115-Froto!S115)</f>
        <v>0</v>
      </c>
      <c r="S115" s="6">
        <f>IF(MID(S$1,6,1)="3",Froto!S115,Froto!S115-Froto!T115)</f>
        <v>0</v>
      </c>
      <c r="T115" s="6">
        <f>IF(MID(T$1,6,1)="3",Froto!T115,Froto!T115-Froto!U115)</f>
        <v>0</v>
      </c>
      <c r="U115" s="6">
        <f>IF(MID(U$1,6,1)="3",Froto!U115,Froto!U115-Froto!V115)</f>
        <v>0</v>
      </c>
    </row>
    <row r="116" spans="1:21" x14ac:dyDescent="0.25">
      <c r="A116" t="str">
        <f>Froto!A116</f>
        <v>Amortisman Giderleri</v>
      </c>
      <c r="B116" s="6">
        <f>IF(MID(B$1,6,1)="3",Froto!B116,Froto!B116-Froto!C116)</f>
        <v>644063000</v>
      </c>
      <c r="C116" s="6">
        <f>IF(MID(C$1,6,1)="3",Froto!C116,Froto!C116-Froto!D116)</f>
        <v>666650000</v>
      </c>
      <c r="D116" s="6">
        <f>IF(MID(D$1,6,1)="3",Froto!D116,Froto!D116-Froto!E116)</f>
        <v>289956000</v>
      </c>
      <c r="E116" s="6">
        <f>IF(MID(E$1,6,1)="3",Froto!E116,Froto!E116-Froto!F116)</f>
        <v>294279000</v>
      </c>
      <c r="F116" s="6">
        <f>IF(MID(F$1,6,1)="3",Froto!F116,Froto!F116-Froto!G116)</f>
        <v>282007000</v>
      </c>
      <c r="G116" s="6">
        <f>IF(MID(G$1,6,1)="3",Froto!G116,Froto!G116-Froto!H116)</f>
        <v>262331000</v>
      </c>
      <c r="H116" s="6">
        <f>IF(MID(H$1,6,1)="3",Froto!H116,Froto!H116-Froto!I116)</f>
        <v>257569000</v>
      </c>
      <c r="I116" s="6">
        <f>IF(MID(I$1,6,1)="3",Froto!I116,Froto!I116-Froto!J116)</f>
        <v>252357000</v>
      </c>
      <c r="J116" s="6">
        <f>IF(MID(J$1,6,1)="3",Froto!J116,Froto!J116-Froto!K116)</f>
        <v>242675000</v>
      </c>
      <c r="K116" s="6">
        <f>IF(MID(K$1,6,1)="3",Froto!K116,Froto!K116-Froto!L116)</f>
        <v>230301000</v>
      </c>
      <c r="L116" s="6">
        <f>IF(MID(L$1,6,1)="3",Froto!L116,Froto!L116-Froto!M116)</f>
        <v>224903000</v>
      </c>
      <c r="M116" s="6">
        <f>IF(MID(M$1,6,1)="3",Froto!M116,Froto!M116-Froto!N116)</f>
        <v>218696000</v>
      </c>
      <c r="N116" s="6">
        <f>IF(MID(N$1,6,1)="3",Froto!N116,Froto!N116-Froto!O116)</f>
        <v>214279000</v>
      </c>
      <c r="O116" s="6">
        <f>IF(MID(O$1,6,1)="3",Froto!O116,Froto!O116-Froto!P116)</f>
        <v>200911000</v>
      </c>
      <c r="P116" s="6">
        <f>IF(MID(P$1,6,1)="3",Froto!P116,Froto!P116-Froto!Q116)</f>
        <v>182745000</v>
      </c>
      <c r="Q116" s="6">
        <f>IF(MID(Q$1,6,1)="3",Froto!Q116,Froto!Q116-Froto!R116)</f>
        <v>178053000</v>
      </c>
      <c r="R116" s="6">
        <f>IF(MID(R$1,6,1)="3",Froto!R116,Froto!R116-Froto!S116)</f>
        <v>151479000</v>
      </c>
      <c r="S116" s="6">
        <f>IF(MID(S$1,6,1)="3",Froto!S116,Froto!S116-Froto!T116)</f>
        <v>147814000</v>
      </c>
      <c r="T116" s="6">
        <f>IF(MID(T$1,6,1)="3",Froto!T116,Froto!T116-Froto!U116)</f>
        <v>141748000</v>
      </c>
      <c r="U116" s="6">
        <f>IF(MID(U$1,6,1)="3",Froto!U116,Froto!U116-Froto!V116)</f>
        <v>128162000</v>
      </c>
    </row>
    <row r="117" spans="1:21" x14ac:dyDescent="0.25">
      <c r="A117" t="str">
        <f>Froto!A117</f>
        <v>Kıdem Tazminatı</v>
      </c>
      <c r="B117" s="6">
        <f>IF(MID(B$1,6,1)="3",Froto!B117,Froto!B117-Froto!C117)</f>
        <v>40651000</v>
      </c>
      <c r="C117" s="6">
        <f>IF(MID(C$1,6,1)="3",Froto!C117,Froto!C117-Froto!D117)</f>
        <v>-19802000</v>
      </c>
      <c r="D117" s="6">
        <f>IF(MID(D$1,6,1)="3",Froto!D117,Froto!D117-Froto!E117)</f>
        <v>9901000</v>
      </c>
      <c r="E117" s="6">
        <f>IF(MID(E$1,6,1)="3",Froto!E117,Froto!E117-Froto!F117)</f>
        <v>9901000</v>
      </c>
      <c r="F117" s="6">
        <f>IF(MID(F$1,6,1)="3",Froto!F117,Froto!F117-Froto!G117)</f>
        <v>5893000</v>
      </c>
      <c r="G117" s="6">
        <f>IF(MID(G$1,6,1)="3",Froto!G117,Froto!G117-Froto!H117)</f>
        <v>5893000</v>
      </c>
      <c r="H117" s="6">
        <f>IF(MID(H$1,6,1)="3",Froto!H117,Froto!H117-Froto!I117)</f>
        <v>5894000</v>
      </c>
      <c r="I117" s="6">
        <f>IF(MID(I$1,6,1)="3",Froto!I117,Froto!I117-Froto!J117)</f>
        <v>5893000</v>
      </c>
      <c r="J117" s="6">
        <f>IF(MID(J$1,6,1)="3",Froto!J117,Froto!J117-Froto!K117)</f>
        <v>4967000</v>
      </c>
      <c r="K117" s="6">
        <f>IF(MID(K$1,6,1)="3",Froto!K117,Froto!K117-Froto!L117)</f>
        <v>4967000</v>
      </c>
      <c r="L117" s="6">
        <f>IF(MID(L$1,6,1)="3",Froto!L117,Froto!L117-Froto!M117)</f>
        <v>4967000</v>
      </c>
      <c r="M117" s="6">
        <f>IF(MID(M$1,6,1)="3",Froto!M117,Froto!M117-Froto!N117)</f>
        <v>4967000</v>
      </c>
      <c r="N117" s="6">
        <f>IF(MID(N$1,6,1)="3",Froto!N117,Froto!N117-Froto!O117)</f>
        <v>17800000</v>
      </c>
      <c r="O117" s="6">
        <f>IF(MID(O$1,6,1)="3",Froto!O117,Froto!O117-Froto!P117)</f>
        <v>17801000</v>
      </c>
      <c r="P117" s="6">
        <f>IF(MID(P$1,6,1)="3",Froto!P117,Froto!P117-Froto!Q117)</f>
        <v>17800000</v>
      </c>
      <c r="Q117" s="6">
        <f>IF(MID(Q$1,6,1)="3",Froto!Q117,Froto!Q117-Froto!R117)</f>
        <v>17800000</v>
      </c>
      <c r="R117" s="6">
        <f>IF(MID(R$1,6,1)="3",Froto!R117,Froto!R117-Froto!S117)</f>
        <v>14027000</v>
      </c>
      <c r="S117" s="6">
        <f>IF(MID(S$1,6,1)="3",Froto!S117,Froto!S117-Froto!T117)</f>
        <v>14026000</v>
      </c>
      <c r="T117" s="6">
        <f>IF(MID(T$1,6,1)="3",Froto!T117,Froto!T117-Froto!U117)</f>
        <v>14028000</v>
      </c>
      <c r="U117" s="6">
        <f>IF(MID(U$1,6,1)="3",Froto!U117,Froto!U117-Froto!V117)</f>
        <v>14027000</v>
      </c>
    </row>
    <row r="118" spans="1:21" x14ac:dyDescent="0.25">
      <c r="A118" t="str">
        <f>Froto!A118</f>
        <v>Finansman Giderleri</v>
      </c>
      <c r="B118" s="6">
        <f>IF(MID(B$1,6,1)="3",Froto!B118,Froto!B118-Froto!C118)</f>
        <v>-2118289000</v>
      </c>
      <c r="C118" s="6">
        <f>IF(MID(C$1,6,1)="3",Froto!C118,Froto!C118-Froto!D118)</f>
        <v>-2064066000</v>
      </c>
      <c r="D118" s="6">
        <f>IF(MID(D$1,6,1)="3",Froto!D118,Froto!D118-Froto!E118)</f>
        <v>-3662820000</v>
      </c>
      <c r="E118" s="6">
        <f>IF(MID(E$1,6,1)="3",Froto!E118,Froto!E118-Froto!F118)</f>
        <v>-2352474000</v>
      </c>
      <c r="F118" s="6">
        <f>IF(MID(F$1,6,1)="3",Froto!F118,Froto!F118-Froto!G118)</f>
        <v>-4250404000</v>
      </c>
      <c r="G118" s="6">
        <f>IF(MID(G$1,6,1)="3",Froto!G118,Froto!G118-Froto!H118)</f>
        <v>-987104000</v>
      </c>
      <c r="H118" s="6">
        <f>IF(MID(H$1,6,1)="3",Froto!H118,Froto!H118-Froto!I118)</f>
        <v>-613612000</v>
      </c>
      <c r="I118" s="6">
        <f>IF(MID(I$1,6,1)="3",Froto!I118,Froto!I118-Froto!J118)</f>
        <v>-676515000</v>
      </c>
      <c r="J118" s="6">
        <f>IF(MID(J$1,6,1)="3",Froto!J118,Froto!J118-Froto!K118)</f>
        <v>-1141223000</v>
      </c>
      <c r="K118" s="6">
        <f>IF(MID(K$1,6,1)="3",Froto!K118,Froto!K118-Froto!L118)</f>
        <v>-603223000</v>
      </c>
      <c r="L118" s="6">
        <f>IF(MID(L$1,6,1)="3",Froto!L118,Froto!L118-Froto!M118)</f>
        <v>-425687000</v>
      </c>
      <c r="M118" s="6">
        <f>IF(MID(M$1,6,1)="3",Froto!M118,Froto!M118-Froto!N118)</f>
        <v>-383742000</v>
      </c>
      <c r="N118" s="6">
        <f>IF(MID(N$1,6,1)="3",Froto!N118,Froto!N118-Froto!O118)</f>
        <v>-406581000</v>
      </c>
      <c r="O118" s="6">
        <f>IF(MID(O$1,6,1)="3",Froto!O118,Froto!O118-Froto!P118)</f>
        <v>-632592000</v>
      </c>
      <c r="P118" s="6">
        <f>IF(MID(P$1,6,1)="3",Froto!P118,Froto!P118-Froto!Q118)</f>
        <v>-381396000</v>
      </c>
      <c r="Q118" s="6">
        <f>IF(MID(Q$1,6,1)="3",Froto!Q118,Froto!Q118-Froto!R118)</f>
        <v>-235662000</v>
      </c>
      <c r="R118" s="6">
        <f>IF(MID(R$1,6,1)="3",Froto!R118,Froto!R118-Froto!S118)</f>
        <v>-993677000</v>
      </c>
      <c r="S118" s="6">
        <f>IF(MID(S$1,6,1)="3",Froto!S118,Froto!S118-Froto!T118)</f>
        <v>-1100155000</v>
      </c>
      <c r="T118" s="6">
        <f>IF(MID(T$1,6,1)="3",Froto!T118,Froto!T118-Froto!U118)</f>
        <v>-230768000</v>
      </c>
      <c r="U118" s="6">
        <f>IF(MID(U$1,6,1)="3",Froto!U118,Froto!U118-Froto!V118)</f>
        <v>-177245000</v>
      </c>
    </row>
    <row r="119" spans="1:21" x14ac:dyDescent="0.25">
      <c r="A119" t="str">
        <f>Froto!A119</f>
        <v>Yurtiçi Satışlar</v>
      </c>
      <c r="B119" s="6">
        <f>IF(MID(B$1,6,1)="3",Froto!B119,Froto!B119-Froto!C119)</f>
        <v>16326606000</v>
      </c>
      <c r="C119" s="6">
        <f>IF(MID(C$1,6,1)="3",Froto!C119,Froto!C119-Froto!D119)</f>
        <v>10625033000</v>
      </c>
      <c r="D119" s="6">
        <f>IF(MID(D$1,6,1)="3",Froto!D119,Froto!D119-Froto!E119)</f>
        <v>8018905000</v>
      </c>
      <c r="E119" s="6">
        <f>IF(MID(E$1,6,1)="3",Froto!E119,Froto!E119-Froto!F119)</f>
        <v>5837040000</v>
      </c>
      <c r="F119" s="6">
        <f>IF(MID(F$1,6,1)="3",Froto!F119,Froto!F119-Froto!G119)</f>
        <v>6826094000</v>
      </c>
      <c r="G119" s="6">
        <f>IF(MID(G$1,6,1)="3",Froto!G119,Froto!G119-Froto!H119)</f>
        <v>3615363000</v>
      </c>
      <c r="H119" s="6">
        <f>IF(MID(H$1,6,1)="3",Froto!H119,Froto!H119-Froto!I119)</f>
        <v>3435961000</v>
      </c>
      <c r="I119" s="6">
        <f>IF(MID(I$1,6,1)="3",Froto!I119,Froto!I119-Froto!J119)</f>
        <v>4106198000</v>
      </c>
      <c r="J119" s="6">
        <f>IF(MID(J$1,6,1)="3",Froto!J119,Froto!J119-Froto!K119)</f>
        <v>6895923000</v>
      </c>
      <c r="K119" s="6">
        <f>IF(MID(K$1,6,1)="3",Froto!K119,Froto!K119-Froto!L119)</f>
        <v>5336148000</v>
      </c>
      <c r="L119" s="6">
        <f>IF(MID(L$1,6,1)="3",Froto!L119,Froto!L119-Froto!M119)</f>
        <v>1874123000</v>
      </c>
      <c r="M119" s="6">
        <f>IF(MID(M$1,6,1)="3",Froto!M119,Froto!M119-Froto!N119)</f>
        <v>2047642000</v>
      </c>
      <c r="N119" s="6">
        <f>IF(MID(N$1,6,1)="3",Froto!N119,Froto!N119-Froto!O119)</f>
        <v>2699007000</v>
      </c>
      <c r="O119" s="6">
        <f>IF(MID(O$1,6,1)="3",Froto!O119,Froto!O119-Froto!P119)</f>
        <v>1187733000</v>
      </c>
      <c r="P119" s="6">
        <f>IF(MID(P$1,6,1)="3",Froto!P119,Froto!P119-Froto!Q119)</f>
        <v>1372204000</v>
      </c>
      <c r="Q119" s="6">
        <f>IF(MID(Q$1,6,1)="3",Froto!Q119,Froto!Q119-Froto!R119)</f>
        <v>1312516000</v>
      </c>
      <c r="R119" s="6">
        <f>IF(MID(R$1,6,1)="3",Froto!R119,Froto!R119-Froto!S119)</f>
        <v>1679693000</v>
      </c>
      <c r="S119" s="6">
        <f>IF(MID(S$1,6,1)="3",Froto!S119,Froto!S119-Froto!T119)</f>
        <v>1277540000</v>
      </c>
      <c r="T119" s="6">
        <f>IF(MID(T$1,6,1)="3",Froto!T119,Froto!T119-Froto!U119)</f>
        <v>2027977000</v>
      </c>
      <c r="U119" s="6">
        <f>IF(MID(U$1,6,1)="3",Froto!U119,Froto!U119-Froto!V119)</f>
        <v>1700954000</v>
      </c>
    </row>
    <row r="120" spans="1:21" x14ac:dyDescent="0.25">
      <c r="A120" t="str">
        <f>Froto!A120</f>
        <v>Yurtdışı Satışlar</v>
      </c>
      <c r="B120" s="6">
        <f>IF(MID(B$1,6,1)="3",Froto!B120,Froto!B120-Froto!C120)</f>
        <v>45304738000</v>
      </c>
      <c r="C120" s="6">
        <f>IF(MID(C$1,6,1)="3",Froto!C120,Froto!C120-Froto!D120)</f>
        <v>40143517000</v>
      </c>
      <c r="D120" s="6">
        <f>IF(MID(D$1,6,1)="3",Froto!D120,Froto!D120-Froto!E120)</f>
        <v>25349811000</v>
      </c>
      <c r="E120" s="6">
        <f>IF(MID(E$1,6,1)="3",Froto!E120,Froto!E120-Froto!F120)</f>
        <v>22468684000</v>
      </c>
      <c r="F120" s="6">
        <f>IF(MID(F$1,6,1)="3",Froto!F120,Froto!F120-Froto!G120)</f>
        <v>19060834000</v>
      </c>
      <c r="G120" s="6">
        <f>IF(MID(G$1,6,1)="3",Froto!G120,Froto!G120-Froto!H120)</f>
        <v>15563397000</v>
      </c>
      <c r="H120" s="6">
        <f>IF(MID(H$1,6,1)="3",Froto!H120,Froto!H120-Froto!I120)</f>
        <v>7354314000</v>
      </c>
      <c r="I120" s="6">
        <f>IF(MID(I$1,6,1)="3",Froto!I120,Froto!I120-Froto!J120)</f>
        <v>12536606000</v>
      </c>
      <c r="J120" s="6">
        <f>IF(MID(J$1,6,1)="3",Froto!J120,Froto!J120-Froto!K120)</f>
        <v>14549516000</v>
      </c>
      <c r="K120" s="6">
        <f>IF(MID(K$1,6,1)="3",Froto!K120,Froto!K120-Froto!L120)</f>
        <v>8537908000</v>
      </c>
      <c r="L120" s="6">
        <f>IF(MID(L$1,6,1)="3",Froto!L120,Froto!L120-Froto!M120)</f>
        <v>4034283000</v>
      </c>
      <c r="M120" s="6">
        <f>IF(MID(M$1,6,1)="3",Froto!M120,Froto!M120-Froto!N120)</f>
        <v>7504365000</v>
      </c>
      <c r="N120" s="6">
        <f>IF(MID(N$1,6,1)="3",Froto!N120,Froto!N120-Froto!O120)</f>
        <v>9063117000</v>
      </c>
      <c r="O120" s="6">
        <f>IF(MID(O$1,6,1)="3",Froto!O120,Froto!O120-Froto!P120)</f>
        <v>8256082000</v>
      </c>
      <c r="P120" s="6">
        <f>IF(MID(P$1,6,1)="3",Froto!P120,Froto!P120-Froto!Q120)</f>
        <v>7915114000</v>
      </c>
      <c r="Q120" s="6">
        <f>IF(MID(Q$1,6,1)="3",Froto!Q120,Froto!Q120-Froto!R120)</f>
        <v>8141113000</v>
      </c>
      <c r="R120" s="6">
        <f>IF(MID(R$1,6,1)="3",Froto!R120,Froto!R120-Froto!S120)</f>
        <v>8523941000</v>
      </c>
      <c r="S120" s="6">
        <f>IF(MID(S$1,6,1)="3",Froto!S120,Froto!S120-Froto!T120)</f>
        <v>6680991000</v>
      </c>
      <c r="T120" s="6">
        <f>IF(MID(T$1,6,1)="3",Froto!T120,Froto!T120-Froto!U120)</f>
        <v>6370479000</v>
      </c>
      <c r="U120" s="6">
        <f>IF(MID(U$1,6,1)="3",Froto!U120,Froto!U120-Froto!V120)</f>
        <v>5728030000</v>
      </c>
    </row>
    <row r="121" spans="1:21" x14ac:dyDescent="0.25">
      <c r="A121" t="str">
        <f>Froto!A121</f>
        <v>Net Yabancı Para Pozisyonu</v>
      </c>
      <c r="B121" s="6">
        <f>IF(MID(B$1,6,1)="3",Froto!B121,Froto!B121-Froto!C121)</f>
        <v>1098982000</v>
      </c>
      <c r="C121" s="6">
        <f>IF(MID(C$1,6,1)="3",Froto!C121,Froto!C121-Froto!D121)</f>
        <v>-4182967000</v>
      </c>
      <c r="D121" s="6">
        <f>IF(MID(D$1,6,1)="3",Froto!D121,Froto!D121-Froto!E121)</f>
        <v>-8208237000</v>
      </c>
      <c r="E121" s="6">
        <f>IF(MID(E$1,6,1)="3",Froto!E121,Froto!E121-Froto!F121)</f>
        <v>-6788307000</v>
      </c>
      <c r="F121" s="6">
        <f>IF(MID(F$1,6,1)="3",Froto!F121,Froto!F121-Froto!G121)</f>
        <v>-1683059000</v>
      </c>
      <c r="G121" s="6">
        <f>IF(MID(G$1,6,1)="3",Froto!G121,Froto!G121-Froto!H121)</f>
        <v>-197042000</v>
      </c>
      <c r="H121" s="6">
        <f>IF(MID(H$1,6,1)="3",Froto!H121,Froto!H121-Froto!I121)</f>
        <v>358995000</v>
      </c>
      <c r="I121" s="6">
        <f>IF(MID(I$1,6,1)="3",Froto!I121,Froto!I121-Froto!J121)</f>
        <v>-5556205000</v>
      </c>
      <c r="J121" s="6">
        <f>IF(MID(J$1,6,1)="3",Froto!J121,Froto!J121-Froto!K121)</f>
        <v>2017159000</v>
      </c>
      <c r="K121" s="6">
        <f>IF(MID(K$1,6,1)="3",Froto!K121,Froto!K121-Froto!L121)</f>
        <v>-1696672000</v>
      </c>
      <c r="L121" s="6">
        <f>IF(MID(L$1,6,1)="3",Froto!L121,Froto!L121-Froto!M121)</f>
        <v>-961776000</v>
      </c>
      <c r="M121" s="6">
        <f>IF(MID(M$1,6,1)="3",Froto!M121,Froto!M121-Froto!N121)</f>
        <v>-4328245000</v>
      </c>
      <c r="N121" s="6">
        <f>IF(MID(N$1,6,1)="3",Froto!N121,Froto!N121-Froto!O121)</f>
        <v>-719592000</v>
      </c>
      <c r="O121" s="6">
        <f>IF(MID(O$1,6,1)="3",Froto!O121,Froto!O121-Froto!P121)</f>
        <v>217976000</v>
      </c>
      <c r="P121" s="6">
        <f>IF(MID(P$1,6,1)="3",Froto!P121,Froto!P121-Froto!Q121)</f>
        <v>-559757000</v>
      </c>
      <c r="Q121" s="6">
        <f>IF(MID(Q$1,6,1)="3",Froto!Q121,Froto!Q121-Froto!R121)</f>
        <v>-2754407000</v>
      </c>
      <c r="R121" s="6">
        <f>IF(MID(R$1,6,1)="3",Froto!R121,Froto!R121-Froto!S121)</f>
        <v>-6114457000</v>
      </c>
      <c r="S121" s="6">
        <f>IF(MID(S$1,6,1)="3",Froto!S121,Froto!S121-Froto!T121)</f>
        <v>6181612000</v>
      </c>
      <c r="T121" s="6">
        <f>IF(MID(T$1,6,1)="3",Froto!T121,Froto!T121-Froto!U121)</f>
        <v>-571431000</v>
      </c>
      <c r="U121" s="6">
        <f>IF(MID(U$1,6,1)="3",Froto!U121,Froto!U121-Froto!V121)</f>
        <v>-2144781000</v>
      </c>
    </row>
    <row r="122" spans="1:21" x14ac:dyDescent="0.25">
      <c r="A122" t="str">
        <f>Froto!A122</f>
        <v>Parasal net yabancı para varlık/(yükümlülük) pozisyonu</v>
      </c>
      <c r="B122" s="6">
        <f>IF(MID(B$1,6,1)="3",Froto!B122,Froto!B122-Froto!C122)</f>
        <v>3440122000</v>
      </c>
      <c r="C122" s="6">
        <f>IF(MID(C$1,6,1)="3",Froto!C122,Froto!C122-Froto!D122)</f>
        <v>-461440000</v>
      </c>
      <c r="D122" s="6">
        <f>IF(MID(D$1,6,1)="3",Froto!D122,Froto!D122-Froto!E122)</f>
        <v>-8612235000</v>
      </c>
      <c r="E122" s="6">
        <f>IF(MID(E$1,6,1)="3",Froto!E122,Froto!E122-Froto!F122)</f>
        <v>-7481356000</v>
      </c>
      <c r="F122" s="6">
        <f>IF(MID(F$1,6,1)="3",Froto!F122,Froto!F122-Froto!G122)</f>
        <v>-2022478000</v>
      </c>
      <c r="G122" s="6">
        <f>IF(MID(G$1,6,1)="3",Froto!G122,Froto!G122-Froto!H122)</f>
        <v>206348000</v>
      </c>
      <c r="H122" s="6">
        <f>IF(MID(H$1,6,1)="3",Froto!H122,Froto!H122-Froto!I122)</f>
        <v>21939000</v>
      </c>
      <c r="I122" s="6">
        <f>IF(MID(I$1,6,1)="3",Froto!I122,Froto!I122-Froto!J122)</f>
        <v>-5923908000</v>
      </c>
      <c r="J122" s="6">
        <f>IF(MID(J$1,6,1)="3",Froto!J122,Froto!J122-Froto!K122)</f>
        <v>1956096000</v>
      </c>
      <c r="K122" s="6">
        <f>IF(MID(K$1,6,1)="3",Froto!K122,Froto!K122-Froto!L122)</f>
        <v>-1620044000</v>
      </c>
      <c r="L122" s="6">
        <f>IF(MID(L$1,6,1)="3",Froto!L122,Froto!L122-Froto!M122)</f>
        <v>-1129542000</v>
      </c>
      <c r="M122" s="6">
        <f>IF(MID(M$1,6,1)="3",Froto!M122,Froto!M122-Froto!N122)</f>
        <v>-4545912000</v>
      </c>
      <c r="N122" s="6">
        <f>IF(MID(N$1,6,1)="3",Froto!N122,Froto!N122-Froto!O122)</f>
        <v>-729087000</v>
      </c>
      <c r="O122" s="6">
        <f>IF(MID(O$1,6,1)="3",Froto!O122,Froto!O122-Froto!P122)</f>
        <v>203921000</v>
      </c>
      <c r="P122" s="6">
        <f>IF(MID(P$1,6,1)="3",Froto!P122,Froto!P122-Froto!Q122)</f>
        <v>-603952000</v>
      </c>
      <c r="Q122" s="6">
        <f>IF(MID(Q$1,6,1)="3",Froto!Q122,Froto!Q122-Froto!R122)</f>
        <v>-3109612000</v>
      </c>
      <c r="R122" s="6">
        <f>IF(MID(R$1,6,1)="3",Froto!R122,Froto!R122-Froto!S122)</f>
        <v>855862000</v>
      </c>
      <c r="S122" s="6">
        <f>IF(MID(S$1,6,1)="3",Froto!S122,Froto!S122-Froto!T122)</f>
        <v>-850935000</v>
      </c>
      <c r="T122" s="6">
        <f>IF(MID(T$1,6,1)="3",Froto!T122,Froto!T122-Froto!U122)</f>
        <v>-647366000</v>
      </c>
      <c r="U122" s="6">
        <f>IF(MID(U$1,6,1)="3",Froto!U122,Froto!U122-Froto!V122)</f>
        <v>-2315433000</v>
      </c>
    </row>
    <row r="123" spans="1:21" x14ac:dyDescent="0.25">
      <c r="A123" t="str">
        <f>Froto!A123</f>
        <v>Net YPP (Hedge Dahil)</v>
      </c>
      <c r="B123" s="6">
        <f>IF(MID(B$1,6,1)="3",Froto!B123,Froto!B123-Froto!C123)</f>
        <v>1098982000</v>
      </c>
      <c r="C123" s="6">
        <f>IF(MID(C$1,6,1)="3",Froto!C123,Froto!C123-Froto!D123)</f>
        <v>-4182967000</v>
      </c>
      <c r="D123" s="6">
        <f>IF(MID(D$1,6,1)="3",Froto!D123,Froto!D123-Froto!E123)</f>
        <v>-8208237000</v>
      </c>
      <c r="E123" s="6">
        <f>IF(MID(E$1,6,1)="3",Froto!E123,Froto!E123-Froto!F123)</f>
        <v>-6788307000</v>
      </c>
      <c r="F123" s="6">
        <f>IF(MID(F$1,6,1)="3",Froto!F123,Froto!F123-Froto!G123)</f>
        <v>-1683059000</v>
      </c>
      <c r="G123" s="6">
        <f>IF(MID(G$1,6,1)="3",Froto!G123,Froto!G123-Froto!H123)</f>
        <v>-197042000</v>
      </c>
      <c r="H123" s="6">
        <f>IF(MID(H$1,6,1)="3",Froto!H123,Froto!H123-Froto!I123)</f>
        <v>358995000</v>
      </c>
      <c r="I123" s="6">
        <f>IF(MID(I$1,6,1)="3",Froto!I123,Froto!I123-Froto!J123)</f>
        <v>-5556205000</v>
      </c>
      <c r="J123" s="6">
        <f>IF(MID(J$1,6,1)="3",Froto!J123,Froto!J123-Froto!K123)</f>
        <v>2017159000</v>
      </c>
      <c r="K123" s="6">
        <f>IF(MID(K$1,6,1)="3",Froto!K123,Froto!K123-Froto!L123)</f>
        <v>-1696672000</v>
      </c>
      <c r="L123" s="6">
        <f>IF(MID(L$1,6,1)="3",Froto!L123,Froto!L123-Froto!M123)</f>
        <v>-961776000</v>
      </c>
      <c r="M123" s="6">
        <f>IF(MID(M$1,6,1)="3",Froto!M123,Froto!M123-Froto!N123)</f>
        <v>-4328245000</v>
      </c>
      <c r="N123" s="6">
        <f>IF(MID(N$1,6,1)="3",Froto!N123,Froto!N123-Froto!O123)</f>
        <v>-719592000</v>
      </c>
      <c r="O123" s="6">
        <f>IF(MID(O$1,6,1)="3",Froto!O123,Froto!O123-Froto!P123)</f>
        <v>217976000</v>
      </c>
      <c r="P123" s="6">
        <f>IF(MID(P$1,6,1)="3",Froto!P123,Froto!P123-Froto!Q123)</f>
        <v>-559757000</v>
      </c>
      <c r="Q123" s="6">
        <f>IF(MID(Q$1,6,1)="3",Froto!Q123,Froto!Q123-Froto!R123)</f>
        <v>-2754407000</v>
      </c>
      <c r="R123" s="6">
        <f>IF(MID(R$1,6,1)="3",Froto!R123,Froto!R123-Froto!S123)</f>
        <v>816343000</v>
      </c>
      <c r="S123" s="6">
        <f>IF(MID(S$1,6,1)="3",Froto!S123,Froto!S123-Froto!T123)</f>
        <v>-749188000</v>
      </c>
      <c r="T123" s="6">
        <f>IF(MID(T$1,6,1)="3",Froto!T123,Froto!T123-Froto!U123)</f>
        <v>-571431000</v>
      </c>
      <c r="U123" s="6">
        <f>IF(MID(U$1,6,1)="3",Froto!U123,Froto!U123-Froto!V123)</f>
        <v>-2144781000</v>
      </c>
    </row>
    <row r="124" spans="1:21" x14ac:dyDescent="0.25">
      <c r="F124" s="6"/>
      <c r="G124" s="6"/>
      <c r="H124" s="6"/>
      <c r="I124" s="6"/>
      <c r="J124" s="6"/>
      <c r="K124" s="6"/>
      <c r="L124" s="6"/>
      <c r="M124" s="6"/>
      <c r="N124" s="6"/>
      <c r="O124" s="6"/>
      <c r="P124" s="6"/>
      <c r="Q124" s="6"/>
      <c r="R124" s="6"/>
      <c r="S124" s="6"/>
      <c r="T124" s="6"/>
      <c r="U124" s="6"/>
    </row>
    <row r="125" spans="1:21" x14ac:dyDescent="0.25">
      <c r="F125" s="6"/>
      <c r="G125" s="6"/>
      <c r="H125" s="6"/>
      <c r="I125" s="6"/>
      <c r="J125" s="6"/>
      <c r="K125" s="6"/>
      <c r="L125" s="6"/>
      <c r="M125" s="6"/>
      <c r="N125" s="6"/>
      <c r="O125" s="6"/>
      <c r="P125" s="6"/>
      <c r="Q125" s="6"/>
      <c r="R125" s="6"/>
      <c r="S125" s="6"/>
      <c r="T125" s="6"/>
      <c r="U125" s="6"/>
    </row>
    <row r="126" spans="1:21" x14ac:dyDescent="0.25">
      <c r="F126" s="6"/>
      <c r="G126" s="6"/>
      <c r="H126" s="6"/>
      <c r="I126" s="6"/>
      <c r="J126" s="6"/>
      <c r="K126" s="6"/>
      <c r="L126" s="6"/>
      <c r="M126" s="6"/>
      <c r="N126" s="6"/>
      <c r="O126" s="6"/>
      <c r="P126" s="6"/>
      <c r="Q126" s="6"/>
      <c r="R126" s="6"/>
      <c r="S126" s="6"/>
      <c r="T126" s="6"/>
      <c r="U126" s="6"/>
    </row>
    <row r="127" spans="1:21" x14ac:dyDescent="0.25">
      <c r="F127" s="6"/>
      <c r="G127" s="6"/>
      <c r="H127" s="6"/>
      <c r="I127" s="6"/>
      <c r="J127" s="6"/>
      <c r="K127" s="6"/>
      <c r="L127" s="6"/>
      <c r="M127" s="6"/>
      <c r="N127" s="6"/>
      <c r="O127" s="6"/>
      <c r="P127" s="6"/>
      <c r="Q127" s="6"/>
      <c r="R127" s="6"/>
      <c r="S127" s="6"/>
      <c r="T127" s="6"/>
      <c r="U127" s="6"/>
    </row>
    <row r="128" spans="1:21" x14ac:dyDescent="0.25">
      <c r="F128" s="6"/>
      <c r="G128" s="6"/>
      <c r="H128" s="6"/>
      <c r="I128" s="6"/>
      <c r="J128" s="6"/>
      <c r="K128" s="6"/>
      <c r="L128" s="6"/>
      <c r="M128" s="6"/>
      <c r="N128" s="6"/>
      <c r="O128" s="6"/>
      <c r="P128" s="6"/>
      <c r="Q128" s="6"/>
      <c r="R128" s="6"/>
      <c r="S128" s="6"/>
      <c r="T128" s="6"/>
      <c r="U128" s="6"/>
    </row>
    <row r="129" spans="6:21" x14ac:dyDescent="0.25">
      <c r="F129" s="6"/>
      <c r="G129" s="6"/>
      <c r="H129" s="6"/>
      <c r="I129" s="6"/>
      <c r="J129" s="6"/>
      <c r="K129" s="6"/>
      <c r="L129" s="6"/>
      <c r="M129" s="6"/>
      <c r="N129" s="6"/>
      <c r="O129" s="6"/>
      <c r="P129" s="6"/>
      <c r="Q129" s="6"/>
      <c r="R129" s="6"/>
      <c r="S129" s="6"/>
      <c r="T129" s="6"/>
      <c r="U129" s="6"/>
    </row>
    <row r="130" spans="6:21" x14ac:dyDescent="0.25">
      <c r="F130" s="6"/>
      <c r="G130" s="6"/>
      <c r="H130" s="6"/>
      <c r="I130" s="6"/>
      <c r="J130" s="6"/>
      <c r="K130" s="6"/>
      <c r="L130" s="6"/>
      <c r="M130" s="6"/>
      <c r="N130" s="6"/>
      <c r="O130" s="6"/>
      <c r="P130" s="6"/>
      <c r="Q130" s="6"/>
      <c r="R130" s="6"/>
      <c r="S130" s="6"/>
      <c r="T130" s="6"/>
      <c r="U130" s="6"/>
    </row>
    <row r="131" spans="6:21" x14ac:dyDescent="0.25">
      <c r="F131" s="6"/>
      <c r="G131" s="6"/>
      <c r="H131" s="6"/>
      <c r="I131" s="6"/>
      <c r="J131" s="6"/>
      <c r="K131" s="6"/>
      <c r="L131" s="6"/>
      <c r="M131" s="6"/>
      <c r="N131" s="6"/>
      <c r="O131" s="6"/>
      <c r="P131" s="6"/>
      <c r="Q131" s="6"/>
      <c r="R131" s="6"/>
      <c r="S131" s="6"/>
      <c r="T131" s="6"/>
      <c r="U131" s="6"/>
    </row>
    <row r="132" spans="6:21" x14ac:dyDescent="0.25">
      <c r="F132" s="6"/>
      <c r="G132" s="6"/>
      <c r="H132" s="6"/>
      <c r="I132" s="6"/>
      <c r="J132" s="6"/>
      <c r="K132" s="6"/>
      <c r="L132" s="6"/>
      <c r="M132" s="6"/>
      <c r="N132" s="6"/>
      <c r="O132" s="6"/>
      <c r="P132" s="6"/>
      <c r="Q132" s="6"/>
      <c r="R132" s="6"/>
      <c r="S132" s="6"/>
      <c r="T132" s="6"/>
      <c r="U132" s="6"/>
    </row>
    <row r="133" spans="6:21" x14ac:dyDescent="0.25">
      <c r="F133" s="6"/>
      <c r="G133" s="6"/>
      <c r="H133" s="6"/>
      <c r="I133" s="6"/>
      <c r="J133" s="6"/>
      <c r="K133" s="6"/>
      <c r="L133" s="6"/>
      <c r="M133" s="6"/>
      <c r="N133" s="6"/>
      <c r="O133" s="6"/>
      <c r="P133" s="6"/>
      <c r="Q133" s="6"/>
      <c r="R133" s="6"/>
      <c r="S133" s="6"/>
      <c r="T133" s="6"/>
      <c r="U133" s="6"/>
    </row>
    <row r="134" spans="6:21" x14ac:dyDescent="0.25">
      <c r="F134" s="6"/>
      <c r="G134" s="6"/>
      <c r="H134" s="6"/>
      <c r="I134" s="6"/>
      <c r="J134" s="6"/>
      <c r="K134" s="6"/>
      <c r="L134" s="6"/>
      <c r="M134" s="6"/>
      <c r="N134" s="6"/>
      <c r="O134" s="6"/>
      <c r="P134" s="6"/>
      <c r="Q134" s="6"/>
      <c r="R134" s="6"/>
      <c r="S134" s="6"/>
      <c r="T134" s="6"/>
      <c r="U134" s="6"/>
    </row>
    <row r="135" spans="6:21" x14ac:dyDescent="0.25">
      <c r="F135" s="6"/>
      <c r="G135" s="6"/>
      <c r="H135" s="6"/>
      <c r="I135" s="6"/>
      <c r="J135" s="6"/>
      <c r="K135" s="6"/>
      <c r="L135" s="6"/>
      <c r="M135" s="6"/>
      <c r="N135" s="6"/>
      <c r="O135" s="6"/>
      <c r="P135" s="6"/>
      <c r="Q135" s="6"/>
      <c r="R135" s="6"/>
      <c r="S135" s="6"/>
      <c r="T135" s="6"/>
      <c r="U135" s="6"/>
    </row>
    <row r="136" spans="6:21" x14ac:dyDescent="0.25">
      <c r="F136" s="6"/>
      <c r="G136" s="6"/>
      <c r="H136" s="6"/>
      <c r="I136" s="6"/>
      <c r="J136" s="6"/>
      <c r="K136" s="6"/>
      <c r="L136" s="6"/>
      <c r="M136" s="6"/>
      <c r="N136" s="6"/>
      <c r="O136" s="6"/>
      <c r="P136" s="6"/>
      <c r="Q136" s="6"/>
      <c r="R136" s="6"/>
      <c r="S136" s="6"/>
      <c r="T136" s="6"/>
      <c r="U136" s="6"/>
    </row>
    <row r="137" spans="6:21" x14ac:dyDescent="0.25">
      <c r="F137" s="6"/>
      <c r="G137" s="6"/>
      <c r="H137" s="6"/>
      <c r="I137" s="6"/>
      <c r="J137" s="6"/>
      <c r="K137" s="6"/>
      <c r="L137" s="6"/>
      <c r="M137" s="6"/>
      <c r="N137" s="6"/>
      <c r="O137" s="6"/>
      <c r="P137" s="6"/>
      <c r="Q137" s="6"/>
      <c r="R137" s="6"/>
      <c r="S137" s="6"/>
      <c r="T137" s="6"/>
      <c r="U137" s="6"/>
    </row>
    <row r="138" spans="6:21" x14ac:dyDescent="0.25">
      <c r="F138" s="6"/>
      <c r="G138" s="6"/>
      <c r="H138" s="6"/>
      <c r="I138" s="6"/>
      <c r="J138" s="6"/>
      <c r="K138" s="6"/>
      <c r="L138" s="6"/>
      <c r="M138" s="6"/>
      <c r="N138" s="6"/>
      <c r="O138" s="6"/>
      <c r="P138" s="6"/>
      <c r="Q138" s="6"/>
      <c r="R138" s="6"/>
      <c r="S138" s="6"/>
      <c r="T138" s="6"/>
      <c r="U138" s="6"/>
    </row>
    <row r="139" spans="6:21" x14ac:dyDescent="0.25">
      <c r="F139" s="6"/>
      <c r="G139" s="6"/>
      <c r="H139" s="6"/>
      <c r="I139" s="6"/>
      <c r="J139" s="6"/>
      <c r="K139" s="6"/>
      <c r="L139" s="6"/>
      <c r="M139" s="6"/>
      <c r="N139" s="6"/>
      <c r="O139" s="6"/>
      <c r="P139" s="6"/>
      <c r="Q139" s="6"/>
      <c r="R139" s="6"/>
      <c r="S139" s="6"/>
      <c r="T139" s="6"/>
      <c r="U139" s="6"/>
    </row>
    <row r="140" spans="6:21" x14ac:dyDescent="0.25">
      <c r="F140" s="6"/>
      <c r="G140" s="6"/>
      <c r="H140" s="6"/>
      <c r="I140" s="6"/>
      <c r="J140" s="6"/>
      <c r="K140" s="6"/>
      <c r="L140" s="6"/>
      <c r="M140" s="6"/>
      <c r="N140" s="6"/>
      <c r="O140" s="6"/>
      <c r="P140" s="6"/>
      <c r="Q140" s="6"/>
      <c r="R140" s="6"/>
      <c r="S140" s="6"/>
      <c r="T140" s="6"/>
      <c r="U140" s="6"/>
    </row>
    <row r="141" spans="6:21" x14ac:dyDescent="0.25">
      <c r="F141" s="6"/>
      <c r="G141" s="6"/>
      <c r="H141" s="6"/>
      <c r="I141" s="6"/>
      <c r="J141" s="6"/>
      <c r="K141" s="6"/>
      <c r="L141" s="6"/>
      <c r="M141" s="6"/>
      <c r="N141" s="6"/>
      <c r="O141" s="6"/>
      <c r="P141" s="6"/>
      <c r="Q141" s="6"/>
      <c r="R141" s="6"/>
      <c r="S141" s="6"/>
      <c r="T141" s="6"/>
      <c r="U141" s="6"/>
    </row>
    <row r="142" spans="6:21" x14ac:dyDescent="0.25">
      <c r="F142" s="6"/>
      <c r="G142" s="6"/>
      <c r="H142" s="6"/>
      <c r="I142" s="6"/>
      <c r="J142" s="6"/>
      <c r="K142" s="6"/>
      <c r="L142" s="6"/>
      <c r="M142" s="6"/>
      <c r="N142" s="6"/>
      <c r="O142" s="6"/>
      <c r="P142" s="6"/>
      <c r="Q142" s="6"/>
      <c r="R142" s="6"/>
      <c r="S142" s="6"/>
      <c r="T142" s="6"/>
      <c r="U142" s="6"/>
    </row>
    <row r="143" spans="6:21" x14ac:dyDescent="0.25">
      <c r="F143" s="6"/>
      <c r="G143" s="6"/>
      <c r="H143" s="6"/>
      <c r="I143" s="6"/>
      <c r="J143" s="6"/>
      <c r="K143" s="6"/>
      <c r="L143" s="6"/>
      <c r="M143" s="6"/>
      <c r="N143" s="6"/>
      <c r="O143" s="6"/>
      <c r="P143" s="6"/>
      <c r="Q143" s="6"/>
      <c r="R143" s="6"/>
      <c r="S143" s="6"/>
      <c r="T143" s="6"/>
      <c r="U143" s="6"/>
    </row>
    <row r="144" spans="6:21" x14ac:dyDescent="0.25">
      <c r="F144" s="6"/>
      <c r="G144" s="6"/>
      <c r="H144" s="6"/>
      <c r="I144" s="6"/>
      <c r="J144" s="6"/>
      <c r="K144" s="6"/>
      <c r="L144" s="6"/>
      <c r="M144" s="6"/>
      <c r="N144" s="6"/>
      <c r="O144" s="6"/>
      <c r="P144" s="6"/>
      <c r="Q144" s="6"/>
      <c r="R144" s="6"/>
      <c r="S144" s="6"/>
      <c r="T144" s="6"/>
      <c r="U144" s="6"/>
    </row>
    <row r="145" spans="6:21" x14ac:dyDescent="0.25">
      <c r="F145" s="6"/>
      <c r="G145" s="6"/>
      <c r="H145" s="6"/>
      <c r="I145" s="6"/>
      <c r="J145" s="6"/>
      <c r="K145" s="6"/>
      <c r="L145" s="6"/>
      <c r="M145" s="6"/>
      <c r="N145" s="6"/>
      <c r="O145" s="6"/>
      <c r="P145" s="6"/>
      <c r="Q145" s="6"/>
      <c r="R145" s="6"/>
      <c r="S145" s="6"/>
      <c r="T145" s="6"/>
      <c r="U145" s="6"/>
    </row>
    <row r="146" spans="6:21" x14ac:dyDescent="0.25">
      <c r="F146" s="6"/>
      <c r="G146" s="6"/>
      <c r="H146" s="6"/>
      <c r="I146" s="6"/>
      <c r="J146" s="6"/>
      <c r="K146" s="6"/>
      <c r="L146" s="6"/>
      <c r="M146" s="6"/>
      <c r="N146" s="6"/>
      <c r="O146" s="6"/>
      <c r="P146" s="6"/>
      <c r="Q146" s="6"/>
      <c r="R146" s="6"/>
      <c r="S146" s="6"/>
      <c r="T146" s="6"/>
      <c r="U146" s="6"/>
    </row>
    <row r="147" spans="6:21" x14ac:dyDescent="0.25">
      <c r="F147" s="6"/>
      <c r="G147" s="6"/>
      <c r="H147" s="6"/>
      <c r="I147" s="6"/>
      <c r="J147" s="6"/>
      <c r="K147" s="6"/>
      <c r="L147" s="6"/>
      <c r="M147" s="6"/>
      <c r="N147" s="6"/>
      <c r="O147" s="6"/>
      <c r="P147" s="6"/>
      <c r="Q147" s="6"/>
      <c r="R147" s="6"/>
      <c r="S147" s="6"/>
      <c r="T147" s="6"/>
      <c r="U147" s="6"/>
    </row>
    <row r="148" spans="6:21" x14ac:dyDescent="0.25">
      <c r="F148" s="6"/>
      <c r="G148" s="6"/>
      <c r="H148" s="6"/>
      <c r="I148" s="6"/>
      <c r="J148" s="6"/>
      <c r="K148" s="6"/>
      <c r="L148" s="6"/>
      <c r="M148" s="6"/>
      <c r="N148" s="6"/>
      <c r="O148" s="6"/>
      <c r="P148" s="6"/>
      <c r="Q148" s="6"/>
      <c r="R148" s="6"/>
      <c r="S148" s="6"/>
      <c r="T148" s="6"/>
      <c r="U148" s="6"/>
    </row>
    <row r="149" spans="6:21" x14ac:dyDescent="0.25">
      <c r="F149" s="6"/>
      <c r="G149" s="6"/>
      <c r="H149" s="6"/>
      <c r="I149" s="6"/>
      <c r="J149" s="6"/>
      <c r="K149" s="6"/>
      <c r="L149" s="6"/>
      <c r="M149" s="6"/>
      <c r="N149" s="6"/>
      <c r="O149" s="6"/>
      <c r="P149" s="6"/>
      <c r="Q149" s="6"/>
      <c r="R149" s="6"/>
      <c r="S149" s="6"/>
      <c r="T149" s="6"/>
      <c r="U149"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FD942-735E-492D-8271-A4A787DF1001}">
  <dimension ref="A1:U123"/>
  <sheetViews>
    <sheetView workbookViewId="0">
      <selection activeCell="B88" sqref="B88"/>
    </sheetView>
  </sheetViews>
  <sheetFormatPr defaultRowHeight="15" x14ac:dyDescent="0.25"/>
  <cols>
    <col min="1" max="1" width="65" bestFit="1" customWidth="1"/>
    <col min="2" max="3" width="15.5703125" bestFit="1" customWidth="1"/>
    <col min="4" max="4" width="14.5703125" bestFit="1" customWidth="1"/>
    <col min="5" max="14" width="13.85546875" bestFit="1" customWidth="1"/>
    <col min="15" max="15" width="12.7109375" bestFit="1" customWidth="1"/>
    <col min="16" max="16" width="13.85546875" bestFit="1" customWidth="1"/>
    <col min="17" max="17" width="12.7109375" bestFit="1" customWidth="1"/>
    <col min="18" max="18" width="14.5703125" bestFit="1" customWidth="1"/>
  </cols>
  <sheetData>
    <row r="1" spans="1:21" x14ac:dyDescent="0.25">
      <c r="A1" s="2" t="str">
        <f>Froto!A1</f>
        <v>Bilanço</v>
      </c>
      <c r="B1" s="2" t="str">
        <f>Froto!B1</f>
        <v>2022/12</v>
      </c>
      <c r="C1" s="2" t="str">
        <f>Froto!C1</f>
        <v>2022/9</v>
      </c>
      <c r="D1" s="2" t="str">
        <f>Froto!D1</f>
        <v>2022/6</v>
      </c>
      <c r="E1" s="2" t="str">
        <f>Froto!E1</f>
        <v>2022/3</v>
      </c>
      <c r="F1" s="2" t="str">
        <f>Froto!F1</f>
        <v>2021/12</v>
      </c>
      <c r="G1" s="2" t="str">
        <f>Froto!G1</f>
        <v>2021/9</v>
      </c>
      <c r="H1" s="2" t="str">
        <f>Froto!H1</f>
        <v>2021/6</v>
      </c>
      <c r="I1" s="2" t="str">
        <f>Froto!I1</f>
        <v>2021/3</v>
      </c>
      <c r="J1" s="2" t="str">
        <f>Froto!J1</f>
        <v>2020/12</v>
      </c>
      <c r="K1" s="2" t="str">
        <f>Froto!K1</f>
        <v>2020/9</v>
      </c>
      <c r="L1" s="2" t="str">
        <f>Froto!L1</f>
        <v>2020/6</v>
      </c>
      <c r="M1" s="2" t="str">
        <f>Froto!M1</f>
        <v>2020/3</v>
      </c>
      <c r="N1" s="2" t="str">
        <f>Froto!N1</f>
        <v>2019/12</v>
      </c>
      <c r="O1" s="2" t="str">
        <f>Froto!O1</f>
        <v>2019/9</v>
      </c>
      <c r="P1" s="2" t="str">
        <f>Froto!P1</f>
        <v>2019/6</v>
      </c>
      <c r="Q1" s="2" t="str">
        <f>Froto!Q1</f>
        <v>2019/3</v>
      </c>
      <c r="R1" s="2" t="str">
        <f>Froto!R1</f>
        <v>2018/12</v>
      </c>
      <c r="S1" s="2"/>
      <c r="T1" s="2"/>
      <c r="U1" s="2"/>
    </row>
    <row r="2" spans="1:21" x14ac:dyDescent="0.25">
      <c r="A2" t="str">
        <f>Froto!A2</f>
        <v>Dönen Varlıklar</v>
      </c>
      <c r="B2" s="6">
        <f>'Çeyreklik Veriler'!B2+'Çeyreklik Veriler'!C2+'Çeyreklik Veriler'!D2+'Çeyreklik Veriler'!E2</f>
        <v>55124518000</v>
      </c>
      <c r="C2" s="6">
        <f>'Çeyreklik Veriler'!C2+'Çeyreklik Veriler'!D2+'Çeyreklik Veriler'!E2+'Çeyreklik Veriler'!F2</f>
        <v>54995956000</v>
      </c>
      <c r="D2" s="6">
        <f>'Çeyreklik Veriler'!D2+'Çeyreklik Veriler'!E2+'Çeyreklik Veriler'!F2+'Çeyreklik Veriler'!G2</f>
        <v>56673840000</v>
      </c>
      <c r="E2" s="6">
        <f>'Çeyreklik Veriler'!E2+'Çeyreklik Veriler'!F2+'Çeyreklik Veriler'!G2+'Çeyreklik Veriler'!H2</f>
        <v>50857864000</v>
      </c>
      <c r="F2" s="6">
        <f>'Çeyreklik Veriler'!F2+'Çeyreklik Veriler'!G2+'Çeyreklik Veriler'!H2+'Çeyreklik Veriler'!I2</f>
        <v>32813852000</v>
      </c>
      <c r="G2" s="6">
        <f>'Çeyreklik Veriler'!G2+'Çeyreklik Veriler'!H2+'Çeyreklik Veriler'!I2+'Çeyreklik Veriler'!J2</f>
        <v>27065349000</v>
      </c>
      <c r="H2" s="6">
        <f>'Çeyreklik Veriler'!H2+'Çeyreklik Veriler'!I2+'Çeyreklik Veriler'!J2+'Çeyreklik Veriler'!K2</f>
        <v>22029651000</v>
      </c>
      <c r="I2" s="6">
        <f>'Çeyreklik Veriler'!I2+'Çeyreklik Veriler'!J2+'Çeyreklik Veriler'!K2+'Çeyreklik Veriler'!L2</f>
        <v>26710904000</v>
      </c>
      <c r="J2" s="6">
        <f>'Çeyreklik Veriler'!J2+'Çeyreklik Veriler'!K2+'Çeyreklik Veriler'!L2+'Çeyreklik Veriler'!M2</f>
        <v>17604522000</v>
      </c>
      <c r="K2" s="6">
        <f>'Çeyreklik Veriler'!K2+'Çeyreklik Veriler'!L2+'Çeyreklik Veriler'!M2+'Çeyreklik Veriler'!N2</f>
        <v>17585905000</v>
      </c>
      <c r="L2" s="6">
        <f>'Çeyreklik Veriler'!L2+'Çeyreklik Veriler'!M2+'Çeyreklik Veriler'!N2+'Çeyreklik Veriler'!O2</f>
        <v>12788872000</v>
      </c>
      <c r="M2" s="6">
        <f>'Çeyreklik Veriler'!M2+'Çeyreklik Veriler'!N2+'Çeyreklik Veriler'!O2+'Çeyreklik Veriler'!P2</f>
        <v>11563260000</v>
      </c>
      <c r="N2" s="6">
        <f>'Çeyreklik Veriler'!N2+'Çeyreklik Veriler'!O2+'Çeyreklik Veriler'!P2+'Çeyreklik Veriler'!Q2</f>
        <v>10156798000</v>
      </c>
      <c r="O2" s="6">
        <f>'Çeyreklik Veriler'!O2+'Çeyreklik Veriler'!P2+'Çeyreklik Veriler'!Q2+'Çeyreklik Veriler'!R2</f>
        <v>8220964000</v>
      </c>
      <c r="P2" s="6">
        <f>'Çeyreklik Veriler'!P2+'Çeyreklik Veriler'!Q2+'Çeyreklik Veriler'!R2+'Çeyreklik Veriler'!S2</f>
        <v>9332471000</v>
      </c>
      <c r="Q2" s="6">
        <f>'Çeyreklik Veriler'!Q2+'Çeyreklik Veriler'!R2+'Çeyreklik Veriler'!S2+'Çeyreklik Veriler'!T2</f>
        <v>8720380000</v>
      </c>
      <c r="R2" s="6">
        <f>'Çeyreklik Veriler'!R2+'Çeyreklik Veriler'!S2+'Çeyreklik Veriler'!T2+'Çeyreklik Veriler'!U2</f>
        <v>7395461000</v>
      </c>
    </row>
    <row r="3" spans="1:21" x14ac:dyDescent="0.25">
      <c r="A3" t="str">
        <f>Froto!A3</f>
        <v xml:space="preserve">  Nakit ve Nakit Benzerleri</v>
      </c>
      <c r="B3" s="6">
        <f>'Çeyreklik Veriler'!B3+'Çeyreklik Veriler'!C3+'Çeyreklik Veriler'!D3+'Çeyreklik Veriler'!E3</f>
        <v>10114706000</v>
      </c>
      <c r="C3" s="6">
        <f>'Çeyreklik Veriler'!C3+'Çeyreklik Veriler'!D3+'Çeyreklik Veriler'!E3+'Çeyreklik Veriler'!F3</f>
        <v>7839456000</v>
      </c>
      <c r="D3" s="6">
        <f>'Çeyreklik Veriler'!D3+'Çeyreklik Veriler'!E3+'Çeyreklik Veriler'!F3+'Çeyreklik Veriler'!G3</f>
        <v>22682078000</v>
      </c>
      <c r="E3" s="6">
        <f>'Çeyreklik Veriler'!E3+'Çeyreklik Veriler'!F3+'Çeyreklik Veriler'!G3+'Çeyreklik Veriler'!H3</f>
        <v>20092454000</v>
      </c>
      <c r="F3" s="6">
        <f>'Çeyreklik Veriler'!F3+'Çeyreklik Veriler'!G3+'Çeyreklik Veriler'!H3+'Çeyreklik Veriler'!I3</f>
        <v>14173931000</v>
      </c>
      <c r="G3" s="6">
        <f>'Çeyreklik Veriler'!G3+'Çeyreklik Veriler'!H3+'Çeyreklik Veriler'!I3+'Çeyreklik Veriler'!J3</f>
        <v>14878499000</v>
      </c>
      <c r="H3" s="6">
        <f>'Çeyreklik Veriler'!H3+'Çeyreklik Veriler'!I3+'Çeyreklik Veriler'!J3+'Çeyreklik Veriler'!K3</f>
        <v>7962722000</v>
      </c>
      <c r="I3" s="6">
        <f>'Çeyreklik Veriler'!I3+'Çeyreklik Veriler'!J3+'Çeyreklik Veriler'!K3+'Çeyreklik Veriler'!L3</f>
        <v>13704521000</v>
      </c>
      <c r="J3" s="6">
        <f>'Çeyreklik Veriler'!J3+'Çeyreklik Veriler'!K3+'Çeyreklik Veriler'!L3+'Çeyreklik Veriler'!M3</f>
        <v>8124073000</v>
      </c>
      <c r="K3" s="6">
        <f>'Çeyreklik Veriler'!K3+'Çeyreklik Veriler'!L3+'Çeyreklik Veriler'!M3+'Çeyreklik Veriler'!N3</f>
        <v>8272397000</v>
      </c>
      <c r="L3" s="6">
        <f>'Çeyreklik Veriler'!L3+'Çeyreklik Veriler'!M3+'Çeyreklik Veriler'!N3+'Çeyreklik Veriler'!O3</f>
        <v>6478879000</v>
      </c>
      <c r="M3" s="6">
        <f>'Çeyreklik Veriler'!M3+'Çeyreklik Veriler'!N3+'Çeyreklik Veriler'!O3+'Çeyreklik Veriler'!P3</f>
        <v>4773824000</v>
      </c>
      <c r="N3" s="6">
        <f>'Çeyreklik Veriler'!N3+'Çeyreklik Veriler'!O3+'Çeyreklik Veriler'!P3+'Çeyreklik Veriler'!Q3</f>
        <v>3202952000</v>
      </c>
      <c r="O3" s="6">
        <f>'Çeyreklik Veriler'!O3+'Çeyreklik Veriler'!P3+'Çeyreklik Veriler'!Q3+'Çeyreklik Veriler'!R3</f>
        <v>1776974000</v>
      </c>
      <c r="P3" s="6">
        <f>'Çeyreklik Veriler'!P3+'Çeyreklik Veriler'!Q3+'Çeyreklik Veriler'!R3+'Çeyreklik Veriler'!S3</f>
        <v>2025157000</v>
      </c>
      <c r="Q3" s="6">
        <f>'Çeyreklik Veriler'!Q3+'Çeyreklik Veriler'!R3+'Çeyreklik Veriler'!S3+'Çeyreklik Veriler'!T3</f>
        <v>1455668000</v>
      </c>
      <c r="R3" s="6">
        <f>'Çeyreklik Veriler'!R3+'Çeyreklik Veriler'!S3+'Çeyreklik Veriler'!T3+'Çeyreklik Veriler'!U3</f>
        <v>1392772000</v>
      </c>
    </row>
    <row r="4" spans="1:21" x14ac:dyDescent="0.25">
      <c r="A4" t="str">
        <f>Froto!A4</f>
        <v xml:space="preserve">  Finansal Yatırımlar</v>
      </c>
      <c r="B4" s="6">
        <f>'Çeyreklik Veriler'!B4+'Çeyreklik Veriler'!C4+'Çeyreklik Veriler'!D4+'Çeyreklik Veriler'!E4</f>
        <v>0</v>
      </c>
      <c r="C4" s="6">
        <f>'Çeyreklik Veriler'!C4+'Çeyreklik Veriler'!D4+'Çeyreklik Veriler'!E4+'Çeyreklik Veriler'!F4</f>
        <v>0</v>
      </c>
      <c r="D4" s="6">
        <f>'Çeyreklik Veriler'!D4+'Çeyreklik Veriler'!E4+'Çeyreklik Veriler'!F4+'Çeyreklik Veriler'!G4</f>
        <v>0</v>
      </c>
      <c r="E4" s="6">
        <f>'Çeyreklik Veriler'!E4+'Çeyreklik Veriler'!F4+'Çeyreklik Veriler'!G4+'Çeyreklik Veriler'!H4</f>
        <v>0</v>
      </c>
      <c r="F4" s="6">
        <f>'Çeyreklik Veriler'!F4+'Çeyreklik Veriler'!G4+'Çeyreklik Veriler'!H4+'Çeyreklik Veriler'!I4</f>
        <v>0</v>
      </c>
      <c r="G4" s="6">
        <f>'Çeyreklik Veriler'!G4+'Çeyreklik Veriler'!H4+'Çeyreklik Veriler'!I4+'Çeyreklik Veriler'!J4</f>
        <v>0</v>
      </c>
      <c r="H4" s="6">
        <f>'Çeyreklik Veriler'!H4+'Çeyreklik Veriler'!I4+'Çeyreklik Veriler'!J4+'Çeyreklik Veriler'!K4</f>
        <v>0</v>
      </c>
      <c r="I4" s="6">
        <f>'Çeyreklik Veriler'!I4+'Çeyreklik Veriler'!J4+'Çeyreklik Veriler'!K4+'Çeyreklik Veriler'!L4</f>
        <v>0</v>
      </c>
      <c r="J4" s="6">
        <f>'Çeyreklik Veriler'!J4+'Çeyreklik Veriler'!K4+'Çeyreklik Veriler'!L4+'Çeyreklik Veriler'!M4</f>
        <v>0</v>
      </c>
      <c r="K4" s="6">
        <f>'Çeyreklik Veriler'!K4+'Çeyreklik Veriler'!L4+'Çeyreklik Veriler'!M4+'Çeyreklik Veriler'!N4</f>
        <v>0</v>
      </c>
      <c r="L4" s="6">
        <f>'Çeyreklik Veriler'!L4+'Çeyreklik Veriler'!M4+'Çeyreklik Veriler'!N4+'Çeyreklik Veriler'!O4</f>
        <v>0</v>
      </c>
      <c r="M4" s="6">
        <f>'Çeyreklik Veriler'!M4+'Çeyreklik Veriler'!N4+'Çeyreklik Veriler'!O4+'Çeyreklik Veriler'!P4</f>
        <v>0</v>
      </c>
      <c r="N4" s="6">
        <f>'Çeyreklik Veriler'!N4+'Çeyreklik Veriler'!O4+'Çeyreklik Veriler'!P4+'Çeyreklik Veriler'!Q4</f>
        <v>0</v>
      </c>
      <c r="O4" s="6">
        <f>'Çeyreklik Veriler'!O4+'Çeyreklik Veriler'!P4+'Çeyreklik Veriler'!Q4+'Çeyreklik Veriler'!R4</f>
        <v>0</v>
      </c>
      <c r="P4" s="6">
        <f>'Çeyreklik Veriler'!P4+'Çeyreklik Veriler'!Q4+'Çeyreklik Veriler'!R4+'Çeyreklik Veriler'!S4</f>
        <v>0</v>
      </c>
      <c r="Q4" s="6">
        <f>'Çeyreklik Veriler'!Q4+'Çeyreklik Veriler'!R4+'Çeyreklik Veriler'!S4+'Çeyreklik Veriler'!T4</f>
        <v>0</v>
      </c>
      <c r="R4" s="6">
        <f>'Çeyreklik Veriler'!R4+'Çeyreklik Veriler'!S4+'Çeyreklik Veriler'!T4+'Çeyreklik Veriler'!U4</f>
        <v>0</v>
      </c>
    </row>
    <row r="5" spans="1:21" x14ac:dyDescent="0.25">
      <c r="A5" t="str">
        <f>Froto!A5</f>
        <v xml:space="preserve">  Ticari Alacaklar</v>
      </c>
      <c r="B5" s="6">
        <f>'Çeyreklik Veriler'!B5+'Çeyreklik Veriler'!C5+'Çeyreklik Veriler'!D5+'Çeyreklik Veriler'!E5</f>
        <v>25850944000</v>
      </c>
      <c r="C5" s="6">
        <f>'Çeyreklik Veriler'!C5+'Çeyreklik Veriler'!D5+'Çeyreklik Veriler'!E5+'Çeyreklik Veriler'!F5</f>
        <v>27303752000</v>
      </c>
      <c r="D5" s="6">
        <f>'Çeyreklik Veriler'!D5+'Çeyreklik Veriler'!E5+'Çeyreklik Veriler'!F5+'Çeyreklik Veriler'!G5</f>
        <v>17905851000</v>
      </c>
      <c r="E5" s="6">
        <f>'Çeyreklik Veriler'!E5+'Çeyreklik Veriler'!F5+'Çeyreklik Veriler'!G5+'Çeyreklik Veriler'!H5</f>
        <v>16881803000</v>
      </c>
      <c r="F5" s="6">
        <f>'Çeyreklik Veriler'!F5+'Çeyreklik Veriler'!G5+'Çeyreklik Veriler'!H5+'Çeyreklik Veriler'!I5</f>
        <v>11406748000</v>
      </c>
      <c r="G5" s="6">
        <f>'Çeyreklik Veriler'!G5+'Çeyreklik Veriler'!H5+'Çeyreklik Veriler'!I5+'Çeyreklik Veriler'!J5</f>
        <v>5810827000</v>
      </c>
      <c r="H5" s="6">
        <f>'Çeyreklik Veriler'!H5+'Çeyreklik Veriler'!I5+'Çeyreklik Veriler'!J5+'Çeyreklik Veriler'!K5</f>
        <v>7570155000</v>
      </c>
      <c r="I5" s="6">
        <f>'Çeyreklik Veriler'!I5+'Çeyreklik Veriler'!J5+'Çeyreklik Veriler'!K5+'Çeyreklik Veriler'!L5</f>
        <v>7999945000</v>
      </c>
      <c r="J5" s="6">
        <f>'Çeyreklik Veriler'!J5+'Çeyreklik Veriler'!K5+'Çeyreklik Veriler'!L5+'Çeyreklik Veriler'!M5</f>
        <v>5754182000</v>
      </c>
      <c r="K5" s="6">
        <f>'Çeyreklik Veriler'!K5+'Çeyreklik Veriler'!L5+'Çeyreklik Veriler'!M5+'Çeyreklik Veriler'!N5</f>
        <v>6589190000</v>
      </c>
      <c r="L5" s="6">
        <f>'Çeyreklik Veriler'!L5+'Çeyreklik Veriler'!M5+'Çeyreklik Veriler'!N5+'Çeyreklik Veriler'!O5</f>
        <v>4057608000</v>
      </c>
      <c r="M5" s="6">
        <f>'Çeyreklik Veriler'!M5+'Çeyreklik Veriler'!N5+'Çeyreklik Veriler'!O5+'Çeyreklik Veriler'!P5</f>
        <v>3902799000</v>
      </c>
      <c r="N5" s="6">
        <f>'Çeyreklik Veriler'!N5+'Çeyreklik Veriler'!O5+'Çeyreklik Veriler'!P5+'Çeyreklik Veriler'!Q5</f>
        <v>4105093000</v>
      </c>
      <c r="O5" s="6">
        <f>'Çeyreklik Veriler'!O5+'Çeyreklik Veriler'!P5+'Çeyreklik Veriler'!Q5+'Çeyreklik Veriler'!R5</f>
        <v>2952179000</v>
      </c>
      <c r="P5" s="6">
        <f>'Çeyreklik Veriler'!P5+'Çeyreklik Veriler'!Q5+'Çeyreklik Veriler'!R5+'Çeyreklik Veriler'!S5</f>
        <v>3951574000</v>
      </c>
      <c r="Q5" s="6">
        <f>'Çeyreklik Veriler'!Q5+'Çeyreklik Veriler'!R5+'Çeyreklik Veriler'!S5+'Çeyreklik Veriler'!T5</f>
        <v>3787290000</v>
      </c>
      <c r="R5" s="6">
        <f>'Çeyreklik Veriler'!R5+'Çeyreklik Veriler'!S5+'Çeyreklik Veriler'!T5+'Çeyreklik Veriler'!U5</f>
        <v>3141189000</v>
      </c>
    </row>
    <row r="6" spans="1:21" x14ac:dyDescent="0.25">
      <c r="A6" t="str">
        <f>Froto!A6</f>
        <v xml:space="preserve">  Finans Sektörü Faaliyetlerinden Alacaklar</v>
      </c>
      <c r="B6" s="6">
        <f>'Çeyreklik Veriler'!B6+'Çeyreklik Veriler'!C6+'Çeyreklik Veriler'!D6+'Çeyreklik Veriler'!E6</f>
        <v>0</v>
      </c>
      <c r="C6" s="6">
        <f>'Çeyreklik Veriler'!C6+'Çeyreklik Veriler'!D6+'Çeyreklik Veriler'!E6+'Çeyreklik Veriler'!F6</f>
        <v>0</v>
      </c>
      <c r="D6" s="6">
        <f>'Çeyreklik Veriler'!D6+'Çeyreklik Veriler'!E6+'Çeyreklik Veriler'!F6+'Çeyreklik Veriler'!G6</f>
        <v>0</v>
      </c>
      <c r="E6" s="6">
        <f>'Çeyreklik Veriler'!E6+'Çeyreklik Veriler'!F6+'Çeyreklik Veriler'!G6+'Çeyreklik Veriler'!H6</f>
        <v>0</v>
      </c>
      <c r="F6" s="6">
        <f>'Çeyreklik Veriler'!F6+'Çeyreklik Veriler'!G6+'Çeyreklik Veriler'!H6+'Çeyreklik Veriler'!I6</f>
        <v>0</v>
      </c>
      <c r="G6" s="6">
        <f>'Çeyreklik Veriler'!G6+'Çeyreklik Veriler'!H6+'Çeyreklik Veriler'!I6+'Çeyreklik Veriler'!J6</f>
        <v>0</v>
      </c>
      <c r="H6" s="6">
        <f>'Çeyreklik Veriler'!H6+'Çeyreklik Veriler'!I6+'Çeyreklik Veriler'!J6+'Çeyreklik Veriler'!K6</f>
        <v>0</v>
      </c>
      <c r="I6" s="6">
        <f>'Çeyreklik Veriler'!I6+'Çeyreklik Veriler'!J6+'Çeyreklik Veriler'!K6+'Çeyreklik Veriler'!L6</f>
        <v>0</v>
      </c>
      <c r="J6" s="6">
        <f>'Çeyreklik Veriler'!J6+'Çeyreklik Veriler'!K6+'Çeyreklik Veriler'!L6+'Çeyreklik Veriler'!M6</f>
        <v>0</v>
      </c>
      <c r="K6" s="6">
        <f>'Çeyreklik Veriler'!K6+'Çeyreklik Veriler'!L6+'Çeyreklik Veriler'!M6+'Çeyreklik Veriler'!N6</f>
        <v>0</v>
      </c>
      <c r="L6" s="6">
        <f>'Çeyreklik Veriler'!L6+'Çeyreklik Veriler'!M6+'Çeyreklik Veriler'!N6+'Çeyreklik Veriler'!O6</f>
        <v>0</v>
      </c>
      <c r="M6" s="6">
        <f>'Çeyreklik Veriler'!M6+'Çeyreklik Veriler'!N6+'Çeyreklik Veriler'!O6+'Çeyreklik Veriler'!P6</f>
        <v>0</v>
      </c>
      <c r="N6" s="6">
        <f>'Çeyreklik Veriler'!N6+'Çeyreklik Veriler'!O6+'Çeyreklik Veriler'!P6+'Çeyreklik Veriler'!Q6</f>
        <v>0</v>
      </c>
      <c r="O6" s="6">
        <f>'Çeyreklik Veriler'!O6+'Çeyreklik Veriler'!P6+'Çeyreklik Veriler'!Q6+'Çeyreklik Veriler'!R6</f>
        <v>0</v>
      </c>
      <c r="P6" s="6">
        <f>'Çeyreklik Veriler'!P6+'Çeyreklik Veriler'!Q6+'Çeyreklik Veriler'!R6+'Çeyreklik Veriler'!S6</f>
        <v>0</v>
      </c>
      <c r="Q6" s="6">
        <f>'Çeyreklik Veriler'!Q6+'Çeyreklik Veriler'!R6+'Çeyreklik Veriler'!S6+'Çeyreklik Veriler'!T6</f>
        <v>0</v>
      </c>
      <c r="R6" s="6">
        <f>'Çeyreklik Veriler'!R6+'Çeyreklik Veriler'!S6+'Çeyreklik Veriler'!T6+'Çeyreklik Veriler'!U6</f>
        <v>0</v>
      </c>
    </row>
    <row r="7" spans="1:21" x14ac:dyDescent="0.25">
      <c r="A7" t="str">
        <f>Froto!A7</f>
        <v xml:space="preserve">  Diğer Alacaklar</v>
      </c>
      <c r="B7" s="6">
        <f>'Çeyreklik Veriler'!B7+'Çeyreklik Veriler'!C7+'Çeyreklik Veriler'!D7+'Çeyreklik Veriler'!E7</f>
        <v>283518000</v>
      </c>
      <c r="C7" s="6">
        <f>'Çeyreklik Veriler'!C7+'Çeyreklik Veriler'!D7+'Çeyreklik Veriler'!E7+'Çeyreklik Veriler'!F7</f>
        <v>262185000</v>
      </c>
      <c r="D7" s="6">
        <f>'Çeyreklik Veriler'!D7+'Çeyreklik Veriler'!E7+'Çeyreklik Veriler'!F7+'Çeyreklik Veriler'!G7</f>
        <v>56025000</v>
      </c>
      <c r="E7" s="6">
        <f>'Çeyreklik Veriler'!E7+'Çeyreklik Veriler'!F7+'Çeyreklik Veriler'!G7+'Çeyreklik Veriler'!H7</f>
        <v>4244000</v>
      </c>
      <c r="F7" s="6">
        <f>'Çeyreklik Veriler'!F7+'Çeyreklik Veriler'!G7+'Çeyreklik Veriler'!H7+'Çeyreklik Veriler'!I7</f>
        <v>820000</v>
      </c>
      <c r="G7" s="6">
        <f>'Çeyreklik Veriler'!G7+'Çeyreklik Veriler'!H7+'Çeyreklik Veriler'!I7+'Çeyreklik Veriler'!J7</f>
        <v>9994000</v>
      </c>
      <c r="H7" s="6">
        <f>'Çeyreklik Veriler'!H7+'Çeyreklik Veriler'!I7+'Çeyreklik Veriler'!J7+'Çeyreklik Veriler'!K7</f>
        <v>-4775000</v>
      </c>
      <c r="I7" s="6">
        <f>'Çeyreklik Veriler'!I7+'Çeyreklik Veriler'!J7+'Çeyreklik Veriler'!K7+'Çeyreklik Veriler'!L7</f>
        <v>10180000</v>
      </c>
      <c r="J7" s="6">
        <f>'Çeyreklik Veriler'!J7+'Çeyreklik Veriler'!K7+'Çeyreklik Veriler'!L7+'Çeyreklik Veriler'!M7</f>
        <v>1457000</v>
      </c>
      <c r="K7" s="6">
        <f>'Çeyreklik Veriler'!K7+'Çeyreklik Veriler'!L7+'Çeyreklik Veriler'!M7+'Çeyreklik Veriler'!N7</f>
        <v>17424000</v>
      </c>
      <c r="L7" s="6">
        <f>'Çeyreklik Veriler'!L7+'Çeyreklik Veriler'!M7+'Çeyreklik Veriler'!N7+'Çeyreklik Veriler'!O7</f>
        <v>9253000</v>
      </c>
      <c r="M7" s="6">
        <f>'Çeyreklik Veriler'!M7+'Çeyreklik Veriler'!N7+'Çeyreklik Veriler'!O7+'Çeyreklik Veriler'!P7</f>
        <v>-1183000</v>
      </c>
      <c r="N7" s="6">
        <f>'Çeyreklik Veriler'!N7+'Çeyreklik Veriler'!O7+'Çeyreklik Veriler'!P7+'Çeyreklik Veriler'!Q7</f>
        <v>1870000</v>
      </c>
      <c r="O7" s="6">
        <f>'Çeyreklik Veriler'!O7+'Çeyreklik Veriler'!P7+'Çeyreklik Veriler'!Q7+'Çeyreklik Veriler'!R7</f>
        <v>5708000</v>
      </c>
      <c r="P7" s="6">
        <f>'Çeyreklik Veriler'!P7+'Çeyreklik Veriler'!Q7+'Çeyreklik Veriler'!R7+'Çeyreklik Veriler'!S7</f>
        <v>5286000</v>
      </c>
      <c r="Q7" s="6">
        <f>'Çeyreklik Veriler'!Q7+'Çeyreklik Veriler'!R7+'Çeyreklik Veriler'!S7+'Çeyreklik Veriler'!T7</f>
        <v>7624000</v>
      </c>
      <c r="R7" s="6">
        <f>'Çeyreklik Veriler'!R7+'Çeyreklik Veriler'!S7+'Çeyreklik Veriler'!T7+'Çeyreklik Veriler'!U7</f>
        <v>2788000</v>
      </c>
    </row>
    <row r="8" spans="1:21" x14ac:dyDescent="0.25">
      <c r="A8" t="str">
        <f>Froto!A8</f>
        <v xml:space="preserve">  Müşteri Sözleşmelerinden Doğan Varlıklar</v>
      </c>
      <c r="B8" s="6">
        <f>'Çeyreklik Veriler'!B8+'Çeyreklik Veriler'!C8+'Çeyreklik Veriler'!D8+'Çeyreklik Veriler'!E8</f>
        <v>0</v>
      </c>
      <c r="C8" s="6">
        <f>'Çeyreklik Veriler'!C8+'Çeyreklik Veriler'!D8+'Çeyreklik Veriler'!E8+'Çeyreklik Veriler'!F8</f>
        <v>0</v>
      </c>
      <c r="D8" s="6">
        <f>'Çeyreklik Veriler'!D8+'Çeyreklik Veriler'!E8+'Çeyreklik Veriler'!F8+'Çeyreklik Veriler'!G8</f>
        <v>0</v>
      </c>
      <c r="E8" s="6">
        <f>'Çeyreklik Veriler'!E8+'Çeyreklik Veriler'!F8+'Çeyreklik Veriler'!G8+'Çeyreklik Veriler'!H8</f>
        <v>0</v>
      </c>
      <c r="F8" s="6">
        <f>'Çeyreklik Veriler'!F8+'Çeyreklik Veriler'!G8+'Çeyreklik Veriler'!H8+'Çeyreklik Veriler'!I8</f>
        <v>0</v>
      </c>
      <c r="G8" s="6">
        <f>'Çeyreklik Veriler'!G8+'Çeyreklik Veriler'!H8+'Çeyreklik Veriler'!I8+'Çeyreklik Veriler'!J8</f>
        <v>0</v>
      </c>
      <c r="H8" s="6">
        <f>'Çeyreklik Veriler'!H8+'Çeyreklik Veriler'!I8+'Çeyreklik Veriler'!J8+'Çeyreklik Veriler'!K8</f>
        <v>0</v>
      </c>
      <c r="I8" s="6">
        <f>'Çeyreklik Veriler'!I8+'Çeyreklik Veriler'!J8+'Çeyreklik Veriler'!K8+'Çeyreklik Veriler'!L8</f>
        <v>0</v>
      </c>
      <c r="J8" s="6">
        <f>'Çeyreklik Veriler'!J8+'Çeyreklik Veriler'!K8+'Çeyreklik Veriler'!L8+'Çeyreklik Veriler'!M8</f>
        <v>0</v>
      </c>
      <c r="K8" s="6">
        <f>'Çeyreklik Veriler'!K8+'Çeyreklik Veriler'!L8+'Çeyreklik Veriler'!M8+'Çeyreklik Veriler'!N8</f>
        <v>0</v>
      </c>
      <c r="L8" s="6">
        <f>'Çeyreklik Veriler'!L8+'Çeyreklik Veriler'!M8+'Çeyreklik Veriler'!N8+'Çeyreklik Veriler'!O8</f>
        <v>0</v>
      </c>
      <c r="M8" s="6">
        <f>'Çeyreklik Veriler'!M8+'Çeyreklik Veriler'!N8+'Çeyreklik Veriler'!O8+'Çeyreklik Veriler'!P8</f>
        <v>0</v>
      </c>
      <c r="N8" s="6">
        <f>'Çeyreklik Veriler'!N8+'Çeyreklik Veriler'!O8+'Çeyreklik Veriler'!P8+'Çeyreklik Veriler'!Q8</f>
        <v>0</v>
      </c>
      <c r="O8" s="6">
        <f>'Çeyreklik Veriler'!O8+'Çeyreklik Veriler'!P8+'Çeyreklik Veriler'!Q8+'Çeyreklik Veriler'!R8</f>
        <v>0</v>
      </c>
      <c r="P8" s="6">
        <f>'Çeyreklik Veriler'!P8+'Çeyreklik Veriler'!Q8+'Çeyreklik Veriler'!R8+'Çeyreklik Veriler'!S8</f>
        <v>0</v>
      </c>
      <c r="Q8" s="6">
        <f>'Çeyreklik Veriler'!Q8+'Çeyreklik Veriler'!R8+'Çeyreklik Veriler'!S8+'Çeyreklik Veriler'!T8</f>
        <v>0</v>
      </c>
      <c r="R8" s="6">
        <f>'Çeyreklik Veriler'!R8+'Çeyreklik Veriler'!S8+'Çeyreklik Veriler'!T8+'Çeyreklik Veriler'!U8</f>
        <v>0</v>
      </c>
    </row>
    <row r="9" spans="1:21" x14ac:dyDescent="0.25">
      <c r="A9" t="str">
        <f>Froto!A9</f>
        <v xml:space="preserve">  Stoklar</v>
      </c>
      <c r="B9" s="6">
        <f>'Çeyreklik Veriler'!B9+'Çeyreklik Veriler'!C9+'Çeyreklik Veriler'!D9+'Çeyreklik Veriler'!E9</f>
        <v>13854008000</v>
      </c>
      <c r="C9" s="6">
        <f>'Çeyreklik Veriler'!C9+'Çeyreklik Veriler'!D9+'Çeyreklik Veriler'!E9+'Çeyreklik Veriler'!F9</f>
        <v>15864528000</v>
      </c>
      <c r="D9" s="6">
        <f>'Çeyreklik Veriler'!D9+'Çeyreklik Veriler'!E9+'Çeyreklik Veriler'!F9+'Çeyreklik Veriler'!G9</f>
        <v>12277999000</v>
      </c>
      <c r="E9" s="6">
        <f>'Çeyreklik Veriler'!E9+'Çeyreklik Veriler'!F9+'Çeyreklik Veriler'!G9+'Çeyreklik Veriler'!H9</f>
        <v>10953301000</v>
      </c>
      <c r="F9" s="6">
        <f>'Çeyreklik Veriler'!F9+'Çeyreklik Veriler'!G9+'Çeyreklik Veriler'!H9+'Çeyreklik Veriler'!I9</f>
        <v>5269306000</v>
      </c>
      <c r="G9" s="6">
        <f>'Çeyreklik Veriler'!G9+'Çeyreklik Veriler'!H9+'Çeyreklik Veriler'!I9+'Çeyreklik Veriler'!J9</f>
        <v>4471400000</v>
      </c>
      <c r="H9" s="6">
        <f>'Çeyreklik Veriler'!H9+'Çeyreklik Veriler'!I9+'Çeyreklik Veriler'!J9+'Çeyreklik Veriler'!K9</f>
        <v>4902728000</v>
      </c>
      <c r="I9" s="6">
        <f>'Çeyreklik Veriler'!I9+'Çeyreklik Veriler'!J9+'Çeyreklik Veriler'!K9+'Çeyreklik Veriler'!L9</f>
        <v>3408744000</v>
      </c>
      <c r="J9" s="6">
        <f>'Çeyreklik Veriler'!J9+'Çeyreklik Veriler'!K9+'Çeyreklik Veriler'!L9+'Çeyreklik Veriler'!M9</f>
        <v>2449043000</v>
      </c>
      <c r="K9" s="6">
        <f>'Çeyreklik Veriler'!K9+'Çeyreklik Veriler'!L9+'Çeyreklik Veriler'!M9+'Çeyreklik Veriler'!N9</f>
        <v>1781760000</v>
      </c>
      <c r="L9" s="6">
        <f>'Çeyreklik Veriler'!L9+'Çeyreklik Veriler'!M9+'Çeyreklik Veriler'!N9+'Çeyreklik Veriler'!O9</f>
        <v>1539442000</v>
      </c>
      <c r="M9" s="6">
        <f>'Çeyreklik Veriler'!M9+'Çeyreklik Veriler'!N9+'Çeyreklik Veriler'!O9+'Çeyreklik Veriler'!P9</f>
        <v>2170001000</v>
      </c>
      <c r="N9" s="6">
        <f>'Çeyreklik Veriler'!N9+'Çeyreklik Veriler'!O9+'Çeyreklik Veriler'!P9+'Çeyreklik Veriler'!Q9</f>
        <v>1827399000</v>
      </c>
      <c r="O9" s="6">
        <f>'Çeyreklik Veriler'!O9+'Çeyreklik Veriler'!P9+'Çeyreklik Veriler'!Q9+'Çeyreklik Veriler'!R9</f>
        <v>2238200000</v>
      </c>
      <c r="P9" s="6">
        <f>'Çeyreklik Veriler'!P9+'Çeyreklik Veriler'!Q9+'Çeyreklik Veriler'!R9+'Çeyreklik Veriler'!S9</f>
        <v>2171654000</v>
      </c>
      <c r="Q9" s="6">
        <f>'Çeyreklik Veriler'!Q9+'Çeyreklik Veriler'!R9+'Çeyreklik Veriler'!S9+'Çeyreklik Veriler'!T9</f>
        <v>2072244000</v>
      </c>
      <c r="R9" s="6">
        <f>'Çeyreklik Veriler'!R9+'Çeyreklik Veriler'!S9+'Çeyreklik Veriler'!T9+'Çeyreklik Veriler'!U9</f>
        <v>1864645000</v>
      </c>
    </row>
    <row r="10" spans="1:21" x14ac:dyDescent="0.25">
      <c r="A10" t="str">
        <f>Froto!A10</f>
        <v xml:space="preserve">  Canlı Varlıklar</v>
      </c>
      <c r="B10" s="6">
        <f>'Çeyreklik Veriler'!B10+'Çeyreklik Veriler'!C10+'Çeyreklik Veriler'!D10+'Çeyreklik Veriler'!E10</f>
        <v>0</v>
      </c>
      <c r="C10" s="6">
        <f>'Çeyreklik Veriler'!C10+'Çeyreklik Veriler'!D10+'Çeyreklik Veriler'!E10+'Çeyreklik Veriler'!F10</f>
        <v>0</v>
      </c>
      <c r="D10" s="6">
        <f>'Çeyreklik Veriler'!D10+'Çeyreklik Veriler'!E10+'Çeyreklik Veriler'!F10+'Çeyreklik Veriler'!G10</f>
        <v>0</v>
      </c>
      <c r="E10" s="6">
        <f>'Çeyreklik Veriler'!E10+'Çeyreklik Veriler'!F10+'Çeyreklik Veriler'!G10+'Çeyreklik Veriler'!H10</f>
        <v>0</v>
      </c>
      <c r="F10" s="6">
        <f>'Çeyreklik Veriler'!F10+'Çeyreklik Veriler'!G10+'Çeyreklik Veriler'!H10+'Çeyreklik Veriler'!I10</f>
        <v>0</v>
      </c>
      <c r="G10" s="6">
        <f>'Çeyreklik Veriler'!G10+'Çeyreklik Veriler'!H10+'Çeyreklik Veriler'!I10+'Çeyreklik Veriler'!J10</f>
        <v>0</v>
      </c>
      <c r="H10" s="6">
        <f>'Çeyreklik Veriler'!H10+'Çeyreklik Veriler'!I10+'Çeyreklik Veriler'!J10+'Çeyreklik Veriler'!K10</f>
        <v>0</v>
      </c>
      <c r="I10" s="6">
        <f>'Çeyreklik Veriler'!I10+'Çeyreklik Veriler'!J10+'Çeyreklik Veriler'!K10+'Çeyreklik Veriler'!L10</f>
        <v>0</v>
      </c>
      <c r="J10" s="6">
        <f>'Çeyreklik Veriler'!J10+'Çeyreklik Veriler'!K10+'Çeyreklik Veriler'!L10+'Çeyreklik Veriler'!M10</f>
        <v>0</v>
      </c>
      <c r="K10" s="6">
        <f>'Çeyreklik Veriler'!K10+'Çeyreklik Veriler'!L10+'Çeyreklik Veriler'!M10+'Çeyreklik Veriler'!N10</f>
        <v>0</v>
      </c>
      <c r="L10" s="6">
        <f>'Çeyreklik Veriler'!L10+'Çeyreklik Veriler'!M10+'Çeyreklik Veriler'!N10+'Çeyreklik Veriler'!O10</f>
        <v>0</v>
      </c>
      <c r="M10" s="6">
        <f>'Çeyreklik Veriler'!M10+'Çeyreklik Veriler'!N10+'Çeyreklik Veriler'!O10+'Çeyreklik Veriler'!P10</f>
        <v>0</v>
      </c>
      <c r="N10" s="6">
        <f>'Çeyreklik Veriler'!N10+'Çeyreklik Veriler'!O10+'Çeyreklik Veriler'!P10+'Çeyreklik Veriler'!Q10</f>
        <v>0</v>
      </c>
      <c r="O10" s="6">
        <f>'Çeyreklik Veriler'!O10+'Çeyreklik Veriler'!P10+'Çeyreklik Veriler'!Q10+'Çeyreklik Veriler'!R10</f>
        <v>0</v>
      </c>
      <c r="P10" s="6">
        <f>'Çeyreklik Veriler'!P10+'Çeyreklik Veriler'!Q10+'Çeyreklik Veriler'!R10+'Çeyreklik Veriler'!S10</f>
        <v>0</v>
      </c>
      <c r="Q10" s="6">
        <f>'Çeyreklik Veriler'!Q10+'Çeyreklik Veriler'!R10+'Çeyreklik Veriler'!S10+'Çeyreklik Veriler'!T10</f>
        <v>0</v>
      </c>
      <c r="R10" s="6">
        <f>'Çeyreklik Veriler'!R10+'Çeyreklik Veriler'!S10+'Çeyreklik Veriler'!T10+'Çeyreklik Veriler'!U10</f>
        <v>0</v>
      </c>
    </row>
    <row r="11" spans="1:21" x14ac:dyDescent="0.25">
      <c r="A11" t="str">
        <f>Froto!A11</f>
        <v xml:space="preserve">  Diğer Dönen Varlıklar</v>
      </c>
      <c r="B11" s="6">
        <f>'Çeyreklik Veriler'!B11+'Çeyreklik Veriler'!C11+'Çeyreklik Veriler'!D11+'Çeyreklik Veriler'!E11</f>
        <v>5021342000</v>
      </c>
      <c r="C11" s="6">
        <f>'Çeyreklik Veriler'!C11+'Çeyreklik Veriler'!D11+'Çeyreklik Veriler'!E11+'Çeyreklik Veriler'!F11</f>
        <v>3726035000</v>
      </c>
      <c r="D11" s="6">
        <f>'Çeyreklik Veriler'!D11+'Çeyreklik Veriler'!E11+'Çeyreklik Veriler'!F11+'Çeyreklik Veriler'!G11</f>
        <v>3751887000</v>
      </c>
      <c r="E11" s="6">
        <f>'Çeyreklik Veriler'!E11+'Çeyreklik Veriler'!F11+'Çeyreklik Veriler'!G11+'Çeyreklik Veriler'!H11</f>
        <v>2926062000</v>
      </c>
      <c r="F11" s="6">
        <f>'Çeyreklik Veriler'!F11+'Çeyreklik Veriler'!G11+'Çeyreklik Veriler'!H11+'Çeyreklik Veriler'!I11</f>
        <v>1963047000</v>
      </c>
      <c r="G11" s="6">
        <f>'Çeyreklik Veriler'!G11+'Çeyreklik Veriler'!H11+'Çeyreklik Veriler'!I11+'Çeyreklik Veriler'!J11</f>
        <v>1894629000</v>
      </c>
      <c r="H11" s="6">
        <f>'Çeyreklik Veriler'!H11+'Çeyreklik Veriler'!I11+'Çeyreklik Veriler'!J11+'Çeyreklik Veriler'!K11</f>
        <v>1598821000</v>
      </c>
      <c r="I11" s="6">
        <f>'Çeyreklik Veriler'!I11+'Çeyreklik Veriler'!J11+'Çeyreklik Veriler'!K11+'Çeyreklik Veriler'!L11</f>
        <v>1587514000</v>
      </c>
      <c r="J11" s="6">
        <f>'Çeyreklik Veriler'!J11+'Çeyreklik Veriler'!K11+'Çeyreklik Veriler'!L11+'Çeyreklik Veriler'!M11</f>
        <v>1275767000</v>
      </c>
      <c r="K11" s="6">
        <f>'Çeyreklik Veriler'!K11+'Çeyreklik Veriler'!L11+'Çeyreklik Veriler'!M11+'Çeyreklik Veriler'!N11</f>
        <v>925134000</v>
      </c>
      <c r="L11" s="6">
        <f>'Çeyreklik Veriler'!L11+'Çeyreklik Veriler'!M11+'Çeyreklik Veriler'!N11+'Çeyreklik Veriler'!O11</f>
        <v>703690000</v>
      </c>
      <c r="M11" s="6">
        <f>'Çeyreklik Veriler'!M11+'Çeyreklik Veriler'!N11+'Çeyreklik Veriler'!O11+'Çeyreklik Veriler'!P11</f>
        <v>717819000</v>
      </c>
      <c r="N11" s="6">
        <f>'Çeyreklik Veriler'!N11+'Çeyreklik Veriler'!O11+'Çeyreklik Veriler'!P11+'Çeyreklik Veriler'!Q11</f>
        <v>1019484000</v>
      </c>
      <c r="O11" s="6">
        <f>'Çeyreklik Veriler'!O11+'Çeyreklik Veriler'!P11+'Çeyreklik Veriler'!Q11+'Çeyreklik Veriler'!R11</f>
        <v>1247903000</v>
      </c>
      <c r="P11" s="6">
        <f>'Çeyreklik Veriler'!P11+'Çeyreklik Veriler'!Q11+'Çeyreklik Veriler'!R11+'Çeyreklik Veriler'!S11</f>
        <v>1178800000</v>
      </c>
      <c r="Q11" s="6">
        <f>'Çeyreklik Veriler'!Q11+'Çeyreklik Veriler'!R11+'Çeyreklik Veriler'!S11+'Çeyreklik Veriler'!T11</f>
        <v>1397554000</v>
      </c>
      <c r="R11" s="6">
        <f>'Çeyreklik Veriler'!R11+'Çeyreklik Veriler'!S11+'Çeyreklik Veriler'!T11+'Çeyreklik Veriler'!U11</f>
        <v>994067000</v>
      </c>
    </row>
    <row r="12" spans="1:21" x14ac:dyDescent="0.25">
      <c r="A12" t="str">
        <f>Froto!A12</f>
        <v xml:space="preserve">    (Ara Toplam)</v>
      </c>
      <c r="B12" s="6">
        <f>'Çeyreklik Veriler'!B12+'Çeyreklik Veriler'!C12+'Çeyreklik Veriler'!D12+'Çeyreklik Veriler'!E12</f>
        <v>55124518000</v>
      </c>
      <c r="C12" s="6">
        <f>'Çeyreklik Veriler'!C12+'Çeyreklik Veriler'!D12+'Çeyreklik Veriler'!E12+'Çeyreklik Veriler'!F12</f>
        <v>54995956000</v>
      </c>
      <c r="D12" s="6">
        <f>'Çeyreklik Veriler'!D12+'Çeyreklik Veriler'!E12+'Çeyreklik Veriler'!F12+'Çeyreklik Veriler'!G12</f>
        <v>56673840000</v>
      </c>
      <c r="E12" s="6">
        <f>'Çeyreklik Veriler'!E12+'Çeyreklik Veriler'!F12+'Çeyreklik Veriler'!G12+'Çeyreklik Veriler'!H12</f>
        <v>50857864000</v>
      </c>
      <c r="F12" s="6">
        <f>'Çeyreklik Veriler'!F12+'Çeyreklik Veriler'!G12+'Çeyreklik Veriler'!H12+'Çeyreklik Veriler'!I12</f>
        <v>32813852000</v>
      </c>
      <c r="G12" s="6">
        <f>'Çeyreklik Veriler'!G12+'Çeyreklik Veriler'!H12+'Çeyreklik Veriler'!I12+'Çeyreklik Veriler'!J12</f>
        <v>27065349000</v>
      </c>
      <c r="H12" s="6">
        <f>'Çeyreklik Veriler'!H12+'Çeyreklik Veriler'!I12+'Çeyreklik Veriler'!J12+'Çeyreklik Veriler'!K12</f>
        <v>22029651000</v>
      </c>
      <c r="I12" s="6">
        <f>'Çeyreklik Veriler'!I12+'Çeyreklik Veriler'!J12+'Çeyreklik Veriler'!K12+'Çeyreklik Veriler'!L12</f>
        <v>26710904000</v>
      </c>
      <c r="J12" s="6">
        <f>'Çeyreklik Veriler'!J12+'Çeyreklik Veriler'!K12+'Çeyreklik Veriler'!L12+'Çeyreklik Veriler'!M12</f>
        <v>17604522000</v>
      </c>
      <c r="K12" s="6">
        <f>'Çeyreklik Veriler'!K12+'Çeyreklik Veriler'!L12+'Çeyreklik Veriler'!M12+'Çeyreklik Veriler'!N12</f>
        <v>17585905000</v>
      </c>
      <c r="L12" s="6">
        <f>'Çeyreklik Veriler'!L12+'Çeyreklik Veriler'!M12+'Çeyreklik Veriler'!N12+'Çeyreklik Veriler'!O12</f>
        <v>12788872000</v>
      </c>
      <c r="M12" s="6">
        <f>'Çeyreklik Veriler'!M12+'Çeyreklik Veriler'!N12+'Çeyreklik Veriler'!O12+'Çeyreklik Veriler'!P12</f>
        <v>11563260000</v>
      </c>
      <c r="N12" s="6">
        <f>'Çeyreklik Veriler'!N12+'Çeyreklik Veriler'!O12+'Çeyreklik Veriler'!P12+'Çeyreklik Veriler'!Q12</f>
        <v>10156798000</v>
      </c>
      <c r="O12" s="6">
        <f>'Çeyreklik Veriler'!O12+'Çeyreklik Veriler'!P12+'Çeyreklik Veriler'!Q12+'Çeyreklik Veriler'!R12</f>
        <v>8220964000</v>
      </c>
      <c r="P12" s="6">
        <f>'Çeyreklik Veriler'!P12+'Çeyreklik Veriler'!Q12+'Çeyreklik Veriler'!R12+'Çeyreklik Veriler'!S12</f>
        <v>9332471000</v>
      </c>
      <c r="Q12" s="6">
        <f>'Çeyreklik Veriler'!Q12+'Çeyreklik Veriler'!R12+'Çeyreklik Veriler'!S12+'Çeyreklik Veriler'!T12</f>
        <v>8720380000</v>
      </c>
      <c r="R12" s="6">
        <f>'Çeyreklik Veriler'!R12+'Çeyreklik Veriler'!S12+'Çeyreklik Veriler'!T12+'Çeyreklik Veriler'!U12</f>
        <v>7395461000</v>
      </c>
    </row>
    <row r="13" spans="1:21" x14ac:dyDescent="0.25">
      <c r="A13" t="str">
        <f>Froto!A13</f>
        <v xml:space="preserve">  Satış Amacıyla Elde Tutulan Duran Varlıklar</v>
      </c>
      <c r="B13" s="6">
        <f>'Çeyreklik Veriler'!B13+'Çeyreklik Veriler'!C13+'Çeyreklik Veriler'!D13+'Çeyreklik Veriler'!E13</f>
        <v>0</v>
      </c>
      <c r="C13" s="6">
        <f>'Çeyreklik Veriler'!C13+'Çeyreklik Veriler'!D13+'Çeyreklik Veriler'!E13+'Çeyreklik Veriler'!F13</f>
        <v>0</v>
      </c>
      <c r="D13" s="6">
        <f>'Çeyreklik Veriler'!D13+'Çeyreklik Veriler'!E13+'Çeyreklik Veriler'!F13+'Çeyreklik Veriler'!G13</f>
        <v>0</v>
      </c>
      <c r="E13" s="6">
        <f>'Çeyreklik Veriler'!E13+'Çeyreklik Veriler'!F13+'Çeyreklik Veriler'!G13+'Çeyreklik Veriler'!H13</f>
        <v>0</v>
      </c>
      <c r="F13" s="6">
        <f>'Çeyreklik Veriler'!F13+'Çeyreklik Veriler'!G13+'Çeyreklik Veriler'!H13+'Çeyreklik Veriler'!I13</f>
        <v>0</v>
      </c>
      <c r="G13" s="6">
        <f>'Çeyreklik Veriler'!G13+'Çeyreklik Veriler'!H13+'Çeyreklik Veriler'!I13+'Çeyreklik Veriler'!J13</f>
        <v>0</v>
      </c>
      <c r="H13" s="6">
        <f>'Çeyreklik Veriler'!H13+'Çeyreklik Veriler'!I13+'Çeyreklik Veriler'!J13+'Çeyreklik Veriler'!K13</f>
        <v>0</v>
      </c>
      <c r="I13" s="6">
        <f>'Çeyreklik Veriler'!I13+'Çeyreklik Veriler'!J13+'Çeyreklik Veriler'!K13+'Çeyreklik Veriler'!L13</f>
        <v>0</v>
      </c>
      <c r="J13" s="6">
        <f>'Çeyreklik Veriler'!J13+'Çeyreklik Veriler'!K13+'Çeyreklik Veriler'!L13+'Çeyreklik Veriler'!M13</f>
        <v>0</v>
      </c>
      <c r="K13" s="6">
        <f>'Çeyreklik Veriler'!K13+'Çeyreklik Veriler'!L13+'Çeyreklik Veriler'!M13+'Çeyreklik Veriler'!N13</f>
        <v>0</v>
      </c>
      <c r="L13" s="6">
        <f>'Çeyreklik Veriler'!L13+'Çeyreklik Veriler'!M13+'Çeyreklik Veriler'!N13+'Çeyreklik Veriler'!O13</f>
        <v>0</v>
      </c>
      <c r="M13" s="6">
        <f>'Çeyreklik Veriler'!M13+'Çeyreklik Veriler'!N13+'Çeyreklik Veriler'!O13+'Çeyreklik Veriler'!P13</f>
        <v>0</v>
      </c>
      <c r="N13" s="6">
        <f>'Çeyreklik Veriler'!N13+'Çeyreklik Veriler'!O13+'Çeyreklik Veriler'!P13+'Çeyreklik Veriler'!Q13</f>
        <v>0</v>
      </c>
      <c r="O13" s="6">
        <f>'Çeyreklik Veriler'!O13+'Çeyreklik Veriler'!P13+'Çeyreklik Veriler'!Q13+'Çeyreklik Veriler'!R13</f>
        <v>0</v>
      </c>
      <c r="P13" s="6">
        <f>'Çeyreklik Veriler'!P13+'Çeyreklik Veriler'!Q13+'Çeyreklik Veriler'!R13+'Çeyreklik Veriler'!S13</f>
        <v>0</v>
      </c>
      <c r="Q13" s="6">
        <f>'Çeyreklik Veriler'!Q13+'Çeyreklik Veriler'!R13+'Çeyreklik Veriler'!S13+'Çeyreklik Veriler'!T13</f>
        <v>0</v>
      </c>
      <c r="R13" s="6">
        <f>'Çeyreklik Veriler'!R13+'Çeyreklik Veriler'!S13+'Çeyreklik Veriler'!T13+'Çeyreklik Veriler'!U13</f>
        <v>0</v>
      </c>
    </row>
    <row r="14" spans="1:21" x14ac:dyDescent="0.25">
      <c r="A14" t="str">
        <f>Froto!A14</f>
        <v>Duran Varlıklar</v>
      </c>
      <c r="B14" s="6">
        <f>'Çeyreklik Veriler'!B14+'Çeyreklik Veriler'!C14+'Çeyreklik Veriler'!D14+'Çeyreklik Veriler'!E14</f>
        <v>40927729000</v>
      </c>
      <c r="C14" s="6">
        <f>'Çeyreklik Veriler'!C14+'Çeyreklik Veriler'!D14+'Çeyreklik Veriler'!E14+'Çeyreklik Veriler'!F14</f>
        <v>33508223000</v>
      </c>
      <c r="D14" s="6">
        <f>'Çeyreklik Veriler'!D14+'Çeyreklik Veriler'!E14+'Çeyreklik Veriler'!F14+'Çeyreklik Veriler'!G14</f>
        <v>25490577000</v>
      </c>
      <c r="E14" s="6">
        <f>'Çeyreklik Veriler'!E14+'Çeyreklik Veriler'!F14+'Çeyreklik Veriler'!G14+'Çeyreklik Veriler'!H14</f>
        <v>15522749000</v>
      </c>
      <c r="F14" s="6">
        <f>'Çeyreklik Veriler'!F14+'Çeyreklik Veriler'!G14+'Çeyreklik Veriler'!H14+'Çeyreklik Veriler'!I14</f>
        <v>9979001000</v>
      </c>
      <c r="G14" s="6">
        <f>'Çeyreklik Veriler'!G14+'Çeyreklik Veriler'!H14+'Çeyreklik Veriler'!I14+'Çeyreklik Veriler'!J14</f>
        <v>8564189000</v>
      </c>
      <c r="H14" s="6">
        <f>'Çeyreklik Veriler'!H14+'Çeyreklik Veriler'!I14+'Çeyreklik Veriler'!J14+'Çeyreklik Veriler'!K14</f>
        <v>7950465000</v>
      </c>
      <c r="I14" s="6">
        <f>'Çeyreklik Veriler'!I14+'Çeyreklik Veriler'!J14+'Çeyreklik Veriler'!K14+'Çeyreklik Veriler'!L14</f>
        <v>7484953000</v>
      </c>
      <c r="J14" s="6">
        <f>'Çeyreklik Veriler'!J14+'Çeyreklik Veriler'!K14+'Çeyreklik Veriler'!L14+'Çeyreklik Veriler'!M14</f>
        <v>6744657000</v>
      </c>
      <c r="K14" s="6">
        <f>'Çeyreklik Veriler'!K14+'Çeyreklik Veriler'!L14+'Çeyreklik Veriler'!M14+'Çeyreklik Veriler'!N14</f>
        <v>6485365000</v>
      </c>
      <c r="L14" s="6">
        <f>'Çeyreklik Veriler'!L14+'Çeyreklik Veriler'!M14+'Çeyreklik Veriler'!N14+'Çeyreklik Veriler'!O14</f>
        <v>6402740000</v>
      </c>
      <c r="M14" s="6">
        <f>'Çeyreklik Veriler'!M14+'Çeyreklik Veriler'!N14+'Çeyreklik Veriler'!O14+'Çeyreklik Veriler'!P14</f>
        <v>6487838000</v>
      </c>
      <c r="N14" s="6">
        <f>'Çeyreklik Veriler'!N14+'Çeyreklik Veriler'!O14+'Çeyreklik Veriler'!P14+'Çeyreklik Veriler'!Q14</f>
        <v>6249574000</v>
      </c>
      <c r="O14" s="6">
        <f>'Çeyreklik Veriler'!O14+'Çeyreklik Veriler'!P14+'Çeyreklik Veriler'!Q14+'Çeyreklik Veriler'!R14</f>
        <v>6330883000</v>
      </c>
      <c r="P14" s="6">
        <f>'Çeyreklik Veriler'!P14+'Çeyreklik Veriler'!Q14+'Çeyreklik Veriler'!R14+'Çeyreklik Veriler'!S14</f>
        <v>6552554000</v>
      </c>
      <c r="Q14" s="6">
        <f>'Çeyreklik Veriler'!Q14+'Çeyreklik Veriler'!R14+'Çeyreklik Veriler'!S14+'Çeyreklik Veriler'!T14</f>
        <v>6508430000</v>
      </c>
      <c r="R14" s="6">
        <f>'Çeyreklik Veriler'!R14+'Çeyreklik Veriler'!S14+'Çeyreklik Veriler'!T14+'Çeyreklik Veriler'!U14</f>
        <v>5788979000</v>
      </c>
    </row>
    <row r="15" spans="1:21" x14ac:dyDescent="0.25">
      <c r="A15" t="str">
        <f>Froto!A15</f>
        <v xml:space="preserve">  Ticari Alacaklar</v>
      </c>
      <c r="B15" s="6">
        <f>'Çeyreklik Veriler'!B15+'Çeyreklik Veriler'!C15+'Çeyreklik Veriler'!D15+'Çeyreklik Veriler'!E15</f>
        <v>15684000</v>
      </c>
      <c r="C15" s="6">
        <f>'Çeyreklik Veriler'!C15+'Çeyreklik Veriler'!D15+'Çeyreklik Veriler'!E15+'Çeyreklik Veriler'!F15</f>
        <v>52995000</v>
      </c>
      <c r="D15" s="6">
        <f>'Çeyreklik Veriler'!D15+'Çeyreklik Veriler'!E15+'Çeyreklik Veriler'!F15+'Çeyreklik Veriler'!G15</f>
        <v>63341000</v>
      </c>
      <c r="E15" s="6">
        <f>'Çeyreklik Veriler'!E15+'Çeyreklik Veriler'!F15+'Çeyreklik Veriler'!G15+'Çeyreklik Veriler'!H15</f>
        <v>67400000</v>
      </c>
      <c r="F15" s="6">
        <f>'Çeyreklik Veriler'!F15+'Çeyreklik Veriler'!G15+'Çeyreklik Veriler'!H15+'Çeyreklik Veriler'!I15</f>
        <v>37579000</v>
      </c>
      <c r="G15" s="6">
        <f>'Çeyreklik Veriler'!G15+'Çeyreklik Veriler'!H15+'Çeyreklik Veriler'!I15+'Çeyreklik Veriler'!J15</f>
        <v>4449000</v>
      </c>
      <c r="H15" s="6">
        <f>'Çeyreklik Veriler'!H15+'Çeyreklik Veriler'!I15+'Çeyreklik Veriler'!J15+'Çeyreklik Veriler'!K15</f>
        <v>5057000</v>
      </c>
      <c r="I15" s="6">
        <f>'Çeyreklik Veriler'!I15+'Çeyreklik Veriler'!J15+'Çeyreklik Veriler'!K15+'Çeyreklik Veriler'!L15</f>
        <v>5005000</v>
      </c>
      <c r="J15" s="6">
        <f>'Çeyreklik Veriler'!J15+'Çeyreklik Veriler'!K15+'Çeyreklik Veriler'!L15+'Çeyreklik Veriler'!M15</f>
        <v>3950000</v>
      </c>
      <c r="K15" s="6">
        <f>'Çeyreklik Veriler'!K15+'Çeyreklik Veriler'!L15+'Çeyreklik Veriler'!M15+'Çeyreklik Veriler'!N15</f>
        <v>4192000</v>
      </c>
      <c r="L15" s="6">
        <f>'Çeyreklik Veriler'!L15+'Çeyreklik Veriler'!M15+'Çeyreklik Veriler'!N15+'Çeyreklik Veriler'!O15</f>
        <v>3455000</v>
      </c>
      <c r="M15" s="6">
        <f>'Çeyreklik Veriler'!M15+'Çeyreklik Veriler'!N15+'Çeyreklik Veriler'!O15+'Çeyreklik Veriler'!P15</f>
        <v>3130000</v>
      </c>
      <c r="N15" s="6">
        <f>'Çeyreklik Veriler'!N15+'Çeyreklik Veriler'!O15+'Çeyreklik Veriler'!P15+'Çeyreklik Veriler'!Q15</f>
        <v>2903000</v>
      </c>
      <c r="O15" s="6">
        <f>'Çeyreklik Veriler'!O15+'Çeyreklik Veriler'!P15+'Çeyreklik Veriler'!Q15+'Çeyreklik Veriler'!R15</f>
        <v>2180000</v>
      </c>
      <c r="P15" s="6">
        <f>'Çeyreklik Veriler'!P15+'Çeyreklik Veriler'!Q15+'Çeyreklik Veriler'!R15+'Çeyreklik Veriler'!S15</f>
        <v>2937000</v>
      </c>
      <c r="Q15" s="6">
        <f>'Çeyreklik Veriler'!Q15+'Çeyreklik Veriler'!R15+'Çeyreklik Veriler'!S15+'Çeyreklik Veriler'!T15</f>
        <v>2822000</v>
      </c>
      <c r="R15" s="6">
        <f>'Çeyreklik Veriler'!R15+'Çeyreklik Veriler'!S15+'Çeyreklik Veriler'!T15+'Çeyreklik Veriler'!U15</f>
        <v>2954000</v>
      </c>
    </row>
    <row r="16" spans="1:21" x14ac:dyDescent="0.25">
      <c r="A16" t="str">
        <f>Froto!A16</f>
        <v xml:space="preserve">  Finans Sektörü Faaliyetlerinden Alacaklar</v>
      </c>
      <c r="B16" s="6">
        <f>'Çeyreklik Veriler'!B16+'Çeyreklik Veriler'!C16+'Çeyreklik Veriler'!D16+'Çeyreklik Veriler'!E16</f>
        <v>0</v>
      </c>
      <c r="C16" s="6">
        <f>'Çeyreklik Veriler'!C16+'Çeyreklik Veriler'!D16+'Çeyreklik Veriler'!E16+'Çeyreklik Veriler'!F16</f>
        <v>0</v>
      </c>
      <c r="D16" s="6">
        <f>'Çeyreklik Veriler'!D16+'Çeyreklik Veriler'!E16+'Çeyreklik Veriler'!F16+'Çeyreklik Veriler'!G16</f>
        <v>0</v>
      </c>
      <c r="E16" s="6">
        <f>'Çeyreklik Veriler'!E16+'Çeyreklik Veriler'!F16+'Çeyreklik Veriler'!G16+'Çeyreklik Veriler'!H16</f>
        <v>0</v>
      </c>
      <c r="F16" s="6">
        <f>'Çeyreklik Veriler'!F16+'Çeyreklik Veriler'!G16+'Çeyreklik Veriler'!H16+'Çeyreklik Veriler'!I16</f>
        <v>0</v>
      </c>
      <c r="G16" s="6">
        <f>'Çeyreklik Veriler'!G16+'Çeyreklik Veriler'!H16+'Çeyreklik Veriler'!I16+'Çeyreklik Veriler'!J16</f>
        <v>0</v>
      </c>
      <c r="H16" s="6">
        <f>'Çeyreklik Veriler'!H16+'Çeyreklik Veriler'!I16+'Çeyreklik Veriler'!J16+'Çeyreklik Veriler'!K16</f>
        <v>0</v>
      </c>
      <c r="I16" s="6">
        <f>'Çeyreklik Veriler'!I16+'Çeyreklik Veriler'!J16+'Çeyreklik Veriler'!K16+'Çeyreklik Veriler'!L16</f>
        <v>0</v>
      </c>
      <c r="J16" s="6">
        <f>'Çeyreklik Veriler'!J16+'Çeyreklik Veriler'!K16+'Çeyreklik Veriler'!L16+'Çeyreklik Veriler'!M16</f>
        <v>0</v>
      </c>
      <c r="K16" s="6">
        <f>'Çeyreklik Veriler'!K16+'Çeyreklik Veriler'!L16+'Çeyreklik Veriler'!M16+'Çeyreklik Veriler'!N16</f>
        <v>0</v>
      </c>
      <c r="L16" s="6">
        <f>'Çeyreklik Veriler'!L16+'Çeyreklik Veriler'!M16+'Çeyreklik Veriler'!N16+'Çeyreklik Veriler'!O16</f>
        <v>0</v>
      </c>
      <c r="M16" s="6">
        <f>'Çeyreklik Veriler'!M16+'Çeyreklik Veriler'!N16+'Çeyreklik Veriler'!O16+'Çeyreklik Veriler'!P16</f>
        <v>0</v>
      </c>
      <c r="N16" s="6">
        <f>'Çeyreklik Veriler'!N16+'Çeyreklik Veriler'!O16+'Çeyreklik Veriler'!P16+'Çeyreklik Veriler'!Q16</f>
        <v>0</v>
      </c>
      <c r="O16" s="6">
        <f>'Çeyreklik Veriler'!O16+'Çeyreklik Veriler'!P16+'Çeyreklik Veriler'!Q16+'Çeyreklik Veriler'!R16</f>
        <v>0</v>
      </c>
      <c r="P16" s="6">
        <f>'Çeyreklik Veriler'!P16+'Çeyreklik Veriler'!Q16+'Çeyreklik Veriler'!R16+'Çeyreklik Veriler'!S16</f>
        <v>0</v>
      </c>
      <c r="Q16" s="6">
        <f>'Çeyreklik Veriler'!Q16+'Çeyreklik Veriler'!R16+'Çeyreklik Veriler'!S16+'Çeyreklik Veriler'!T16</f>
        <v>0</v>
      </c>
      <c r="R16" s="6">
        <f>'Çeyreklik Veriler'!R16+'Çeyreklik Veriler'!S16+'Çeyreklik Veriler'!T16+'Çeyreklik Veriler'!U16</f>
        <v>0</v>
      </c>
    </row>
    <row r="17" spans="1:18" x14ac:dyDescent="0.25">
      <c r="A17" t="str">
        <f>Froto!A17</f>
        <v xml:space="preserve">  Diğer Alacaklar</v>
      </c>
      <c r="B17" s="6">
        <f>'Çeyreklik Veriler'!B17+'Çeyreklik Veriler'!C17+'Çeyreklik Veriler'!D17+'Çeyreklik Veriler'!E17</f>
        <v>1153083000</v>
      </c>
      <c r="C17" s="6">
        <f>'Çeyreklik Veriler'!C17+'Çeyreklik Veriler'!D17+'Çeyreklik Veriler'!E17+'Çeyreklik Veriler'!F17</f>
        <v>1076075000</v>
      </c>
      <c r="D17" s="6">
        <f>'Çeyreklik Veriler'!D17+'Çeyreklik Veriler'!E17+'Çeyreklik Veriler'!F17+'Çeyreklik Veriler'!G17</f>
        <v>0</v>
      </c>
      <c r="E17" s="6">
        <f>'Çeyreklik Veriler'!E17+'Çeyreklik Veriler'!F17+'Çeyreklik Veriler'!G17+'Çeyreklik Veriler'!H17</f>
        <v>0</v>
      </c>
      <c r="F17" s="6">
        <f>'Çeyreklik Veriler'!F17+'Çeyreklik Veriler'!G17+'Çeyreklik Veriler'!H17+'Çeyreklik Veriler'!I17</f>
        <v>0</v>
      </c>
      <c r="G17" s="6">
        <f>'Çeyreklik Veriler'!G17+'Çeyreklik Veriler'!H17+'Çeyreklik Veriler'!I17+'Çeyreklik Veriler'!J17</f>
        <v>0</v>
      </c>
      <c r="H17" s="6">
        <f>'Çeyreklik Veriler'!H17+'Çeyreklik Veriler'!I17+'Çeyreklik Veriler'!J17+'Çeyreklik Veriler'!K17</f>
        <v>0</v>
      </c>
      <c r="I17" s="6">
        <f>'Çeyreklik Veriler'!I17+'Çeyreklik Veriler'!J17+'Çeyreklik Veriler'!K17+'Çeyreklik Veriler'!L17</f>
        <v>0</v>
      </c>
      <c r="J17" s="6">
        <f>'Çeyreklik Veriler'!J17+'Çeyreklik Veriler'!K17+'Çeyreklik Veriler'!L17+'Çeyreklik Veriler'!M17</f>
        <v>0</v>
      </c>
      <c r="K17" s="6">
        <f>'Çeyreklik Veriler'!K17+'Çeyreklik Veriler'!L17+'Çeyreklik Veriler'!M17+'Çeyreklik Veriler'!N17</f>
        <v>0</v>
      </c>
      <c r="L17" s="6">
        <f>'Çeyreklik Veriler'!L17+'Çeyreklik Veriler'!M17+'Çeyreklik Veriler'!N17+'Çeyreklik Veriler'!O17</f>
        <v>0</v>
      </c>
      <c r="M17" s="6">
        <f>'Çeyreklik Veriler'!M17+'Çeyreklik Veriler'!N17+'Çeyreklik Veriler'!O17+'Çeyreklik Veriler'!P17</f>
        <v>0</v>
      </c>
      <c r="N17" s="6">
        <f>'Çeyreklik Veriler'!N17+'Çeyreklik Veriler'!O17+'Çeyreklik Veriler'!P17+'Çeyreklik Veriler'!Q17</f>
        <v>0</v>
      </c>
      <c r="O17" s="6">
        <f>'Çeyreklik Veriler'!O17+'Çeyreklik Veriler'!P17+'Çeyreklik Veriler'!Q17+'Çeyreklik Veriler'!R17</f>
        <v>0</v>
      </c>
      <c r="P17" s="6">
        <f>'Çeyreklik Veriler'!P17+'Çeyreklik Veriler'!Q17+'Çeyreklik Veriler'!R17+'Çeyreklik Veriler'!S17</f>
        <v>0</v>
      </c>
      <c r="Q17" s="6">
        <f>'Çeyreklik Veriler'!Q17+'Çeyreklik Veriler'!R17+'Çeyreklik Veriler'!S17+'Çeyreklik Veriler'!T17</f>
        <v>0</v>
      </c>
      <c r="R17" s="6">
        <f>'Çeyreklik Veriler'!R17+'Çeyreklik Veriler'!S17+'Çeyreklik Veriler'!T17+'Çeyreklik Veriler'!U17</f>
        <v>0</v>
      </c>
    </row>
    <row r="18" spans="1:18" x14ac:dyDescent="0.25">
      <c r="A18" t="str">
        <f>Froto!A18</f>
        <v xml:space="preserve">  Müşteri Sözleşmelerinden Doğan Varlıklar</v>
      </c>
      <c r="B18" s="6">
        <f>'Çeyreklik Veriler'!B18+'Çeyreklik Veriler'!C18+'Çeyreklik Veriler'!D18+'Çeyreklik Veriler'!E18</f>
        <v>0</v>
      </c>
      <c r="C18" s="6">
        <f>'Çeyreklik Veriler'!C18+'Çeyreklik Veriler'!D18+'Çeyreklik Veriler'!E18+'Çeyreklik Veriler'!F18</f>
        <v>0</v>
      </c>
      <c r="D18" s="6">
        <f>'Çeyreklik Veriler'!D18+'Çeyreklik Veriler'!E18+'Çeyreklik Veriler'!F18+'Çeyreklik Veriler'!G18</f>
        <v>0</v>
      </c>
      <c r="E18" s="6">
        <f>'Çeyreklik Veriler'!E18+'Çeyreklik Veriler'!F18+'Çeyreklik Veriler'!G18+'Çeyreklik Veriler'!H18</f>
        <v>0</v>
      </c>
      <c r="F18" s="6">
        <f>'Çeyreklik Veriler'!F18+'Çeyreklik Veriler'!G18+'Çeyreklik Veriler'!H18+'Çeyreklik Veriler'!I18</f>
        <v>0</v>
      </c>
      <c r="G18" s="6">
        <f>'Çeyreklik Veriler'!G18+'Çeyreklik Veriler'!H18+'Çeyreklik Veriler'!I18+'Çeyreklik Veriler'!J18</f>
        <v>0</v>
      </c>
      <c r="H18" s="6">
        <f>'Çeyreklik Veriler'!H18+'Çeyreklik Veriler'!I18+'Çeyreklik Veriler'!J18+'Çeyreklik Veriler'!K18</f>
        <v>0</v>
      </c>
      <c r="I18" s="6">
        <f>'Çeyreklik Veriler'!I18+'Çeyreklik Veriler'!J18+'Çeyreklik Veriler'!K18+'Çeyreklik Veriler'!L18</f>
        <v>0</v>
      </c>
      <c r="J18" s="6">
        <f>'Çeyreklik Veriler'!J18+'Çeyreklik Veriler'!K18+'Çeyreklik Veriler'!L18+'Çeyreklik Veriler'!M18</f>
        <v>0</v>
      </c>
      <c r="K18" s="6">
        <f>'Çeyreklik Veriler'!K18+'Çeyreklik Veriler'!L18+'Çeyreklik Veriler'!M18+'Çeyreklik Veriler'!N18</f>
        <v>0</v>
      </c>
      <c r="L18" s="6">
        <f>'Çeyreklik Veriler'!L18+'Çeyreklik Veriler'!M18+'Çeyreklik Veriler'!N18+'Çeyreklik Veriler'!O18</f>
        <v>0</v>
      </c>
      <c r="M18" s="6">
        <f>'Çeyreklik Veriler'!M18+'Çeyreklik Veriler'!N18+'Çeyreklik Veriler'!O18+'Çeyreklik Veriler'!P18</f>
        <v>0</v>
      </c>
      <c r="N18" s="6">
        <f>'Çeyreklik Veriler'!N18+'Çeyreklik Veriler'!O18+'Çeyreklik Veriler'!P18+'Çeyreklik Veriler'!Q18</f>
        <v>0</v>
      </c>
      <c r="O18" s="6">
        <f>'Çeyreklik Veriler'!O18+'Çeyreklik Veriler'!P18+'Çeyreklik Veriler'!Q18+'Çeyreklik Veriler'!R18</f>
        <v>0</v>
      </c>
      <c r="P18" s="6">
        <f>'Çeyreklik Veriler'!P18+'Çeyreklik Veriler'!Q18+'Çeyreklik Veriler'!R18+'Çeyreklik Veriler'!S18</f>
        <v>0</v>
      </c>
      <c r="Q18" s="6">
        <f>'Çeyreklik Veriler'!Q18+'Çeyreklik Veriler'!R18+'Çeyreklik Veriler'!S18+'Çeyreklik Veriler'!T18</f>
        <v>0</v>
      </c>
      <c r="R18" s="6">
        <f>'Çeyreklik Veriler'!R18+'Çeyreklik Veriler'!S18+'Çeyreklik Veriler'!T18+'Çeyreklik Veriler'!U18</f>
        <v>0</v>
      </c>
    </row>
    <row r="19" spans="1:18" x14ac:dyDescent="0.25">
      <c r="A19" t="str">
        <f>Froto!A19</f>
        <v xml:space="preserve">  Finansal Yatırımlar</v>
      </c>
      <c r="B19" s="6">
        <f>'Çeyreklik Veriler'!B19+'Çeyreklik Veriler'!C19+'Çeyreklik Veriler'!D19+'Çeyreklik Veriler'!E19</f>
        <v>145942000</v>
      </c>
      <c r="C19" s="6">
        <f>'Çeyreklik Veriler'!C19+'Çeyreklik Veriler'!D19+'Çeyreklik Veriler'!E19+'Çeyreklik Veriler'!F19</f>
        <v>83938000</v>
      </c>
      <c r="D19" s="6">
        <f>'Çeyreklik Veriler'!D19+'Çeyreklik Veriler'!E19+'Çeyreklik Veriler'!F19+'Çeyreklik Veriler'!G19</f>
        <v>70595000</v>
      </c>
      <c r="E19" s="6">
        <f>'Çeyreklik Veriler'!E19+'Çeyreklik Veriler'!F19+'Çeyreklik Veriler'!G19+'Çeyreklik Veriler'!H19</f>
        <v>58939000</v>
      </c>
      <c r="F19" s="6">
        <f>'Çeyreklik Veriler'!F19+'Çeyreklik Veriler'!G19+'Çeyreklik Veriler'!H19+'Çeyreklik Veriler'!I19</f>
        <v>49913000</v>
      </c>
      <c r="G19" s="6">
        <f>'Çeyreklik Veriler'!G19+'Çeyreklik Veriler'!H19+'Çeyreklik Veriler'!I19+'Çeyreklik Veriler'!J19</f>
        <v>70637000</v>
      </c>
      <c r="H19" s="6">
        <f>'Çeyreklik Veriler'!H19+'Çeyreklik Veriler'!I19+'Çeyreklik Veriler'!J19+'Çeyreklik Veriler'!K19</f>
        <v>62806000</v>
      </c>
      <c r="I19" s="6">
        <f>'Çeyreklik Veriler'!I19+'Çeyreklik Veriler'!J19+'Çeyreklik Veriler'!K19+'Çeyreklik Veriler'!L19</f>
        <v>81211000</v>
      </c>
      <c r="J19" s="6">
        <f>'Çeyreklik Veriler'!J19+'Çeyreklik Veriler'!K19+'Çeyreklik Veriler'!L19+'Çeyreklik Veriler'!M19</f>
        <v>44767000</v>
      </c>
      <c r="K19" s="6">
        <f>'Çeyreklik Veriler'!K19+'Çeyreklik Veriler'!L19+'Çeyreklik Veriler'!M19+'Çeyreklik Veriler'!N19</f>
        <v>22748000</v>
      </c>
      <c r="L19" s="6">
        <f>'Çeyreklik Veriler'!L19+'Çeyreklik Veriler'!M19+'Çeyreklik Veriler'!N19+'Çeyreklik Veriler'!O19</f>
        <v>27375000</v>
      </c>
      <c r="M19" s="6">
        <f>'Çeyreklik Veriler'!M19+'Çeyreklik Veriler'!N19+'Çeyreklik Veriler'!O19+'Çeyreklik Veriler'!P19</f>
        <v>22186000</v>
      </c>
      <c r="N19" s="6">
        <f>'Çeyreklik Veriler'!N19+'Çeyreklik Veriler'!O19+'Çeyreklik Veriler'!P19+'Çeyreklik Veriler'!Q19</f>
        <v>22355000</v>
      </c>
      <c r="O19" s="6">
        <f>'Çeyreklik Veriler'!O19+'Çeyreklik Veriler'!P19+'Çeyreklik Veriler'!Q19+'Çeyreklik Veriler'!R19</f>
        <v>19720000</v>
      </c>
      <c r="P19" s="6">
        <f>'Çeyreklik Veriler'!P19+'Çeyreklik Veriler'!Q19+'Çeyreklik Veriler'!R19+'Çeyreklik Veriler'!S19</f>
        <v>17828000</v>
      </c>
      <c r="Q19" s="6">
        <f>'Çeyreklik Veriler'!Q19+'Çeyreklik Veriler'!R19+'Çeyreklik Veriler'!S19+'Çeyreklik Veriler'!T19</f>
        <v>11101000</v>
      </c>
      <c r="R19" s="6">
        <f>'Çeyreklik Veriler'!R19+'Çeyreklik Veriler'!S19+'Çeyreklik Veriler'!T19+'Çeyreklik Veriler'!U19</f>
        <v>12408000</v>
      </c>
    </row>
    <row r="20" spans="1:18" x14ac:dyDescent="0.25">
      <c r="A20" t="str">
        <f>Froto!A20</f>
        <v xml:space="preserve">  Özkaynak Yöntemiyle Değerlenen Yatırımlar</v>
      </c>
      <c r="B20" s="6">
        <f>'Çeyreklik Veriler'!B20+'Çeyreklik Veriler'!C20+'Çeyreklik Veriler'!D20+'Çeyreklik Veriler'!E20</f>
        <v>0</v>
      </c>
      <c r="C20" s="6">
        <f>'Çeyreklik Veriler'!C20+'Çeyreklik Veriler'!D20+'Çeyreklik Veriler'!E20+'Çeyreklik Veriler'!F20</f>
        <v>0</v>
      </c>
      <c r="D20" s="6">
        <f>'Çeyreklik Veriler'!D20+'Çeyreklik Veriler'!E20+'Çeyreklik Veriler'!F20+'Çeyreklik Veriler'!G20</f>
        <v>0</v>
      </c>
      <c r="E20" s="6">
        <f>'Çeyreklik Veriler'!E20+'Çeyreklik Veriler'!F20+'Çeyreklik Veriler'!G20+'Çeyreklik Veriler'!H20</f>
        <v>0</v>
      </c>
      <c r="F20" s="6">
        <f>'Çeyreklik Veriler'!F20+'Çeyreklik Veriler'!G20+'Çeyreklik Veriler'!H20+'Çeyreklik Veriler'!I20</f>
        <v>0</v>
      </c>
      <c r="G20" s="6">
        <f>'Çeyreklik Veriler'!G20+'Çeyreklik Veriler'!H20+'Çeyreklik Veriler'!I20+'Çeyreklik Veriler'!J20</f>
        <v>0</v>
      </c>
      <c r="H20" s="6">
        <f>'Çeyreklik Veriler'!H20+'Çeyreklik Veriler'!I20+'Çeyreklik Veriler'!J20+'Çeyreklik Veriler'!K20</f>
        <v>0</v>
      </c>
      <c r="I20" s="6">
        <f>'Çeyreklik Veriler'!I20+'Çeyreklik Veriler'!J20+'Çeyreklik Veriler'!K20+'Çeyreklik Veriler'!L20</f>
        <v>0</v>
      </c>
      <c r="J20" s="6">
        <f>'Çeyreklik Veriler'!J20+'Çeyreklik Veriler'!K20+'Çeyreklik Veriler'!L20+'Çeyreklik Veriler'!M20</f>
        <v>0</v>
      </c>
      <c r="K20" s="6">
        <f>'Çeyreklik Veriler'!K20+'Çeyreklik Veriler'!L20+'Çeyreklik Veriler'!M20+'Çeyreklik Veriler'!N20</f>
        <v>0</v>
      </c>
      <c r="L20" s="6">
        <f>'Çeyreklik Veriler'!L20+'Çeyreklik Veriler'!M20+'Çeyreklik Veriler'!N20+'Çeyreklik Veriler'!O20</f>
        <v>-783000</v>
      </c>
      <c r="M20" s="6">
        <f>'Çeyreklik Veriler'!M20+'Çeyreklik Veriler'!N20+'Çeyreklik Veriler'!O20+'Çeyreklik Veriler'!P20</f>
        <v>-901000</v>
      </c>
      <c r="N20" s="6">
        <f>'Çeyreklik Veriler'!N20+'Çeyreklik Veriler'!O20+'Çeyreklik Veriler'!P20+'Çeyreklik Veriler'!Q20</f>
        <v>0</v>
      </c>
      <c r="O20" s="6">
        <f>'Çeyreklik Veriler'!O20+'Çeyreklik Veriler'!P20+'Çeyreklik Veriler'!Q20+'Çeyreklik Veriler'!R20</f>
        <v>-73000</v>
      </c>
      <c r="P20" s="6">
        <f>'Çeyreklik Veriler'!P20+'Çeyreklik Veriler'!Q20+'Çeyreklik Veriler'!R20+'Çeyreklik Veriler'!S20</f>
        <v>1716000</v>
      </c>
      <c r="Q20" s="6">
        <f>'Çeyreklik Veriler'!Q20+'Çeyreklik Veriler'!R20+'Çeyreklik Veriler'!S20+'Çeyreklik Veriler'!T20</f>
        <v>1834000</v>
      </c>
      <c r="R20" s="6">
        <f>'Çeyreklik Veriler'!R20+'Çeyreklik Veriler'!S20+'Çeyreklik Veriler'!T20+'Çeyreklik Veriler'!U20</f>
        <v>933000</v>
      </c>
    </row>
    <row r="21" spans="1:18" x14ac:dyDescent="0.25">
      <c r="A21" t="str">
        <f>Froto!A21</f>
        <v xml:space="preserve">  Canlı Varlıklar</v>
      </c>
      <c r="B21" s="6">
        <f>'Çeyreklik Veriler'!B21+'Çeyreklik Veriler'!C21+'Çeyreklik Veriler'!D21+'Çeyreklik Veriler'!E21</f>
        <v>0</v>
      </c>
      <c r="C21" s="6">
        <f>'Çeyreklik Veriler'!C21+'Çeyreklik Veriler'!D21+'Çeyreklik Veriler'!E21+'Çeyreklik Veriler'!F21</f>
        <v>0</v>
      </c>
      <c r="D21" s="6">
        <f>'Çeyreklik Veriler'!D21+'Çeyreklik Veriler'!E21+'Çeyreklik Veriler'!F21+'Çeyreklik Veriler'!G21</f>
        <v>0</v>
      </c>
      <c r="E21" s="6">
        <f>'Çeyreklik Veriler'!E21+'Çeyreklik Veriler'!F21+'Çeyreklik Veriler'!G21+'Çeyreklik Veriler'!H21</f>
        <v>0</v>
      </c>
      <c r="F21" s="6">
        <f>'Çeyreklik Veriler'!F21+'Çeyreklik Veriler'!G21+'Çeyreklik Veriler'!H21+'Çeyreklik Veriler'!I21</f>
        <v>0</v>
      </c>
      <c r="G21" s="6">
        <f>'Çeyreklik Veriler'!G21+'Çeyreklik Veriler'!H21+'Çeyreklik Veriler'!I21+'Çeyreklik Veriler'!J21</f>
        <v>0</v>
      </c>
      <c r="H21" s="6">
        <f>'Çeyreklik Veriler'!H21+'Çeyreklik Veriler'!I21+'Çeyreklik Veriler'!J21+'Çeyreklik Veriler'!K21</f>
        <v>0</v>
      </c>
      <c r="I21" s="6">
        <f>'Çeyreklik Veriler'!I21+'Çeyreklik Veriler'!J21+'Çeyreklik Veriler'!K21+'Çeyreklik Veriler'!L21</f>
        <v>0</v>
      </c>
      <c r="J21" s="6">
        <f>'Çeyreklik Veriler'!J21+'Çeyreklik Veriler'!K21+'Çeyreklik Veriler'!L21+'Çeyreklik Veriler'!M21</f>
        <v>0</v>
      </c>
      <c r="K21" s="6">
        <f>'Çeyreklik Veriler'!K21+'Çeyreklik Veriler'!L21+'Çeyreklik Veriler'!M21+'Çeyreklik Veriler'!N21</f>
        <v>0</v>
      </c>
      <c r="L21" s="6">
        <f>'Çeyreklik Veriler'!L21+'Çeyreklik Veriler'!M21+'Çeyreklik Veriler'!N21+'Çeyreklik Veriler'!O21</f>
        <v>0</v>
      </c>
      <c r="M21" s="6">
        <f>'Çeyreklik Veriler'!M21+'Çeyreklik Veriler'!N21+'Çeyreklik Veriler'!O21+'Çeyreklik Veriler'!P21</f>
        <v>0</v>
      </c>
      <c r="N21" s="6">
        <f>'Çeyreklik Veriler'!N21+'Çeyreklik Veriler'!O21+'Çeyreklik Veriler'!P21+'Çeyreklik Veriler'!Q21</f>
        <v>0</v>
      </c>
      <c r="O21" s="6">
        <f>'Çeyreklik Veriler'!O21+'Çeyreklik Veriler'!P21+'Çeyreklik Veriler'!Q21+'Çeyreklik Veriler'!R21</f>
        <v>0</v>
      </c>
      <c r="P21" s="6">
        <f>'Çeyreklik Veriler'!P21+'Çeyreklik Veriler'!Q21+'Çeyreklik Veriler'!R21+'Çeyreklik Veriler'!S21</f>
        <v>0</v>
      </c>
      <c r="Q21" s="6">
        <f>'Çeyreklik Veriler'!Q21+'Çeyreklik Veriler'!R21+'Çeyreklik Veriler'!S21+'Çeyreklik Veriler'!T21</f>
        <v>0</v>
      </c>
      <c r="R21" s="6">
        <f>'Çeyreklik Veriler'!R21+'Çeyreklik Veriler'!S21+'Çeyreklik Veriler'!T21+'Çeyreklik Veriler'!U21</f>
        <v>0</v>
      </c>
    </row>
    <row r="22" spans="1:18" x14ac:dyDescent="0.25">
      <c r="A22" t="str">
        <f>Froto!A22</f>
        <v xml:space="preserve">  Yatırım Amaçlı Gayrimenkuller</v>
      </c>
      <c r="B22" s="6">
        <f>'Çeyreklik Veriler'!B22+'Çeyreklik Veriler'!C22+'Çeyreklik Veriler'!D22+'Çeyreklik Veriler'!E22</f>
        <v>0</v>
      </c>
      <c r="C22" s="6">
        <f>'Çeyreklik Veriler'!C22+'Çeyreklik Veriler'!D22+'Çeyreklik Veriler'!E22+'Çeyreklik Veriler'!F22</f>
        <v>0</v>
      </c>
      <c r="D22" s="6">
        <f>'Çeyreklik Veriler'!D22+'Çeyreklik Veriler'!E22+'Çeyreklik Veriler'!F22+'Çeyreklik Veriler'!G22</f>
        <v>0</v>
      </c>
      <c r="E22" s="6">
        <f>'Çeyreklik Veriler'!E22+'Çeyreklik Veriler'!F22+'Çeyreklik Veriler'!G22+'Çeyreklik Veriler'!H22</f>
        <v>0</v>
      </c>
      <c r="F22" s="6">
        <f>'Çeyreklik Veriler'!F22+'Çeyreklik Veriler'!G22+'Çeyreklik Veriler'!H22+'Çeyreklik Veriler'!I22</f>
        <v>0</v>
      </c>
      <c r="G22" s="6">
        <f>'Çeyreklik Veriler'!G22+'Çeyreklik Veriler'!H22+'Çeyreklik Veriler'!I22+'Çeyreklik Veriler'!J22</f>
        <v>0</v>
      </c>
      <c r="H22" s="6">
        <f>'Çeyreklik Veriler'!H22+'Çeyreklik Veriler'!I22+'Çeyreklik Veriler'!J22+'Çeyreklik Veriler'!K22</f>
        <v>0</v>
      </c>
      <c r="I22" s="6">
        <f>'Çeyreklik Veriler'!I22+'Çeyreklik Veriler'!J22+'Çeyreklik Veriler'!K22+'Çeyreklik Veriler'!L22</f>
        <v>0</v>
      </c>
      <c r="J22" s="6">
        <f>'Çeyreklik Veriler'!J22+'Çeyreklik Veriler'!K22+'Çeyreklik Veriler'!L22+'Çeyreklik Veriler'!M22</f>
        <v>0</v>
      </c>
      <c r="K22" s="6">
        <f>'Çeyreklik Veriler'!K22+'Çeyreklik Veriler'!L22+'Çeyreklik Veriler'!M22+'Çeyreklik Veriler'!N22</f>
        <v>0</v>
      </c>
      <c r="L22" s="6">
        <f>'Çeyreklik Veriler'!L22+'Çeyreklik Veriler'!M22+'Çeyreklik Veriler'!N22+'Çeyreklik Veriler'!O22</f>
        <v>0</v>
      </c>
      <c r="M22" s="6">
        <f>'Çeyreklik Veriler'!M22+'Çeyreklik Veriler'!N22+'Çeyreklik Veriler'!O22+'Çeyreklik Veriler'!P22</f>
        <v>0</v>
      </c>
      <c r="N22" s="6">
        <f>'Çeyreklik Veriler'!N22+'Çeyreklik Veriler'!O22+'Çeyreklik Veriler'!P22+'Çeyreklik Veriler'!Q22</f>
        <v>0</v>
      </c>
      <c r="O22" s="6">
        <f>'Çeyreklik Veriler'!O22+'Çeyreklik Veriler'!P22+'Çeyreklik Veriler'!Q22+'Çeyreklik Veriler'!R22</f>
        <v>0</v>
      </c>
      <c r="P22" s="6">
        <f>'Çeyreklik Veriler'!P22+'Çeyreklik Veriler'!Q22+'Çeyreklik Veriler'!R22+'Çeyreklik Veriler'!S22</f>
        <v>0</v>
      </c>
      <c r="Q22" s="6">
        <f>'Çeyreklik Veriler'!Q22+'Çeyreklik Veriler'!R22+'Çeyreklik Veriler'!S22+'Çeyreklik Veriler'!T22</f>
        <v>0</v>
      </c>
      <c r="R22" s="6">
        <f>'Çeyreklik Veriler'!R22+'Çeyreklik Veriler'!S22+'Çeyreklik Veriler'!T22+'Çeyreklik Veriler'!U22</f>
        <v>0</v>
      </c>
    </row>
    <row r="23" spans="1:18" x14ac:dyDescent="0.25">
      <c r="A23" t="str">
        <f>Froto!A23</f>
        <v xml:space="preserve">  Stoklar</v>
      </c>
      <c r="B23" s="6">
        <f>'Çeyreklik Veriler'!B23+'Çeyreklik Veriler'!C23+'Çeyreklik Veriler'!D23+'Çeyreklik Veriler'!E23</f>
        <v>0</v>
      </c>
      <c r="C23" s="6">
        <f>'Çeyreklik Veriler'!C23+'Çeyreklik Veriler'!D23+'Çeyreklik Veriler'!E23+'Çeyreklik Veriler'!F23</f>
        <v>0</v>
      </c>
      <c r="D23" s="6">
        <f>'Çeyreklik Veriler'!D23+'Çeyreklik Veriler'!E23+'Çeyreklik Veriler'!F23+'Çeyreklik Veriler'!G23</f>
        <v>0</v>
      </c>
      <c r="E23" s="6">
        <f>'Çeyreklik Veriler'!E23+'Çeyreklik Veriler'!F23+'Çeyreklik Veriler'!G23+'Çeyreklik Veriler'!H23</f>
        <v>0</v>
      </c>
      <c r="F23" s="6">
        <f>'Çeyreklik Veriler'!F23+'Çeyreklik Veriler'!G23+'Çeyreklik Veriler'!H23+'Çeyreklik Veriler'!I23</f>
        <v>0</v>
      </c>
      <c r="G23" s="6">
        <f>'Çeyreklik Veriler'!G23+'Çeyreklik Veriler'!H23+'Çeyreklik Veriler'!I23+'Çeyreklik Veriler'!J23</f>
        <v>0</v>
      </c>
      <c r="H23" s="6">
        <f>'Çeyreklik Veriler'!H23+'Çeyreklik Veriler'!I23+'Çeyreklik Veriler'!J23+'Çeyreklik Veriler'!K23</f>
        <v>0</v>
      </c>
      <c r="I23" s="6">
        <f>'Çeyreklik Veriler'!I23+'Çeyreklik Veriler'!J23+'Çeyreklik Veriler'!K23+'Çeyreklik Veriler'!L23</f>
        <v>0</v>
      </c>
      <c r="J23" s="6">
        <f>'Çeyreklik Veriler'!J23+'Çeyreklik Veriler'!K23+'Çeyreklik Veriler'!L23+'Çeyreklik Veriler'!M23</f>
        <v>0</v>
      </c>
      <c r="K23" s="6">
        <f>'Çeyreklik Veriler'!K23+'Çeyreklik Veriler'!L23+'Çeyreklik Veriler'!M23+'Çeyreklik Veriler'!N23</f>
        <v>0</v>
      </c>
      <c r="L23" s="6">
        <f>'Çeyreklik Veriler'!L23+'Çeyreklik Veriler'!M23+'Çeyreklik Veriler'!N23+'Çeyreklik Veriler'!O23</f>
        <v>0</v>
      </c>
      <c r="M23" s="6">
        <f>'Çeyreklik Veriler'!M23+'Çeyreklik Veriler'!N23+'Çeyreklik Veriler'!O23+'Çeyreklik Veriler'!P23</f>
        <v>0</v>
      </c>
      <c r="N23" s="6">
        <f>'Çeyreklik Veriler'!N23+'Çeyreklik Veriler'!O23+'Çeyreklik Veriler'!P23+'Çeyreklik Veriler'!Q23</f>
        <v>0</v>
      </c>
      <c r="O23" s="6">
        <f>'Çeyreklik Veriler'!O23+'Çeyreklik Veriler'!P23+'Çeyreklik Veriler'!Q23+'Çeyreklik Veriler'!R23</f>
        <v>0</v>
      </c>
      <c r="P23" s="6">
        <f>'Çeyreklik Veriler'!P23+'Çeyreklik Veriler'!Q23+'Çeyreklik Veriler'!R23+'Çeyreklik Veriler'!S23</f>
        <v>0</v>
      </c>
      <c r="Q23" s="6">
        <f>'Çeyreklik Veriler'!Q23+'Çeyreklik Veriler'!R23+'Çeyreklik Veriler'!S23+'Çeyreklik Veriler'!T23</f>
        <v>0</v>
      </c>
      <c r="R23" s="6">
        <f>'Çeyreklik Veriler'!R23+'Çeyreklik Veriler'!S23+'Çeyreklik Veriler'!T23+'Çeyreklik Veriler'!U23</f>
        <v>0</v>
      </c>
    </row>
    <row r="24" spans="1:18" x14ac:dyDescent="0.25">
      <c r="A24" t="str">
        <f>Froto!A24</f>
        <v xml:space="preserve">  Kullanım Hakkı Varlıkları</v>
      </c>
      <c r="B24" s="6">
        <f>'Çeyreklik Veriler'!B24+'Çeyreklik Veriler'!C24+'Çeyreklik Veriler'!D24+'Çeyreklik Veriler'!E24</f>
        <v>164475000</v>
      </c>
      <c r="C24" s="6">
        <f>'Çeyreklik Veriler'!C24+'Çeyreklik Veriler'!D24+'Çeyreklik Veriler'!E24+'Çeyreklik Veriler'!F24</f>
        <v>92830000</v>
      </c>
      <c r="D24" s="6">
        <f>'Çeyreklik Veriler'!D24+'Çeyreklik Veriler'!E24+'Çeyreklik Veriler'!F24+'Çeyreklik Veriler'!G24</f>
        <v>65293000</v>
      </c>
      <c r="E24" s="6">
        <f>'Çeyreklik Veriler'!E24+'Çeyreklik Veriler'!F24+'Çeyreklik Veriler'!G24+'Çeyreklik Veriler'!H24</f>
        <v>66583000</v>
      </c>
      <c r="F24" s="6">
        <f>'Çeyreklik Veriler'!F24+'Çeyreklik Veriler'!G24+'Çeyreklik Veriler'!H24+'Çeyreklik Veriler'!I24</f>
        <v>68767000</v>
      </c>
      <c r="G24" s="6">
        <f>'Çeyreklik Veriler'!G24+'Çeyreklik Veriler'!H24+'Çeyreklik Veriler'!I24+'Çeyreklik Veriler'!J24</f>
        <v>53062000</v>
      </c>
      <c r="H24" s="6">
        <f>'Çeyreklik Veriler'!H24+'Çeyreklik Veriler'!I24+'Çeyreklik Veriler'!J24+'Çeyreklik Veriler'!K24</f>
        <v>51715000</v>
      </c>
      <c r="I24" s="6">
        <f>'Çeyreklik Veriler'!I24+'Çeyreklik Veriler'!J24+'Çeyreklik Veriler'!K24+'Çeyreklik Veriler'!L24</f>
        <v>41175000</v>
      </c>
      <c r="J24" s="6">
        <f>'Çeyreklik Veriler'!J24+'Çeyreklik Veriler'!K24+'Çeyreklik Veriler'!L24+'Çeyreklik Veriler'!M24</f>
        <v>68919000</v>
      </c>
      <c r="K24" s="6">
        <f>'Çeyreklik Veriler'!K24+'Çeyreklik Veriler'!L24+'Çeyreklik Veriler'!M24+'Çeyreklik Veriler'!N24</f>
        <v>73694000</v>
      </c>
      <c r="L24" s="6">
        <f>'Çeyreklik Veriler'!L24+'Çeyreklik Veriler'!M24+'Çeyreklik Veriler'!N24+'Çeyreklik Veriler'!O24</f>
        <v>73212000</v>
      </c>
      <c r="M24" s="6">
        <f>'Çeyreklik Veriler'!M24+'Çeyreklik Veriler'!N24+'Çeyreklik Veriler'!O24+'Çeyreklik Veriler'!P24</f>
        <v>62208000</v>
      </c>
      <c r="N24" s="6">
        <f>'Çeyreklik Veriler'!N24+'Çeyreklik Veriler'!O24+'Çeyreklik Veriler'!P24+'Çeyreklik Veriler'!Q24</f>
        <v>99714000</v>
      </c>
      <c r="O24" s="6">
        <f>'Çeyreklik Veriler'!O24+'Çeyreklik Veriler'!P24+'Çeyreklik Veriler'!Q24+'Çeyreklik Veriler'!R24</f>
        <v>108012000</v>
      </c>
      <c r="P24" s="6">
        <f>'Çeyreklik Veriler'!P24+'Çeyreklik Veriler'!Q24+'Çeyreklik Veriler'!R24+'Çeyreklik Veriler'!S24</f>
        <v>118708000</v>
      </c>
      <c r="Q24" s="6">
        <f>'Çeyreklik Veriler'!Q24+'Çeyreklik Veriler'!R24+'Çeyreklik Veriler'!S24+'Çeyreklik Veriler'!T24</f>
        <v>126267000</v>
      </c>
      <c r="R24" s="6">
        <f>'Çeyreklik Veriler'!R24+'Çeyreklik Veriler'!S24+'Çeyreklik Veriler'!T24+'Çeyreklik Veriler'!U24</f>
        <v>0</v>
      </c>
    </row>
    <row r="25" spans="1:18" x14ac:dyDescent="0.25">
      <c r="A25" t="str">
        <f>Froto!A25</f>
        <v xml:space="preserve">  Maddi Duran Varlıklar</v>
      </c>
      <c r="B25" s="6">
        <f>'Çeyreklik Veriler'!B25+'Çeyreklik Veriler'!C25+'Çeyreklik Veriler'!D25+'Çeyreklik Veriler'!E25</f>
        <v>20145190000</v>
      </c>
      <c r="C25" s="6">
        <f>'Çeyreklik Veriler'!C25+'Çeyreklik Veriler'!D25+'Çeyreklik Veriler'!E25+'Çeyreklik Veriler'!F25</f>
        <v>16165394000</v>
      </c>
      <c r="D25" s="6">
        <f>'Çeyreklik Veriler'!D25+'Çeyreklik Veriler'!E25+'Çeyreklik Veriler'!F25+'Çeyreklik Veriler'!G25</f>
        <v>7207847000</v>
      </c>
      <c r="E25" s="6">
        <f>'Çeyreklik Veriler'!E25+'Çeyreklik Veriler'!F25+'Çeyreklik Veriler'!G25+'Çeyreklik Veriler'!H25</f>
        <v>6133285000</v>
      </c>
      <c r="F25" s="6">
        <f>'Çeyreklik Veriler'!F25+'Çeyreklik Veriler'!G25+'Çeyreklik Veriler'!H25+'Çeyreklik Veriler'!I25</f>
        <v>5149083000</v>
      </c>
      <c r="G25" s="6">
        <f>'Çeyreklik Veriler'!G25+'Çeyreklik Veriler'!H25+'Çeyreklik Veriler'!I25+'Çeyreklik Veriler'!J25</f>
        <v>4765893000</v>
      </c>
      <c r="H25" s="6">
        <f>'Çeyreklik Veriler'!H25+'Çeyreklik Veriler'!I25+'Çeyreklik Veriler'!J25+'Çeyreklik Veriler'!K25</f>
        <v>4488589000</v>
      </c>
      <c r="I25" s="6">
        <f>'Çeyreklik Veriler'!I25+'Çeyreklik Veriler'!J25+'Çeyreklik Veriler'!K25+'Çeyreklik Veriler'!L25</f>
        <v>4392582000</v>
      </c>
      <c r="J25" s="6">
        <f>'Çeyreklik Veriler'!J25+'Çeyreklik Veriler'!K25+'Çeyreklik Veriler'!L25+'Çeyreklik Veriler'!M25</f>
        <v>4403373000</v>
      </c>
      <c r="K25" s="6">
        <f>'Çeyreklik Veriler'!K25+'Çeyreklik Veriler'!L25+'Çeyreklik Veriler'!M25+'Çeyreklik Veriler'!N25</f>
        <v>4451281000</v>
      </c>
      <c r="L25" s="6">
        <f>'Çeyreklik Veriler'!L25+'Çeyreklik Veriler'!M25+'Çeyreklik Veriler'!N25+'Çeyreklik Veriler'!O25</f>
        <v>4609151000</v>
      </c>
      <c r="M25" s="6">
        <f>'Çeyreklik Veriler'!M25+'Çeyreklik Veriler'!N25+'Çeyreklik Veriler'!O25+'Çeyreklik Veriler'!P25</f>
        <v>4811972000</v>
      </c>
      <c r="N25" s="6">
        <f>'Çeyreklik Veriler'!N25+'Çeyreklik Veriler'!O25+'Çeyreklik Veriler'!P25+'Çeyreklik Veriler'!Q25</f>
        <v>4436548000</v>
      </c>
      <c r="O25" s="6">
        <f>'Çeyreklik Veriler'!O25+'Çeyreklik Veriler'!P25+'Çeyreklik Veriler'!Q25+'Çeyreklik Veriler'!R25</f>
        <v>4441632000</v>
      </c>
      <c r="P25" s="6">
        <f>'Çeyreklik Veriler'!P25+'Çeyreklik Veriler'!Q25+'Çeyreklik Veriler'!R25+'Çeyreklik Veriler'!S25</f>
        <v>4530971000</v>
      </c>
      <c r="Q25" s="6">
        <f>'Çeyreklik Veriler'!Q25+'Çeyreklik Veriler'!R25+'Çeyreklik Veriler'!S25+'Çeyreklik Veriler'!T25</f>
        <v>4402760000</v>
      </c>
      <c r="R25" s="6">
        <f>'Çeyreklik Veriler'!R25+'Çeyreklik Veriler'!S25+'Çeyreklik Veriler'!T25+'Çeyreklik Veriler'!U25</f>
        <v>3922747000</v>
      </c>
    </row>
    <row r="26" spans="1:18" x14ac:dyDescent="0.25">
      <c r="A26" t="str">
        <f>Froto!A26</f>
        <v xml:space="preserve">  Şerefiye</v>
      </c>
      <c r="B26" s="6">
        <f>'Çeyreklik Veriler'!B26+'Çeyreklik Veriler'!C26+'Çeyreklik Veriler'!D26+'Çeyreklik Veriler'!E26</f>
        <v>503941000</v>
      </c>
      <c r="C26" s="6">
        <f>'Çeyreklik Veriler'!C26+'Çeyreklik Veriler'!D26+'Çeyreklik Veriler'!E26+'Çeyreklik Veriler'!F26</f>
        <v>539764000</v>
      </c>
      <c r="D26" s="6">
        <f>'Çeyreklik Veriler'!D26+'Çeyreklik Veriler'!E26+'Çeyreklik Veriler'!F26+'Çeyreklik Veriler'!G26</f>
        <v>0</v>
      </c>
      <c r="E26" s="6">
        <f>'Çeyreklik Veriler'!E26+'Çeyreklik Veriler'!F26+'Çeyreklik Veriler'!G26+'Çeyreklik Veriler'!H26</f>
        <v>0</v>
      </c>
      <c r="F26" s="6">
        <f>'Çeyreklik Veriler'!F26+'Çeyreklik Veriler'!G26+'Çeyreklik Veriler'!H26+'Çeyreklik Veriler'!I26</f>
        <v>0</v>
      </c>
      <c r="G26" s="6">
        <f>'Çeyreklik Veriler'!G26+'Çeyreklik Veriler'!H26+'Çeyreklik Veriler'!I26+'Çeyreklik Veriler'!J26</f>
        <v>0</v>
      </c>
      <c r="H26" s="6">
        <f>'Çeyreklik Veriler'!H26+'Çeyreklik Veriler'!I26+'Çeyreklik Veriler'!J26+'Çeyreklik Veriler'!K26</f>
        <v>0</v>
      </c>
      <c r="I26" s="6">
        <f>'Çeyreklik Veriler'!I26+'Çeyreklik Veriler'!J26+'Çeyreklik Veriler'!K26+'Çeyreklik Veriler'!L26</f>
        <v>0</v>
      </c>
      <c r="J26" s="6">
        <f>'Çeyreklik Veriler'!J26+'Çeyreklik Veriler'!K26+'Çeyreklik Veriler'!L26+'Çeyreklik Veriler'!M26</f>
        <v>0</v>
      </c>
      <c r="K26" s="6">
        <f>'Çeyreklik Veriler'!K26+'Çeyreklik Veriler'!L26+'Çeyreklik Veriler'!M26+'Çeyreklik Veriler'!N26</f>
        <v>0</v>
      </c>
      <c r="L26" s="6">
        <f>'Çeyreklik Veriler'!L26+'Çeyreklik Veriler'!M26+'Çeyreklik Veriler'!N26+'Çeyreklik Veriler'!O26</f>
        <v>0</v>
      </c>
      <c r="M26" s="6">
        <f>'Çeyreklik Veriler'!M26+'Çeyreklik Veriler'!N26+'Çeyreklik Veriler'!O26+'Çeyreklik Veriler'!P26</f>
        <v>0</v>
      </c>
      <c r="N26" s="6">
        <f>'Çeyreklik Veriler'!N26+'Çeyreklik Veriler'!O26+'Çeyreklik Veriler'!P26+'Çeyreklik Veriler'!Q26</f>
        <v>0</v>
      </c>
      <c r="O26" s="6">
        <f>'Çeyreklik Veriler'!O26+'Çeyreklik Veriler'!P26+'Çeyreklik Veriler'!Q26+'Çeyreklik Veriler'!R26</f>
        <v>0</v>
      </c>
      <c r="P26" s="6">
        <f>'Çeyreklik Veriler'!P26+'Çeyreklik Veriler'!Q26+'Çeyreklik Veriler'!R26+'Çeyreklik Veriler'!S26</f>
        <v>0</v>
      </c>
      <c r="Q26" s="6">
        <f>'Çeyreklik Veriler'!Q26+'Çeyreklik Veriler'!R26+'Çeyreklik Veriler'!S26+'Çeyreklik Veriler'!T26</f>
        <v>0</v>
      </c>
      <c r="R26" s="6">
        <f>'Çeyreklik Veriler'!R26+'Çeyreklik Veriler'!S26+'Çeyreklik Veriler'!T26+'Çeyreklik Veriler'!U26</f>
        <v>0</v>
      </c>
    </row>
    <row r="27" spans="1:18" x14ac:dyDescent="0.25">
      <c r="A27" t="str">
        <f>Froto!A27</f>
        <v xml:space="preserve">  Maddi Olmayan Duran Varlıklar</v>
      </c>
      <c r="B27" s="6">
        <f>'Çeyreklik Veriler'!B27+'Çeyreklik Veriler'!C27+'Çeyreklik Veriler'!D27+'Çeyreklik Veriler'!E27</f>
        <v>6950343000</v>
      </c>
      <c r="C27" s="6">
        <f>'Çeyreklik Veriler'!C27+'Çeyreklik Veriler'!D27+'Çeyreklik Veriler'!E27+'Çeyreklik Veriler'!F27</f>
        <v>6203674000</v>
      </c>
      <c r="D27" s="6">
        <f>'Çeyreklik Veriler'!D27+'Çeyreklik Veriler'!E27+'Çeyreklik Veriler'!F27+'Çeyreklik Veriler'!G27</f>
        <v>2584481000</v>
      </c>
      <c r="E27" s="6">
        <f>'Çeyreklik Veriler'!E27+'Çeyreklik Veriler'!F27+'Çeyreklik Veriler'!G27+'Çeyreklik Veriler'!H27</f>
        <v>2316078000</v>
      </c>
      <c r="F27" s="6">
        <f>'Çeyreklik Veriler'!F27+'Çeyreklik Veriler'!G27+'Çeyreklik Veriler'!H27+'Çeyreklik Veriler'!I27</f>
        <v>1486777000</v>
      </c>
      <c r="G27" s="6">
        <f>'Çeyreklik Veriler'!G27+'Çeyreklik Veriler'!H27+'Çeyreklik Veriler'!I27+'Çeyreklik Veriler'!J27</f>
        <v>1208396000</v>
      </c>
      <c r="H27" s="6">
        <f>'Çeyreklik Veriler'!H27+'Çeyreklik Veriler'!I27+'Çeyreklik Veriler'!J27+'Çeyreklik Veriler'!K27</f>
        <v>1094722000</v>
      </c>
      <c r="I27" s="6">
        <f>'Çeyreklik Veriler'!I27+'Çeyreklik Veriler'!J27+'Çeyreklik Veriler'!K27+'Çeyreklik Veriler'!L27</f>
        <v>1019446000</v>
      </c>
      <c r="J27" s="6">
        <f>'Çeyreklik Veriler'!J27+'Çeyreklik Veriler'!K27+'Çeyreklik Veriler'!L27+'Çeyreklik Veriler'!M27</f>
        <v>904839000</v>
      </c>
      <c r="K27" s="6">
        <f>'Çeyreklik Veriler'!K27+'Çeyreklik Veriler'!L27+'Çeyreklik Veriler'!M27+'Çeyreklik Veriler'!N27</f>
        <v>896425000</v>
      </c>
      <c r="L27" s="6">
        <f>'Çeyreklik Veriler'!L27+'Çeyreklik Veriler'!M27+'Çeyreklik Veriler'!N27+'Çeyreklik Veriler'!O27</f>
        <v>865783000</v>
      </c>
      <c r="M27" s="6">
        <f>'Çeyreklik Veriler'!M27+'Çeyreklik Veriler'!N27+'Çeyreklik Veriler'!O27+'Çeyreklik Veriler'!P27</f>
        <v>845033000</v>
      </c>
      <c r="N27" s="6">
        <f>'Çeyreklik Veriler'!N27+'Çeyreklik Veriler'!O27+'Çeyreklik Veriler'!P27+'Çeyreklik Veriler'!Q27</f>
        <v>831196000</v>
      </c>
      <c r="O27" s="6">
        <f>'Çeyreklik Veriler'!O27+'Çeyreklik Veriler'!P27+'Çeyreklik Veriler'!Q27+'Çeyreklik Veriler'!R27</f>
        <v>842318000</v>
      </c>
      <c r="P27" s="6">
        <f>'Çeyreklik Veriler'!P27+'Çeyreklik Veriler'!Q27+'Çeyreklik Veriler'!R27+'Çeyreklik Veriler'!S27</f>
        <v>910491000</v>
      </c>
      <c r="Q27" s="6">
        <f>'Çeyreklik Veriler'!Q27+'Çeyreklik Veriler'!R27+'Çeyreklik Veriler'!S27+'Çeyreklik Veriler'!T27</f>
        <v>930375000</v>
      </c>
      <c r="R27" s="6">
        <f>'Çeyreklik Veriler'!R27+'Çeyreklik Veriler'!S27+'Çeyreklik Veriler'!T27+'Çeyreklik Veriler'!U27</f>
        <v>823342000</v>
      </c>
    </row>
    <row r="28" spans="1:18" x14ac:dyDescent="0.25">
      <c r="A28" t="str">
        <f>Froto!A28</f>
        <v xml:space="preserve">  Ertelenmiş Vergi Varlığı</v>
      </c>
      <c r="B28" s="6">
        <f>'Çeyreklik Veriler'!B28+'Çeyreklik Veriler'!C28+'Çeyreklik Veriler'!D28+'Çeyreklik Veriler'!E28</f>
        <v>5374582000</v>
      </c>
      <c r="C28" s="6">
        <f>'Çeyreklik Veriler'!C28+'Çeyreklik Veriler'!D28+'Çeyreklik Veriler'!E28+'Çeyreklik Veriler'!F28</f>
        <v>2766981000</v>
      </c>
      <c r="D28" s="6">
        <f>'Çeyreklik Veriler'!D28+'Çeyreklik Veriler'!E28+'Çeyreklik Veriler'!F28+'Çeyreklik Veriler'!G28</f>
        <v>3219563000</v>
      </c>
      <c r="E28" s="6">
        <f>'Çeyreklik Veriler'!E28+'Çeyreklik Veriler'!F28+'Çeyreklik Veriler'!G28+'Çeyreklik Veriler'!H28</f>
        <v>2880039000</v>
      </c>
      <c r="F28" s="6">
        <f>'Çeyreklik Veriler'!F28+'Çeyreklik Veriler'!G28+'Çeyreklik Veriler'!H28+'Çeyreklik Veriler'!I28</f>
        <v>1715971000</v>
      </c>
      <c r="G28" s="6">
        <f>'Çeyreklik Veriler'!G28+'Çeyreklik Veriler'!H28+'Çeyreklik Veriler'!I28+'Çeyreklik Veriler'!J28</f>
        <v>1208604000</v>
      </c>
      <c r="H28" s="6">
        <f>'Çeyreklik Veriler'!H28+'Çeyreklik Veriler'!I28+'Çeyreklik Veriler'!J28+'Çeyreklik Veriler'!K28</f>
        <v>1377956000</v>
      </c>
      <c r="I28" s="6">
        <f>'Çeyreklik Veriler'!I28+'Çeyreklik Veriler'!J28+'Çeyreklik Veriler'!K28+'Çeyreklik Veriler'!L28</f>
        <v>1345619000</v>
      </c>
      <c r="J28" s="6">
        <f>'Çeyreklik Veriler'!J28+'Çeyreklik Veriler'!K28+'Çeyreklik Veriler'!L28+'Çeyreklik Veriler'!M28</f>
        <v>954246000</v>
      </c>
      <c r="K28" s="6">
        <f>'Çeyreklik Veriler'!K28+'Çeyreklik Veriler'!L28+'Çeyreklik Veriler'!M28+'Çeyreklik Veriler'!N28</f>
        <v>891865000</v>
      </c>
      <c r="L28" s="6">
        <f>'Çeyreklik Veriler'!L28+'Çeyreklik Veriler'!M28+'Çeyreklik Veriler'!N28+'Çeyreklik Veriler'!O28</f>
        <v>742858000</v>
      </c>
      <c r="M28" s="6">
        <f>'Çeyreklik Veriler'!M28+'Çeyreklik Veriler'!N28+'Çeyreklik Veriler'!O28+'Çeyreklik Veriler'!P28</f>
        <v>706519000</v>
      </c>
      <c r="N28" s="6">
        <f>'Çeyreklik Veriler'!N28+'Çeyreklik Veriler'!O28+'Çeyreklik Veriler'!P28+'Çeyreklik Veriler'!Q28</f>
        <v>650146000</v>
      </c>
      <c r="O28" s="6">
        <f>'Çeyreklik Veriler'!O28+'Çeyreklik Veriler'!P28+'Çeyreklik Veriler'!Q28+'Çeyreklik Veriler'!R28</f>
        <v>616269000</v>
      </c>
      <c r="P28" s="6">
        <f>'Çeyreklik Veriler'!P28+'Çeyreklik Veriler'!Q28+'Çeyreklik Veriler'!R28+'Çeyreklik Veriler'!S28</f>
        <v>630771000</v>
      </c>
      <c r="Q28" s="6">
        <f>'Çeyreklik Veriler'!Q28+'Çeyreklik Veriler'!R28+'Çeyreklik Veriler'!S28+'Çeyreklik Veriler'!T28</f>
        <v>653685000</v>
      </c>
      <c r="R28" s="6">
        <f>'Çeyreklik Veriler'!R28+'Çeyreklik Veriler'!S28+'Çeyreklik Veriler'!T28+'Çeyreklik Veriler'!U28</f>
        <v>644175000</v>
      </c>
    </row>
    <row r="29" spans="1:18" x14ac:dyDescent="0.25">
      <c r="A29" t="str">
        <f>Froto!A29</f>
        <v xml:space="preserve">  Diğer Duran Varlıklar</v>
      </c>
      <c r="B29" s="6">
        <f>'Çeyreklik Veriler'!B29+'Çeyreklik Veriler'!C29+'Çeyreklik Veriler'!D29+'Çeyreklik Veriler'!E29</f>
        <v>6474489000</v>
      </c>
      <c r="C29" s="6">
        <f>'Çeyreklik Veriler'!C29+'Çeyreklik Veriler'!D29+'Çeyreklik Veriler'!E29+'Çeyreklik Veriler'!F29</f>
        <v>6526572000</v>
      </c>
      <c r="D29" s="6">
        <f>'Çeyreklik Veriler'!D29+'Çeyreklik Veriler'!E29+'Çeyreklik Veriler'!F29+'Çeyreklik Veriler'!G29</f>
        <v>12279457000</v>
      </c>
      <c r="E29" s="6">
        <f>'Çeyreklik Veriler'!E29+'Çeyreklik Veriler'!F29+'Çeyreklik Veriler'!G29+'Çeyreklik Veriler'!H29</f>
        <v>4000425000</v>
      </c>
      <c r="F29" s="6">
        <f>'Çeyreklik Veriler'!F29+'Çeyreklik Veriler'!G29+'Çeyreklik Veriler'!H29+'Çeyreklik Veriler'!I29</f>
        <v>1470911000</v>
      </c>
      <c r="G29" s="6">
        <f>'Çeyreklik Veriler'!G29+'Çeyreklik Veriler'!H29+'Çeyreklik Veriler'!I29+'Çeyreklik Veriler'!J29</f>
        <v>1253148000</v>
      </c>
      <c r="H29" s="6">
        <f>'Çeyreklik Veriler'!H29+'Çeyreklik Veriler'!I29+'Çeyreklik Veriler'!J29+'Çeyreklik Veriler'!K29</f>
        <v>869620000</v>
      </c>
      <c r="I29" s="6">
        <f>'Çeyreklik Veriler'!I29+'Çeyreklik Veriler'!J29+'Çeyreklik Veriler'!K29+'Çeyreklik Veriler'!L29</f>
        <v>599915000</v>
      </c>
      <c r="J29" s="6">
        <f>'Çeyreklik Veriler'!J29+'Çeyreklik Veriler'!K29+'Çeyreklik Veriler'!L29+'Çeyreklik Veriler'!M29</f>
        <v>364563000</v>
      </c>
      <c r="K29" s="6">
        <f>'Çeyreklik Veriler'!K29+'Çeyreklik Veriler'!L29+'Çeyreklik Veriler'!M29+'Çeyreklik Veriler'!N29</f>
        <v>145160000</v>
      </c>
      <c r="L29" s="6">
        <f>'Çeyreklik Veriler'!L29+'Çeyreklik Veriler'!M29+'Çeyreklik Veriler'!N29+'Çeyreklik Veriler'!O29</f>
        <v>81689000</v>
      </c>
      <c r="M29" s="6">
        <f>'Çeyreklik Veriler'!M29+'Çeyreklik Veriler'!N29+'Çeyreklik Veriler'!O29+'Çeyreklik Veriler'!P29</f>
        <v>37691000</v>
      </c>
      <c r="N29" s="6">
        <f>'Çeyreklik Veriler'!N29+'Çeyreklik Veriler'!O29+'Çeyreklik Veriler'!P29+'Çeyreklik Veriler'!Q29</f>
        <v>206712000</v>
      </c>
      <c r="O29" s="6">
        <f>'Çeyreklik Veriler'!O29+'Çeyreklik Veriler'!P29+'Çeyreklik Veriler'!Q29+'Çeyreklik Veriler'!R29</f>
        <v>300825000</v>
      </c>
      <c r="P29" s="6">
        <f>'Çeyreklik Veriler'!P29+'Çeyreklik Veriler'!Q29+'Çeyreklik Veriler'!R29+'Çeyreklik Veriler'!S29</f>
        <v>339132000</v>
      </c>
      <c r="Q29" s="6">
        <f>'Çeyreklik Veriler'!Q29+'Çeyreklik Veriler'!R29+'Çeyreklik Veriler'!S29+'Çeyreklik Veriler'!T29</f>
        <v>379586000</v>
      </c>
      <c r="R29" s="6">
        <f>'Çeyreklik Veriler'!R29+'Çeyreklik Veriler'!S29+'Çeyreklik Veriler'!T29+'Çeyreklik Veriler'!U29</f>
        <v>382420000</v>
      </c>
    </row>
    <row r="30" spans="1:18" x14ac:dyDescent="0.25">
      <c r="A30" t="str">
        <f>Froto!A30</f>
        <v>TOPLAM VARLIKLAR</v>
      </c>
      <c r="B30" s="6">
        <f>'Çeyreklik Veriler'!B30+'Çeyreklik Veriler'!C30+'Çeyreklik Veriler'!D30+'Çeyreklik Veriler'!E30</f>
        <v>96052247000</v>
      </c>
      <c r="C30" s="6">
        <f>'Çeyreklik Veriler'!C30+'Çeyreklik Veriler'!D30+'Çeyreklik Veriler'!E30+'Çeyreklik Veriler'!F30</f>
        <v>88504179000</v>
      </c>
      <c r="D30" s="6">
        <f>'Çeyreklik Veriler'!D30+'Çeyreklik Veriler'!E30+'Çeyreklik Veriler'!F30+'Çeyreklik Veriler'!G30</f>
        <v>82164417000</v>
      </c>
      <c r="E30" s="6">
        <f>'Çeyreklik Veriler'!E30+'Çeyreklik Veriler'!F30+'Çeyreklik Veriler'!G30+'Çeyreklik Veriler'!H30</f>
        <v>66380613000</v>
      </c>
      <c r="F30" s="6">
        <f>'Çeyreklik Veriler'!F30+'Çeyreklik Veriler'!G30+'Çeyreklik Veriler'!H30+'Çeyreklik Veriler'!I30</f>
        <v>42792853000</v>
      </c>
      <c r="G30" s="6">
        <f>'Çeyreklik Veriler'!G30+'Çeyreklik Veriler'!H30+'Çeyreklik Veriler'!I30+'Çeyreklik Veriler'!J30</f>
        <v>35629538000</v>
      </c>
      <c r="H30" s="6">
        <f>'Çeyreklik Veriler'!H30+'Çeyreklik Veriler'!I30+'Çeyreklik Veriler'!J30+'Çeyreklik Veriler'!K30</f>
        <v>29980116000</v>
      </c>
      <c r="I30" s="6">
        <f>'Çeyreklik Veriler'!I30+'Çeyreklik Veriler'!J30+'Çeyreklik Veriler'!K30+'Çeyreklik Veriler'!L30</f>
        <v>34195857000</v>
      </c>
      <c r="J30" s="6">
        <f>'Çeyreklik Veriler'!J30+'Çeyreklik Veriler'!K30+'Çeyreklik Veriler'!L30+'Çeyreklik Veriler'!M30</f>
        <v>24349179000</v>
      </c>
      <c r="K30" s="6">
        <f>'Çeyreklik Veriler'!K30+'Çeyreklik Veriler'!L30+'Çeyreklik Veriler'!M30+'Çeyreklik Veriler'!N30</f>
        <v>24071270000</v>
      </c>
      <c r="L30" s="6">
        <f>'Çeyreklik Veriler'!L30+'Çeyreklik Veriler'!M30+'Çeyreklik Veriler'!N30+'Çeyreklik Veriler'!O30</f>
        <v>19191612000</v>
      </c>
      <c r="M30" s="6">
        <f>'Çeyreklik Veriler'!M30+'Çeyreklik Veriler'!N30+'Çeyreklik Veriler'!O30+'Çeyreklik Veriler'!P30</f>
        <v>18051098000</v>
      </c>
      <c r="N30" s="6">
        <f>'Çeyreklik Veriler'!N30+'Çeyreklik Veriler'!O30+'Çeyreklik Veriler'!P30+'Çeyreklik Veriler'!Q30</f>
        <v>16406372000</v>
      </c>
      <c r="O30" s="6">
        <f>'Çeyreklik Veriler'!O30+'Çeyreklik Veriler'!P30+'Çeyreklik Veriler'!Q30+'Çeyreklik Veriler'!R30</f>
        <v>14551847000</v>
      </c>
      <c r="P30" s="6">
        <f>'Çeyreklik Veriler'!P30+'Çeyreklik Veriler'!Q30+'Çeyreklik Veriler'!R30+'Çeyreklik Veriler'!S30</f>
        <v>15885025000</v>
      </c>
      <c r="Q30" s="6">
        <f>'Çeyreklik Veriler'!Q30+'Çeyreklik Veriler'!R30+'Çeyreklik Veriler'!S30+'Çeyreklik Veriler'!T30</f>
        <v>15228810000</v>
      </c>
      <c r="R30" s="6">
        <f>'Çeyreklik Veriler'!R30+'Çeyreklik Veriler'!S30+'Çeyreklik Veriler'!T30+'Çeyreklik Veriler'!U30</f>
        <v>13184440000</v>
      </c>
    </row>
    <row r="31" spans="1:18" x14ac:dyDescent="0.25">
      <c r="A31" t="str">
        <f>Froto!A31</f>
        <v>KAYNAKLAR</v>
      </c>
      <c r="B31" s="6">
        <f>'Çeyreklik Veriler'!B31+'Çeyreklik Veriler'!C31+'Çeyreklik Veriler'!D31+'Çeyreklik Veriler'!E31</f>
        <v>0</v>
      </c>
      <c r="C31" s="6">
        <f>'Çeyreklik Veriler'!C31+'Çeyreklik Veriler'!D31+'Çeyreklik Veriler'!E31+'Çeyreklik Veriler'!F31</f>
        <v>0</v>
      </c>
      <c r="D31" s="6">
        <f>'Çeyreklik Veriler'!D31+'Çeyreklik Veriler'!E31+'Çeyreklik Veriler'!F31+'Çeyreklik Veriler'!G31</f>
        <v>0</v>
      </c>
      <c r="E31" s="6">
        <f>'Çeyreklik Veriler'!E31+'Çeyreklik Veriler'!F31+'Çeyreklik Veriler'!G31+'Çeyreklik Veriler'!H31</f>
        <v>0</v>
      </c>
      <c r="F31" s="6">
        <f>'Çeyreklik Veriler'!F31+'Çeyreklik Veriler'!G31+'Çeyreklik Veriler'!H31+'Çeyreklik Veriler'!I31</f>
        <v>0</v>
      </c>
      <c r="G31" s="6">
        <f>'Çeyreklik Veriler'!G31+'Çeyreklik Veriler'!H31+'Çeyreklik Veriler'!I31+'Çeyreklik Veriler'!J31</f>
        <v>0</v>
      </c>
      <c r="H31" s="6">
        <f>'Çeyreklik Veriler'!H31+'Çeyreklik Veriler'!I31+'Çeyreklik Veriler'!J31+'Çeyreklik Veriler'!K31</f>
        <v>0</v>
      </c>
      <c r="I31" s="6">
        <f>'Çeyreklik Veriler'!I31+'Çeyreklik Veriler'!J31+'Çeyreklik Veriler'!K31+'Çeyreklik Veriler'!L31</f>
        <v>0</v>
      </c>
      <c r="J31" s="6">
        <f>'Çeyreklik Veriler'!J31+'Çeyreklik Veriler'!K31+'Çeyreklik Veriler'!L31+'Çeyreklik Veriler'!M31</f>
        <v>0</v>
      </c>
      <c r="K31" s="6">
        <f>'Çeyreklik Veriler'!K31+'Çeyreklik Veriler'!L31+'Çeyreklik Veriler'!M31+'Çeyreklik Veriler'!N31</f>
        <v>0</v>
      </c>
      <c r="L31" s="6">
        <f>'Çeyreklik Veriler'!L31+'Çeyreklik Veriler'!M31+'Çeyreklik Veriler'!N31+'Çeyreklik Veriler'!O31</f>
        <v>0</v>
      </c>
      <c r="M31" s="6">
        <f>'Çeyreklik Veriler'!M31+'Çeyreklik Veriler'!N31+'Çeyreklik Veriler'!O31+'Çeyreklik Veriler'!P31</f>
        <v>0</v>
      </c>
      <c r="N31" s="6">
        <f>'Çeyreklik Veriler'!N31+'Çeyreklik Veriler'!O31+'Çeyreklik Veriler'!P31+'Çeyreklik Veriler'!Q31</f>
        <v>0</v>
      </c>
      <c r="O31" s="6">
        <f>'Çeyreklik Veriler'!O31+'Çeyreklik Veriler'!P31+'Çeyreklik Veriler'!Q31+'Çeyreklik Veriler'!R31</f>
        <v>0</v>
      </c>
      <c r="P31" s="6">
        <f>'Çeyreklik Veriler'!P31+'Çeyreklik Veriler'!Q31+'Çeyreklik Veriler'!R31+'Çeyreklik Veriler'!S31</f>
        <v>0</v>
      </c>
      <c r="Q31" s="6">
        <f>'Çeyreklik Veriler'!Q31+'Çeyreklik Veriler'!R31+'Çeyreklik Veriler'!S31+'Çeyreklik Veriler'!T31</f>
        <v>0</v>
      </c>
      <c r="R31" s="6">
        <f>'Çeyreklik Veriler'!R31+'Çeyreklik Veriler'!S31+'Çeyreklik Veriler'!T31+'Çeyreklik Veriler'!U31</f>
        <v>0</v>
      </c>
    </row>
    <row r="32" spans="1:18" x14ac:dyDescent="0.25">
      <c r="A32" t="str">
        <f>Froto!A32</f>
        <v>Kısa Vadeli Yükümlülükler</v>
      </c>
      <c r="B32" s="6">
        <f>'Çeyreklik Veriler'!B32+'Çeyreklik Veriler'!C32+'Çeyreklik Veriler'!D32+'Çeyreklik Veriler'!E32</f>
        <v>46205980000</v>
      </c>
      <c r="C32" s="6">
        <f>'Çeyreklik Veriler'!C32+'Çeyreklik Veriler'!D32+'Çeyreklik Veriler'!E32+'Çeyreklik Veriler'!F32</f>
        <v>44036123000</v>
      </c>
      <c r="D32" s="6">
        <f>'Çeyreklik Veriler'!D32+'Çeyreklik Veriler'!E32+'Çeyreklik Veriler'!F32+'Çeyreklik Veriler'!G32</f>
        <v>43838299000</v>
      </c>
      <c r="E32" s="6">
        <f>'Çeyreklik Veriler'!E32+'Çeyreklik Veriler'!F32+'Çeyreklik Veriler'!G32+'Çeyreklik Veriler'!H32</f>
        <v>31960696000</v>
      </c>
      <c r="F32" s="6">
        <f>'Çeyreklik Veriler'!F32+'Çeyreklik Veriler'!G32+'Çeyreklik Veriler'!H32+'Çeyreklik Veriler'!I32</f>
        <v>20782144000</v>
      </c>
      <c r="G32" s="6">
        <f>'Çeyreklik Veriler'!G32+'Çeyreklik Veriler'!H32+'Çeyreklik Veriler'!I32+'Çeyreklik Veriler'!J32</f>
        <v>18187563000</v>
      </c>
      <c r="H32" s="6">
        <f>'Çeyreklik Veriler'!H32+'Çeyreklik Veriler'!I32+'Çeyreklik Veriler'!J32+'Çeyreklik Veriler'!K32</f>
        <v>14510383000</v>
      </c>
      <c r="I32" s="6">
        <f>'Çeyreklik Veriler'!I32+'Çeyreklik Veriler'!J32+'Çeyreklik Veriler'!K32+'Çeyreklik Veriler'!L32</f>
        <v>18378724000</v>
      </c>
      <c r="J32" s="6">
        <f>'Çeyreklik Veriler'!J32+'Çeyreklik Veriler'!K32+'Çeyreklik Veriler'!L32+'Çeyreklik Veriler'!M32</f>
        <v>12480781000</v>
      </c>
      <c r="K32" s="6">
        <f>'Çeyreklik Veriler'!K32+'Çeyreklik Veriler'!L32+'Çeyreklik Veriler'!M32+'Çeyreklik Veriler'!N32</f>
        <v>13146188000</v>
      </c>
      <c r="L32" s="6">
        <f>'Çeyreklik Veriler'!L32+'Çeyreklik Veriler'!M32+'Çeyreklik Veriler'!N32+'Çeyreklik Veriler'!O32</f>
        <v>9805916000</v>
      </c>
      <c r="M32" s="6">
        <f>'Çeyreklik Veriler'!M32+'Çeyreklik Veriler'!N32+'Çeyreklik Veriler'!O32+'Çeyreklik Veriler'!P32</f>
        <v>8528605000</v>
      </c>
      <c r="N32" s="6">
        <f>'Çeyreklik Veriler'!N32+'Çeyreklik Veriler'!O32+'Çeyreklik Veriler'!P32+'Çeyreklik Veriler'!Q32</f>
        <v>8645371000</v>
      </c>
      <c r="O32" s="6">
        <f>'Çeyreklik Veriler'!O32+'Çeyreklik Veriler'!P32+'Çeyreklik Veriler'!Q32+'Çeyreklik Veriler'!R32</f>
        <v>7661212000</v>
      </c>
      <c r="P32" s="6">
        <f>'Çeyreklik Veriler'!P32+'Çeyreklik Veriler'!Q32+'Çeyreklik Veriler'!R32+'Çeyreklik Veriler'!S32</f>
        <v>9368303000</v>
      </c>
      <c r="Q32" s="6">
        <f>'Çeyreklik Veriler'!Q32+'Çeyreklik Veriler'!R32+'Çeyreklik Veriler'!S32+'Çeyreklik Veriler'!T32</f>
        <v>9145671000</v>
      </c>
      <c r="R32" s="6">
        <f>'Çeyreklik Veriler'!R32+'Çeyreklik Veriler'!S32+'Çeyreklik Veriler'!T32+'Çeyreklik Veriler'!U32</f>
        <v>7219612000</v>
      </c>
    </row>
    <row r="33" spans="1:18" x14ac:dyDescent="0.25">
      <c r="A33" t="str">
        <f>Froto!A33</f>
        <v xml:space="preserve">  Finansal Borçlar</v>
      </c>
      <c r="B33" s="6">
        <f>'Çeyreklik Veriler'!B33+'Çeyreklik Veriler'!C33+'Çeyreklik Veriler'!D33+'Çeyreklik Veriler'!E33</f>
        <v>13218603000</v>
      </c>
      <c r="C33" s="6">
        <f>'Çeyreklik Veriler'!C33+'Çeyreklik Veriler'!D33+'Çeyreklik Veriler'!E33+'Çeyreklik Veriler'!F33</f>
        <v>14641039000</v>
      </c>
      <c r="D33" s="6">
        <f>'Çeyreklik Veriler'!D33+'Çeyreklik Veriler'!E33+'Çeyreklik Veriler'!F33+'Çeyreklik Veriler'!G33</f>
        <v>20635692000</v>
      </c>
      <c r="E33" s="6">
        <f>'Çeyreklik Veriler'!E33+'Çeyreklik Veriler'!F33+'Çeyreklik Veriler'!G33+'Çeyreklik Veriler'!H33</f>
        <v>12498610000</v>
      </c>
      <c r="F33" s="6">
        <f>'Çeyreklik Veriler'!F33+'Çeyreklik Veriler'!G33+'Çeyreklik Veriler'!H33+'Çeyreklik Veriler'!I33</f>
        <v>8256919000</v>
      </c>
      <c r="G33" s="6">
        <f>'Çeyreklik Veriler'!G33+'Çeyreklik Veriler'!H33+'Çeyreklik Veriler'!I33+'Çeyreklik Veriler'!J33</f>
        <v>5998042000</v>
      </c>
      <c r="H33" s="6">
        <f>'Çeyreklik Veriler'!H33+'Çeyreklik Veriler'!I33+'Çeyreklik Veriler'!J33+'Çeyreklik Veriler'!K33</f>
        <v>3199475000</v>
      </c>
      <c r="I33" s="6">
        <f>'Çeyreklik Veriler'!I33+'Çeyreklik Veriler'!J33+'Çeyreklik Veriler'!K33+'Çeyreklik Veriler'!L33</f>
        <v>5596100000</v>
      </c>
      <c r="J33" s="6">
        <f>'Çeyreklik Veriler'!J33+'Çeyreklik Veriler'!K33+'Çeyreklik Veriler'!L33+'Çeyreklik Veriler'!M33</f>
        <v>3932881000</v>
      </c>
      <c r="K33" s="6">
        <f>'Çeyreklik Veriler'!K33+'Çeyreklik Veriler'!L33+'Çeyreklik Veriler'!M33+'Çeyreklik Veriler'!N33</f>
        <v>5303539000</v>
      </c>
      <c r="L33" s="6">
        <f>'Çeyreklik Veriler'!L33+'Çeyreklik Veriler'!M33+'Çeyreklik Veriler'!N33+'Çeyreklik Veriler'!O33</f>
        <v>5637252000</v>
      </c>
      <c r="M33" s="6">
        <f>'Çeyreklik Veriler'!M33+'Çeyreklik Veriler'!N33+'Çeyreklik Veriler'!O33+'Çeyreklik Veriler'!P33</f>
        <v>4905069000</v>
      </c>
      <c r="N33" s="6">
        <f>'Çeyreklik Veriler'!N33+'Çeyreklik Veriler'!O33+'Çeyreklik Veriler'!P33+'Çeyreklik Veriler'!Q33</f>
        <v>3648110000</v>
      </c>
      <c r="O33" s="6">
        <f>'Çeyreklik Veriler'!O33+'Çeyreklik Veriler'!P33+'Çeyreklik Veriler'!Q33+'Çeyreklik Veriler'!R33</f>
        <v>3219770000</v>
      </c>
      <c r="P33" s="6">
        <f>'Çeyreklik Veriler'!P33+'Çeyreklik Veriler'!Q33+'Çeyreklik Veriler'!R33+'Çeyreklik Veriler'!S33</f>
        <v>4459635000</v>
      </c>
      <c r="Q33" s="6">
        <f>'Çeyreklik Veriler'!Q33+'Çeyreklik Veriler'!R33+'Çeyreklik Veriler'!S33+'Çeyreklik Veriler'!T33</f>
        <v>4153309000</v>
      </c>
      <c r="R33" s="6">
        <f>'Çeyreklik Veriler'!R33+'Çeyreklik Veriler'!S33+'Çeyreklik Veriler'!T33+'Çeyreklik Veriler'!U33</f>
        <v>2804263000</v>
      </c>
    </row>
    <row r="34" spans="1:18" x14ac:dyDescent="0.25">
      <c r="A34" t="str">
        <f>Froto!A34</f>
        <v xml:space="preserve">  Diğer Finansal Yükümlülükler</v>
      </c>
      <c r="B34" s="6">
        <f>'Çeyreklik Veriler'!B34+'Çeyreklik Veriler'!C34+'Çeyreklik Veriler'!D34+'Çeyreklik Veriler'!E34</f>
        <v>0</v>
      </c>
      <c r="C34" s="6">
        <f>'Çeyreklik Veriler'!C34+'Çeyreklik Veriler'!D34+'Çeyreklik Veriler'!E34+'Çeyreklik Veriler'!F34</f>
        <v>0</v>
      </c>
      <c r="D34" s="6">
        <f>'Çeyreklik Veriler'!D34+'Çeyreklik Veriler'!E34+'Çeyreklik Veriler'!F34+'Çeyreklik Veriler'!G34</f>
        <v>0</v>
      </c>
      <c r="E34" s="6">
        <f>'Çeyreklik Veriler'!E34+'Çeyreklik Veriler'!F34+'Çeyreklik Veriler'!G34+'Çeyreklik Veriler'!H34</f>
        <v>0</v>
      </c>
      <c r="F34" s="6">
        <f>'Çeyreklik Veriler'!F34+'Çeyreklik Veriler'!G34+'Çeyreklik Veriler'!H34+'Çeyreklik Veriler'!I34</f>
        <v>0</v>
      </c>
      <c r="G34" s="6">
        <f>'Çeyreklik Veriler'!G34+'Çeyreklik Veriler'!H34+'Çeyreklik Veriler'!I34+'Çeyreklik Veriler'!J34</f>
        <v>0</v>
      </c>
      <c r="H34" s="6">
        <f>'Çeyreklik Veriler'!H34+'Çeyreklik Veriler'!I34+'Çeyreklik Veriler'!J34+'Çeyreklik Veriler'!K34</f>
        <v>0</v>
      </c>
      <c r="I34" s="6">
        <f>'Çeyreklik Veriler'!I34+'Çeyreklik Veriler'!J34+'Çeyreklik Veriler'!K34+'Çeyreklik Veriler'!L34</f>
        <v>0</v>
      </c>
      <c r="J34" s="6">
        <f>'Çeyreklik Veriler'!J34+'Çeyreklik Veriler'!K34+'Çeyreklik Veriler'!L34+'Çeyreklik Veriler'!M34</f>
        <v>0</v>
      </c>
      <c r="K34" s="6">
        <f>'Çeyreklik Veriler'!K34+'Çeyreklik Veriler'!L34+'Çeyreklik Veriler'!M34+'Çeyreklik Veriler'!N34</f>
        <v>0</v>
      </c>
      <c r="L34" s="6">
        <f>'Çeyreklik Veriler'!L34+'Çeyreklik Veriler'!M34+'Çeyreklik Veriler'!N34+'Çeyreklik Veriler'!O34</f>
        <v>0</v>
      </c>
      <c r="M34" s="6">
        <f>'Çeyreklik Veriler'!M34+'Çeyreklik Veriler'!N34+'Çeyreklik Veriler'!O34+'Çeyreklik Veriler'!P34</f>
        <v>0</v>
      </c>
      <c r="N34" s="6">
        <f>'Çeyreklik Veriler'!N34+'Çeyreklik Veriler'!O34+'Çeyreklik Veriler'!P34+'Çeyreklik Veriler'!Q34</f>
        <v>0</v>
      </c>
      <c r="O34" s="6">
        <f>'Çeyreklik Veriler'!O34+'Çeyreklik Veriler'!P34+'Çeyreklik Veriler'!Q34+'Çeyreklik Veriler'!R34</f>
        <v>0</v>
      </c>
      <c r="P34" s="6">
        <f>'Çeyreklik Veriler'!P34+'Çeyreklik Veriler'!Q34+'Çeyreklik Veriler'!R34+'Çeyreklik Veriler'!S34</f>
        <v>0</v>
      </c>
      <c r="Q34" s="6">
        <f>'Çeyreklik Veriler'!Q34+'Çeyreklik Veriler'!R34+'Çeyreklik Veriler'!S34+'Çeyreklik Veriler'!T34</f>
        <v>0</v>
      </c>
      <c r="R34" s="6">
        <f>'Çeyreklik Veriler'!R34+'Çeyreklik Veriler'!S34+'Çeyreklik Veriler'!T34+'Çeyreklik Veriler'!U34</f>
        <v>0</v>
      </c>
    </row>
    <row r="35" spans="1:18" x14ac:dyDescent="0.25">
      <c r="A35" t="str">
        <f>Froto!A35</f>
        <v xml:space="preserve">  Ticari Borçlar</v>
      </c>
      <c r="B35" s="6">
        <f>'Çeyreklik Veriler'!B35+'Çeyreklik Veriler'!C35+'Çeyreklik Veriler'!D35+'Çeyreklik Veriler'!E35</f>
        <v>30146246000</v>
      </c>
      <c r="C35" s="6">
        <f>'Çeyreklik Veriler'!C35+'Çeyreklik Veriler'!D35+'Çeyreklik Veriler'!E35+'Çeyreklik Veriler'!F35</f>
        <v>26857771000</v>
      </c>
      <c r="D35" s="6">
        <f>'Çeyreklik Veriler'!D35+'Çeyreklik Veriler'!E35+'Çeyreklik Veriler'!F35+'Çeyreklik Veriler'!G35</f>
        <v>21360591000</v>
      </c>
      <c r="E35" s="6">
        <f>'Çeyreklik Veriler'!E35+'Çeyreklik Veriler'!F35+'Çeyreklik Veriler'!G35+'Çeyreklik Veriler'!H35</f>
        <v>17730180000</v>
      </c>
      <c r="F35" s="6">
        <f>'Çeyreklik Veriler'!F35+'Çeyreklik Veriler'!G35+'Çeyreklik Veriler'!H35+'Çeyreklik Veriler'!I35</f>
        <v>11378668000</v>
      </c>
      <c r="G35" s="6">
        <f>'Çeyreklik Veriler'!G35+'Çeyreklik Veriler'!H35+'Çeyreklik Veriler'!I35+'Çeyreklik Veriler'!J35</f>
        <v>11330128000</v>
      </c>
      <c r="H35" s="6">
        <f>'Çeyreklik Veriler'!H35+'Çeyreklik Veriler'!I35+'Çeyreklik Veriler'!J35+'Çeyreklik Veriler'!K35</f>
        <v>10377799000</v>
      </c>
      <c r="I35" s="6">
        <f>'Çeyreklik Veriler'!I35+'Çeyreklik Veriler'!J35+'Çeyreklik Veriler'!K35+'Çeyreklik Veriler'!L35</f>
        <v>11720159000</v>
      </c>
      <c r="J35" s="6">
        <f>'Çeyreklik Veriler'!J35+'Çeyreklik Veriler'!K35+'Çeyreklik Veriler'!L35+'Çeyreklik Veriler'!M35</f>
        <v>7747793000</v>
      </c>
      <c r="K35" s="6">
        <f>'Çeyreklik Veriler'!K35+'Çeyreklik Veriler'!L35+'Çeyreklik Veriler'!M35+'Çeyreklik Veriler'!N35</f>
        <v>7186551000</v>
      </c>
      <c r="L35" s="6">
        <f>'Çeyreklik Veriler'!L35+'Çeyreklik Veriler'!M35+'Çeyreklik Veriler'!N35+'Çeyreklik Veriler'!O35</f>
        <v>3619715000</v>
      </c>
      <c r="M35" s="6">
        <f>'Çeyreklik Veriler'!M35+'Çeyreklik Veriler'!N35+'Çeyreklik Veriler'!O35+'Çeyreklik Veriler'!P35</f>
        <v>3940022000</v>
      </c>
      <c r="N35" s="6">
        <f>'Çeyreklik Veriler'!N35+'Çeyreklik Veriler'!O35+'Çeyreklik Veriler'!P35+'Çeyreklik Veriler'!Q35</f>
        <v>4545420000</v>
      </c>
      <c r="O35" s="6">
        <f>'Çeyreklik Veriler'!O35+'Çeyreklik Veriler'!P35+'Çeyreklik Veriler'!Q35+'Çeyreklik Veriler'!R35</f>
        <v>4062869000</v>
      </c>
      <c r="P35" s="6">
        <f>'Çeyreklik Veriler'!P35+'Çeyreklik Veriler'!Q35+'Çeyreklik Veriler'!R35+'Çeyreklik Veriler'!S35</f>
        <v>4499558000</v>
      </c>
      <c r="Q35" s="6">
        <f>'Çeyreklik Veriler'!Q35+'Çeyreklik Veriler'!R35+'Çeyreklik Veriler'!S35+'Çeyreklik Veriler'!T35</f>
        <v>4543350000</v>
      </c>
      <c r="R35" s="6">
        <f>'Çeyreklik Veriler'!R35+'Çeyreklik Veriler'!S35+'Çeyreklik Veriler'!T35+'Çeyreklik Veriler'!U35</f>
        <v>4022687000</v>
      </c>
    </row>
    <row r="36" spans="1:18" x14ac:dyDescent="0.25">
      <c r="A36" t="str">
        <f>Froto!A36</f>
        <v xml:space="preserve">  Diğer Borçlar</v>
      </c>
      <c r="B36" s="6">
        <f>'Çeyreklik Veriler'!B36+'Çeyreklik Veriler'!C36+'Çeyreklik Veriler'!D36+'Çeyreklik Veriler'!E36</f>
        <v>735355000</v>
      </c>
      <c r="C36" s="6">
        <f>'Çeyreklik Veriler'!C36+'Çeyreklik Veriler'!D36+'Çeyreklik Veriler'!E36+'Çeyreklik Veriler'!F36</f>
        <v>650147000</v>
      </c>
      <c r="D36" s="6">
        <f>'Çeyreklik Veriler'!D36+'Çeyreklik Veriler'!E36+'Çeyreklik Veriler'!F36+'Çeyreklik Veriler'!G36</f>
        <v>497709000</v>
      </c>
      <c r="E36" s="6">
        <f>'Çeyreklik Veriler'!E36+'Çeyreklik Veriler'!F36+'Çeyreklik Veriler'!G36+'Çeyreklik Veriler'!H36</f>
        <v>469738000</v>
      </c>
      <c r="F36" s="6">
        <f>'Çeyreklik Veriler'!F36+'Çeyreklik Veriler'!G36+'Çeyreklik Veriler'!H36+'Çeyreklik Veriler'!I36</f>
        <v>259001000</v>
      </c>
      <c r="G36" s="6">
        <f>'Çeyreklik Veriler'!G36+'Çeyreklik Veriler'!H36+'Çeyreklik Veriler'!I36+'Çeyreklik Veriler'!J36</f>
        <v>169298000</v>
      </c>
      <c r="H36" s="6">
        <f>'Çeyreklik Veriler'!H36+'Çeyreklik Veriler'!I36+'Çeyreklik Veriler'!J36+'Çeyreklik Veriler'!K36</f>
        <v>170043000</v>
      </c>
      <c r="I36" s="6">
        <f>'Çeyreklik Veriler'!I36+'Çeyreklik Veriler'!J36+'Çeyreklik Veriler'!K36+'Çeyreklik Veriler'!L36</f>
        <v>307049000</v>
      </c>
      <c r="J36" s="6">
        <f>'Çeyreklik Veriler'!J36+'Çeyreklik Veriler'!K36+'Çeyreklik Veriler'!L36+'Çeyreklik Veriler'!M36</f>
        <v>176196000</v>
      </c>
      <c r="K36" s="6">
        <f>'Çeyreklik Veriler'!K36+'Çeyreklik Veriler'!L36+'Çeyreklik Veriler'!M36+'Çeyreklik Veriler'!N36</f>
        <v>189004000</v>
      </c>
      <c r="L36" s="6">
        <f>'Çeyreklik Veriler'!L36+'Çeyreklik Veriler'!M36+'Çeyreklik Veriler'!N36+'Çeyreklik Veriler'!O36</f>
        <v>157219000</v>
      </c>
      <c r="M36" s="6">
        <f>'Çeyreklik Veriler'!M36+'Çeyreklik Veriler'!N36+'Çeyreklik Veriler'!O36+'Çeyreklik Veriler'!P36</f>
        <v>-696475000</v>
      </c>
      <c r="N36" s="6">
        <f>'Çeyreklik Veriler'!N36+'Çeyreklik Veriler'!O36+'Çeyreklik Veriler'!P36+'Çeyreklik Veriler'!Q36</f>
        <v>75158000</v>
      </c>
      <c r="O36" s="6">
        <f>'Çeyreklik Veriler'!O36+'Çeyreklik Veriler'!P36+'Çeyreklik Veriler'!Q36+'Çeyreklik Veriler'!R36</f>
        <v>52625000</v>
      </c>
      <c r="P36" s="6">
        <f>'Çeyreklik Veriler'!P36+'Çeyreklik Veriler'!Q36+'Çeyreklik Veriler'!R36+'Çeyreklik Veriler'!S36</f>
        <v>76827000</v>
      </c>
      <c r="Q36" s="6">
        <f>'Çeyreklik Veriler'!Q36+'Çeyreklik Veriler'!R36+'Çeyreklik Veriler'!S36+'Çeyreklik Veriler'!T36</f>
        <v>99431000</v>
      </c>
      <c r="R36" s="6">
        <f>'Çeyreklik Veriler'!R36+'Çeyreklik Veriler'!S36+'Çeyreklik Veriler'!T36+'Çeyreklik Veriler'!U36</f>
        <v>65982000</v>
      </c>
    </row>
    <row r="37" spans="1:18" x14ac:dyDescent="0.25">
      <c r="A37" t="str">
        <f>Froto!A37</f>
        <v xml:space="preserve">  Müşteri Söz. Doğan Yük.</v>
      </c>
      <c r="B37" s="6">
        <f>'Çeyreklik Veriler'!B37+'Çeyreklik Veriler'!C37+'Çeyreklik Veriler'!D37+'Çeyreklik Veriler'!E37</f>
        <v>0</v>
      </c>
      <c r="C37" s="6">
        <f>'Çeyreklik Veriler'!C37+'Çeyreklik Veriler'!D37+'Çeyreklik Veriler'!E37+'Çeyreklik Veriler'!F37</f>
        <v>0</v>
      </c>
      <c r="D37" s="6">
        <f>'Çeyreklik Veriler'!D37+'Çeyreklik Veriler'!E37+'Çeyreklik Veriler'!F37+'Çeyreklik Veriler'!G37</f>
        <v>0</v>
      </c>
      <c r="E37" s="6">
        <f>'Çeyreklik Veriler'!E37+'Çeyreklik Veriler'!F37+'Çeyreklik Veriler'!G37+'Çeyreklik Veriler'!H37</f>
        <v>0</v>
      </c>
      <c r="F37" s="6">
        <f>'Çeyreklik Veriler'!F37+'Çeyreklik Veriler'!G37+'Çeyreklik Veriler'!H37+'Çeyreklik Veriler'!I37</f>
        <v>0</v>
      </c>
      <c r="G37" s="6">
        <f>'Çeyreklik Veriler'!G37+'Çeyreklik Veriler'!H37+'Çeyreklik Veriler'!I37+'Çeyreklik Veriler'!J37</f>
        <v>0</v>
      </c>
      <c r="H37" s="6">
        <f>'Çeyreklik Veriler'!H37+'Çeyreklik Veriler'!I37+'Çeyreklik Veriler'!J37+'Çeyreklik Veriler'!K37</f>
        <v>0</v>
      </c>
      <c r="I37" s="6">
        <f>'Çeyreklik Veriler'!I37+'Çeyreklik Veriler'!J37+'Çeyreklik Veriler'!K37+'Çeyreklik Veriler'!L37</f>
        <v>0</v>
      </c>
      <c r="J37" s="6">
        <f>'Çeyreklik Veriler'!J37+'Çeyreklik Veriler'!K37+'Çeyreklik Veriler'!L37+'Çeyreklik Veriler'!M37</f>
        <v>0</v>
      </c>
      <c r="K37" s="6">
        <f>'Çeyreklik Veriler'!K37+'Çeyreklik Veriler'!L37+'Çeyreklik Veriler'!M37+'Çeyreklik Veriler'!N37</f>
        <v>0</v>
      </c>
      <c r="L37" s="6">
        <f>'Çeyreklik Veriler'!L37+'Çeyreklik Veriler'!M37+'Çeyreklik Veriler'!N37+'Çeyreklik Veriler'!O37</f>
        <v>0</v>
      </c>
      <c r="M37" s="6">
        <f>'Çeyreklik Veriler'!M37+'Çeyreklik Veriler'!N37+'Çeyreklik Veriler'!O37+'Çeyreklik Veriler'!P37</f>
        <v>0</v>
      </c>
      <c r="N37" s="6">
        <f>'Çeyreklik Veriler'!N37+'Çeyreklik Veriler'!O37+'Çeyreklik Veriler'!P37+'Çeyreklik Veriler'!Q37</f>
        <v>0</v>
      </c>
      <c r="O37" s="6">
        <f>'Çeyreklik Veriler'!O37+'Çeyreklik Veriler'!P37+'Çeyreklik Veriler'!Q37+'Çeyreklik Veriler'!R37</f>
        <v>0</v>
      </c>
      <c r="P37" s="6">
        <f>'Çeyreklik Veriler'!P37+'Çeyreklik Veriler'!Q37+'Çeyreklik Veriler'!R37+'Çeyreklik Veriler'!S37</f>
        <v>0</v>
      </c>
      <c r="Q37" s="6">
        <f>'Çeyreklik Veriler'!Q37+'Çeyreklik Veriler'!R37+'Çeyreklik Veriler'!S37+'Çeyreklik Veriler'!T37</f>
        <v>0</v>
      </c>
      <c r="R37" s="6">
        <f>'Çeyreklik Veriler'!R37+'Çeyreklik Veriler'!S37+'Çeyreklik Veriler'!T37+'Çeyreklik Veriler'!U37</f>
        <v>0</v>
      </c>
    </row>
    <row r="38" spans="1:18" x14ac:dyDescent="0.25">
      <c r="A38" t="str">
        <f>Froto!A38</f>
        <v xml:space="preserve">  Finans Sektörü Faaliyetlerinden Borçlar</v>
      </c>
      <c r="B38" s="6">
        <f>'Çeyreklik Veriler'!B38+'Çeyreklik Veriler'!C38+'Çeyreklik Veriler'!D38+'Çeyreklik Veriler'!E38</f>
        <v>0</v>
      </c>
      <c r="C38" s="6">
        <f>'Çeyreklik Veriler'!C38+'Çeyreklik Veriler'!D38+'Çeyreklik Veriler'!E38+'Çeyreklik Veriler'!F38</f>
        <v>0</v>
      </c>
      <c r="D38" s="6">
        <f>'Çeyreklik Veriler'!D38+'Çeyreklik Veriler'!E38+'Çeyreklik Veriler'!F38+'Çeyreklik Veriler'!G38</f>
        <v>0</v>
      </c>
      <c r="E38" s="6">
        <f>'Çeyreklik Veriler'!E38+'Çeyreklik Veriler'!F38+'Çeyreklik Veriler'!G38+'Çeyreklik Veriler'!H38</f>
        <v>0</v>
      </c>
      <c r="F38" s="6">
        <f>'Çeyreklik Veriler'!F38+'Çeyreklik Veriler'!G38+'Çeyreklik Veriler'!H38+'Çeyreklik Veriler'!I38</f>
        <v>0</v>
      </c>
      <c r="G38" s="6">
        <f>'Çeyreklik Veriler'!G38+'Çeyreklik Veriler'!H38+'Çeyreklik Veriler'!I38+'Çeyreklik Veriler'!J38</f>
        <v>0</v>
      </c>
      <c r="H38" s="6">
        <f>'Çeyreklik Veriler'!H38+'Çeyreklik Veriler'!I38+'Çeyreklik Veriler'!J38+'Çeyreklik Veriler'!K38</f>
        <v>0</v>
      </c>
      <c r="I38" s="6">
        <f>'Çeyreklik Veriler'!I38+'Çeyreklik Veriler'!J38+'Çeyreklik Veriler'!K38+'Çeyreklik Veriler'!L38</f>
        <v>0</v>
      </c>
      <c r="J38" s="6">
        <f>'Çeyreklik Veriler'!J38+'Çeyreklik Veriler'!K38+'Çeyreklik Veriler'!L38+'Çeyreklik Veriler'!M38</f>
        <v>0</v>
      </c>
      <c r="K38" s="6">
        <f>'Çeyreklik Veriler'!K38+'Çeyreklik Veriler'!L38+'Çeyreklik Veriler'!M38+'Çeyreklik Veriler'!N38</f>
        <v>0</v>
      </c>
      <c r="L38" s="6">
        <f>'Çeyreklik Veriler'!L38+'Çeyreklik Veriler'!M38+'Çeyreklik Veriler'!N38+'Çeyreklik Veriler'!O38</f>
        <v>0</v>
      </c>
      <c r="M38" s="6">
        <f>'Çeyreklik Veriler'!M38+'Çeyreklik Veriler'!N38+'Çeyreklik Veriler'!O38+'Çeyreklik Veriler'!P38</f>
        <v>0</v>
      </c>
      <c r="N38" s="6">
        <f>'Çeyreklik Veriler'!N38+'Çeyreklik Veriler'!O38+'Çeyreklik Veriler'!P38+'Çeyreklik Veriler'!Q38</f>
        <v>0</v>
      </c>
      <c r="O38" s="6">
        <f>'Çeyreklik Veriler'!O38+'Çeyreklik Veriler'!P38+'Çeyreklik Veriler'!Q38+'Çeyreklik Veriler'!R38</f>
        <v>0</v>
      </c>
      <c r="P38" s="6">
        <f>'Çeyreklik Veriler'!P38+'Çeyreklik Veriler'!Q38+'Çeyreklik Veriler'!R38+'Çeyreklik Veriler'!S38</f>
        <v>0</v>
      </c>
      <c r="Q38" s="6">
        <f>'Çeyreklik Veriler'!Q38+'Çeyreklik Veriler'!R38+'Çeyreklik Veriler'!S38+'Çeyreklik Veriler'!T38</f>
        <v>0</v>
      </c>
      <c r="R38" s="6">
        <f>'Çeyreklik Veriler'!R38+'Çeyreklik Veriler'!S38+'Çeyreklik Veriler'!T38+'Çeyreklik Veriler'!U38</f>
        <v>0</v>
      </c>
    </row>
    <row r="39" spans="1:18" x14ac:dyDescent="0.25">
      <c r="A39" t="str">
        <f>Froto!A39</f>
        <v xml:space="preserve">  Devlet Teşvik ve Yardımları</v>
      </c>
      <c r="B39" s="6">
        <f>'Çeyreklik Veriler'!B39+'Çeyreklik Veriler'!C39+'Çeyreklik Veriler'!D39+'Çeyreklik Veriler'!E39</f>
        <v>0</v>
      </c>
      <c r="C39" s="6">
        <f>'Çeyreklik Veriler'!C39+'Çeyreklik Veriler'!D39+'Çeyreklik Veriler'!E39+'Çeyreklik Veriler'!F39</f>
        <v>0</v>
      </c>
      <c r="D39" s="6">
        <f>'Çeyreklik Veriler'!D39+'Çeyreklik Veriler'!E39+'Çeyreklik Veriler'!F39+'Çeyreklik Veriler'!G39</f>
        <v>0</v>
      </c>
      <c r="E39" s="6">
        <f>'Çeyreklik Veriler'!E39+'Çeyreklik Veriler'!F39+'Çeyreklik Veriler'!G39+'Çeyreklik Veriler'!H39</f>
        <v>0</v>
      </c>
      <c r="F39" s="6">
        <f>'Çeyreklik Veriler'!F39+'Çeyreklik Veriler'!G39+'Çeyreklik Veriler'!H39+'Çeyreklik Veriler'!I39</f>
        <v>0</v>
      </c>
      <c r="G39" s="6">
        <f>'Çeyreklik Veriler'!G39+'Çeyreklik Veriler'!H39+'Çeyreklik Veriler'!I39+'Çeyreklik Veriler'!J39</f>
        <v>0</v>
      </c>
      <c r="H39" s="6">
        <f>'Çeyreklik Veriler'!H39+'Çeyreklik Veriler'!I39+'Çeyreklik Veriler'!J39+'Çeyreklik Veriler'!K39</f>
        <v>0</v>
      </c>
      <c r="I39" s="6">
        <f>'Çeyreklik Veriler'!I39+'Çeyreklik Veriler'!J39+'Çeyreklik Veriler'!K39+'Çeyreklik Veriler'!L39</f>
        <v>0</v>
      </c>
      <c r="J39" s="6">
        <f>'Çeyreklik Veriler'!J39+'Çeyreklik Veriler'!K39+'Çeyreklik Veriler'!L39+'Çeyreklik Veriler'!M39</f>
        <v>0</v>
      </c>
      <c r="K39" s="6">
        <f>'Çeyreklik Veriler'!K39+'Çeyreklik Veriler'!L39+'Çeyreklik Veriler'!M39+'Çeyreklik Veriler'!N39</f>
        <v>0</v>
      </c>
      <c r="L39" s="6">
        <f>'Çeyreklik Veriler'!L39+'Çeyreklik Veriler'!M39+'Çeyreklik Veriler'!N39+'Çeyreklik Veriler'!O39</f>
        <v>0</v>
      </c>
      <c r="M39" s="6">
        <f>'Çeyreklik Veriler'!M39+'Çeyreklik Veriler'!N39+'Çeyreklik Veriler'!O39+'Çeyreklik Veriler'!P39</f>
        <v>0</v>
      </c>
      <c r="N39" s="6">
        <f>'Çeyreklik Veriler'!N39+'Çeyreklik Veriler'!O39+'Çeyreklik Veriler'!P39+'Çeyreklik Veriler'!Q39</f>
        <v>0</v>
      </c>
      <c r="O39" s="6">
        <f>'Çeyreklik Veriler'!O39+'Çeyreklik Veriler'!P39+'Çeyreklik Veriler'!Q39+'Çeyreklik Veriler'!R39</f>
        <v>0</v>
      </c>
      <c r="P39" s="6">
        <f>'Çeyreklik Veriler'!P39+'Çeyreklik Veriler'!Q39+'Çeyreklik Veriler'!R39+'Çeyreklik Veriler'!S39</f>
        <v>0</v>
      </c>
      <c r="Q39" s="6">
        <f>'Çeyreklik Veriler'!Q39+'Çeyreklik Veriler'!R39+'Çeyreklik Veriler'!S39+'Çeyreklik Veriler'!T39</f>
        <v>0</v>
      </c>
      <c r="R39" s="6">
        <f>'Çeyreklik Veriler'!R39+'Çeyreklik Veriler'!S39+'Çeyreklik Veriler'!T39+'Çeyreklik Veriler'!U39</f>
        <v>0</v>
      </c>
    </row>
    <row r="40" spans="1:18" x14ac:dyDescent="0.25">
      <c r="A40" t="str">
        <f>Froto!A40</f>
        <v xml:space="preserve">  Ertelenmiş Gelirler (Müşteri Söz. Doğan Yük. Dış.Kal.)</v>
      </c>
      <c r="B40" s="6">
        <f>'Çeyreklik Veriler'!B40+'Çeyreklik Veriler'!C40+'Çeyreklik Veriler'!D40+'Çeyreklik Veriler'!E40</f>
        <v>151546000</v>
      </c>
      <c r="C40" s="6">
        <f>'Çeyreklik Veriler'!C40+'Çeyreklik Veriler'!D40+'Çeyreklik Veriler'!E40+'Çeyreklik Veriler'!F40</f>
        <v>134926000</v>
      </c>
      <c r="D40" s="6">
        <f>'Çeyreklik Veriler'!D40+'Çeyreklik Veriler'!E40+'Çeyreklik Veriler'!F40+'Çeyreklik Veriler'!G40</f>
        <v>92720000</v>
      </c>
      <c r="E40" s="6">
        <f>'Çeyreklik Veriler'!E40+'Çeyreklik Veriler'!F40+'Çeyreklik Veriler'!G40+'Çeyreklik Veriler'!H40</f>
        <v>73632000</v>
      </c>
      <c r="F40" s="6">
        <f>'Çeyreklik Veriler'!F40+'Çeyreklik Veriler'!G40+'Çeyreklik Veriler'!H40+'Çeyreklik Veriler'!I40</f>
        <v>64730000</v>
      </c>
      <c r="G40" s="6">
        <f>'Çeyreklik Veriler'!G40+'Çeyreklik Veriler'!H40+'Çeyreklik Veriler'!I40+'Çeyreklik Veriler'!J40</f>
        <v>42802000</v>
      </c>
      <c r="H40" s="6">
        <f>'Çeyreklik Veriler'!H40+'Çeyreklik Veriler'!I40+'Çeyreklik Veriler'!J40+'Çeyreklik Veriler'!K40</f>
        <v>70296000</v>
      </c>
      <c r="I40" s="6">
        <f>'Çeyreklik Veriler'!I40+'Çeyreklik Veriler'!J40+'Çeyreklik Veriler'!K40+'Çeyreklik Veriler'!L40</f>
        <v>79467000</v>
      </c>
      <c r="J40" s="6">
        <f>'Çeyreklik Veriler'!J40+'Çeyreklik Veriler'!K40+'Çeyreklik Veriler'!L40+'Çeyreklik Veriler'!M40</f>
        <v>43037000</v>
      </c>
      <c r="K40" s="6">
        <f>'Çeyreklik Veriler'!K40+'Çeyreklik Veriler'!L40+'Çeyreklik Veriler'!M40+'Çeyreklik Veriler'!N40</f>
        <v>53455000</v>
      </c>
      <c r="L40" s="6">
        <f>'Çeyreklik Veriler'!L40+'Çeyreklik Veriler'!M40+'Çeyreklik Veriler'!N40+'Çeyreklik Veriler'!O40</f>
        <v>33361000</v>
      </c>
      <c r="M40" s="6">
        <f>'Çeyreklik Veriler'!M40+'Çeyreklik Veriler'!N40+'Çeyreklik Veriler'!O40+'Çeyreklik Veriler'!P40</f>
        <v>40153000</v>
      </c>
      <c r="N40" s="6">
        <f>'Çeyreklik Veriler'!N40+'Çeyreklik Veriler'!O40+'Çeyreklik Veriler'!P40+'Çeyreklik Veriler'!Q40</f>
        <v>23830000</v>
      </c>
      <c r="O40" s="6">
        <f>'Çeyreklik Veriler'!O40+'Çeyreklik Veriler'!P40+'Çeyreklik Veriler'!Q40+'Çeyreklik Veriler'!R40</f>
        <v>32600000</v>
      </c>
      <c r="P40" s="6">
        <f>'Çeyreklik Veriler'!P40+'Çeyreklik Veriler'!Q40+'Çeyreklik Veriler'!R40+'Çeyreklik Veriler'!S40</f>
        <v>31568000</v>
      </c>
      <c r="Q40" s="6">
        <f>'Çeyreklik Veriler'!Q40+'Çeyreklik Veriler'!R40+'Çeyreklik Veriler'!S40+'Çeyreklik Veriler'!T40</f>
        <v>25512000</v>
      </c>
      <c r="R40" s="6">
        <f>'Çeyreklik Veriler'!R40+'Çeyreklik Veriler'!S40+'Çeyreklik Veriler'!T40+'Çeyreklik Veriler'!U40</f>
        <v>13219000</v>
      </c>
    </row>
    <row r="41" spans="1:18" x14ac:dyDescent="0.25">
      <c r="A41" t="str">
        <f>Froto!A41</f>
        <v xml:space="preserve">  Dönem Karı Vergi Yükümlülüğü</v>
      </c>
      <c r="B41" s="6">
        <f>'Çeyreklik Veriler'!B41+'Çeyreklik Veriler'!C41+'Çeyreklik Veriler'!D41+'Çeyreklik Veriler'!E41</f>
        <v>0</v>
      </c>
      <c r="C41" s="6">
        <f>'Çeyreklik Veriler'!C41+'Çeyreklik Veriler'!D41+'Çeyreklik Veriler'!E41+'Çeyreklik Veriler'!F41</f>
        <v>-2300000</v>
      </c>
      <c r="D41" s="6">
        <f>'Çeyreklik Veriler'!D41+'Çeyreklik Veriler'!E41+'Çeyreklik Veriler'!F41+'Çeyreklik Veriler'!G41</f>
        <v>25174000</v>
      </c>
      <c r="E41" s="6">
        <f>'Çeyreklik Veriler'!E41+'Çeyreklik Veriler'!F41+'Çeyreklik Veriler'!G41+'Çeyreklik Veriler'!H41</f>
        <v>13105000</v>
      </c>
      <c r="F41" s="6">
        <f>'Çeyreklik Veriler'!F41+'Çeyreklik Veriler'!G41+'Çeyreklik Veriler'!H41+'Çeyreklik Veriler'!I41</f>
        <v>13105000</v>
      </c>
      <c r="G41" s="6">
        <f>'Çeyreklik Veriler'!G41+'Çeyreklik Veriler'!H41+'Çeyreklik Veriler'!I41+'Çeyreklik Veriler'!J41</f>
        <v>32957000</v>
      </c>
      <c r="H41" s="6">
        <f>'Çeyreklik Veriler'!H41+'Çeyreklik Veriler'!I41+'Çeyreklik Veriler'!J41+'Çeyreklik Veriler'!K41</f>
        <v>17552000</v>
      </c>
      <c r="I41" s="6">
        <f>'Çeyreklik Veriler'!I41+'Çeyreklik Veriler'!J41+'Çeyreklik Veriler'!K41+'Çeyreklik Veriler'!L41</f>
        <v>17552000</v>
      </c>
      <c r="J41" s="6">
        <f>'Çeyreklik Veriler'!J41+'Çeyreklik Veriler'!K41+'Çeyreklik Veriler'!L41+'Çeyreklik Veriler'!M41</f>
        <v>17552000</v>
      </c>
      <c r="K41" s="6">
        <f>'Çeyreklik Veriler'!K41+'Çeyreklik Veriler'!L41+'Çeyreklik Veriler'!M41+'Çeyreklik Veriler'!N41</f>
        <v>-2773000</v>
      </c>
      <c r="L41" s="6">
        <f>'Çeyreklik Veriler'!L41+'Çeyreklik Veriler'!M41+'Çeyreklik Veriler'!N41+'Çeyreklik Veriler'!O41</f>
        <v>3699000</v>
      </c>
      <c r="M41" s="6">
        <f>'Çeyreklik Veriler'!M41+'Çeyreklik Veriler'!N41+'Çeyreklik Veriler'!O41+'Çeyreklik Veriler'!P41</f>
        <v>11478000</v>
      </c>
      <c r="N41" s="6">
        <f>'Çeyreklik Veriler'!N41+'Çeyreklik Veriler'!O41+'Çeyreklik Veriler'!P41+'Çeyreklik Veriler'!Q41</f>
        <v>11478000</v>
      </c>
      <c r="O41" s="6">
        <f>'Çeyreklik Veriler'!O41+'Çeyreklik Veriler'!P41+'Çeyreklik Veriler'!Q41+'Çeyreklik Veriler'!R41</f>
        <v>22781000</v>
      </c>
      <c r="P41" s="6">
        <f>'Çeyreklik Veriler'!P41+'Çeyreklik Veriler'!Q41+'Çeyreklik Veriler'!R41+'Çeyreklik Veriler'!S41</f>
        <v>10512000</v>
      </c>
      <c r="Q41" s="6">
        <f>'Çeyreklik Veriler'!Q41+'Çeyreklik Veriler'!R41+'Çeyreklik Veriler'!S41+'Çeyreklik Veriler'!T41</f>
        <v>8530000</v>
      </c>
      <c r="R41" s="6">
        <f>'Çeyreklik Veriler'!R41+'Çeyreklik Veriler'!S41+'Çeyreklik Veriler'!T41+'Çeyreklik Veriler'!U41</f>
        <v>8530000</v>
      </c>
    </row>
    <row r="42" spans="1:18" x14ac:dyDescent="0.25">
      <c r="A42" t="str">
        <f>Froto!A42</f>
        <v xml:space="preserve">  Borç Karşılıkları</v>
      </c>
      <c r="B42" s="6">
        <f>'Çeyreklik Veriler'!B42+'Çeyreklik Veriler'!C42+'Çeyreklik Veriler'!D42+'Çeyreklik Veriler'!E42</f>
        <v>575911000</v>
      </c>
      <c r="C42" s="6">
        <f>'Çeyreklik Veriler'!C42+'Çeyreklik Veriler'!D42+'Çeyreklik Veriler'!E42+'Çeyreklik Veriler'!F42</f>
        <v>671634000</v>
      </c>
      <c r="D42" s="6">
        <f>'Çeyreklik Veriler'!D42+'Çeyreklik Veriler'!E42+'Çeyreklik Veriler'!F42+'Çeyreklik Veriler'!G42</f>
        <v>577206000</v>
      </c>
      <c r="E42" s="6">
        <f>'Çeyreklik Veriler'!E42+'Çeyreklik Veriler'!F42+'Çeyreklik Veriler'!G42+'Çeyreklik Veriler'!H42</f>
        <v>581766000</v>
      </c>
      <c r="F42" s="6">
        <f>'Çeyreklik Veriler'!F42+'Çeyreklik Veriler'!G42+'Çeyreklik Veriler'!H42+'Çeyreklik Veriler'!I42</f>
        <v>390161000</v>
      </c>
      <c r="G42" s="6">
        <f>'Çeyreklik Veriler'!G42+'Çeyreklik Veriler'!H42+'Çeyreklik Veriler'!I42+'Çeyreklik Veriler'!J42</f>
        <v>337652000</v>
      </c>
      <c r="H42" s="6">
        <f>'Çeyreklik Veriler'!H42+'Çeyreklik Veriler'!I42+'Çeyreklik Veriler'!J42+'Çeyreklik Veriler'!K42</f>
        <v>394767000</v>
      </c>
      <c r="I42" s="6">
        <f>'Çeyreklik Veriler'!I42+'Çeyreklik Veriler'!J42+'Çeyreklik Veriler'!K42+'Çeyreklik Veriler'!L42</f>
        <v>321164000</v>
      </c>
      <c r="J42" s="6">
        <f>'Çeyreklik Veriler'!J42+'Çeyreklik Veriler'!K42+'Çeyreklik Veriler'!L42+'Çeyreklik Veriler'!M42</f>
        <v>273245000</v>
      </c>
      <c r="K42" s="6">
        <f>'Çeyreklik Veriler'!K42+'Çeyreklik Veriler'!L42+'Çeyreklik Veriler'!M42+'Çeyreklik Veriler'!N42</f>
        <v>116671000</v>
      </c>
      <c r="L42" s="6">
        <f>'Çeyreklik Veriler'!L42+'Çeyreklik Veriler'!M42+'Çeyreklik Veriler'!N42+'Çeyreklik Veriler'!O42</f>
        <v>73924000</v>
      </c>
      <c r="M42" s="6">
        <f>'Çeyreklik Veriler'!M42+'Çeyreklik Veriler'!N42+'Çeyreklik Veriler'!O42+'Çeyreklik Veriler'!P42</f>
        <v>106570000</v>
      </c>
      <c r="N42" s="6">
        <f>'Çeyreklik Veriler'!N42+'Çeyreklik Veriler'!O42+'Çeyreklik Veriler'!P42+'Çeyreklik Veriler'!Q42</f>
        <v>121102000</v>
      </c>
      <c r="O42" s="6">
        <f>'Çeyreklik Veriler'!O42+'Çeyreklik Veriler'!P42+'Çeyreklik Veriler'!Q42+'Çeyreklik Veriler'!R42</f>
        <v>118131000</v>
      </c>
      <c r="P42" s="6">
        <f>'Çeyreklik Veriler'!P42+'Çeyreklik Veriler'!Q42+'Çeyreklik Veriler'!R42+'Çeyreklik Veriler'!S42</f>
        <v>132582000</v>
      </c>
      <c r="Q42" s="6">
        <f>'Çeyreklik Veriler'!Q42+'Çeyreklik Veriler'!R42+'Çeyreklik Veriler'!S42+'Çeyreklik Veriler'!T42</f>
        <v>169856000</v>
      </c>
      <c r="R42" s="6">
        <f>'Çeyreklik Veriler'!R42+'Çeyreklik Veriler'!S42+'Çeyreklik Veriler'!T42+'Çeyreklik Veriler'!U42</f>
        <v>155227000</v>
      </c>
    </row>
    <row r="43" spans="1:18" x14ac:dyDescent="0.25">
      <c r="A43" t="str">
        <f>Froto!A43</f>
        <v xml:space="preserve">  Diğer Kısa Vadeli Yükümlülükler</v>
      </c>
      <c r="B43" s="6">
        <f>'Çeyreklik Veriler'!B43+'Çeyreklik Veriler'!C43+'Çeyreklik Veriler'!D43+'Çeyreklik Veriler'!E43</f>
        <v>1378319000</v>
      </c>
      <c r="C43" s="6">
        <f>'Çeyreklik Veriler'!C43+'Çeyreklik Veriler'!D43+'Çeyreklik Veriler'!E43+'Çeyreklik Veriler'!F43</f>
        <v>1082906000</v>
      </c>
      <c r="D43" s="6">
        <f>'Çeyreklik Veriler'!D43+'Çeyreklik Veriler'!E43+'Çeyreklik Veriler'!F43+'Çeyreklik Veriler'!G43</f>
        <v>649207000</v>
      </c>
      <c r="E43" s="6">
        <f>'Çeyreklik Veriler'!E43+'Çeyreklik Veriler'!F43+'Çeyreklik Veriler'!G43+'Çeyreklik Veriler'!H43</f>
        <v>593665000</v>
      </c>
      <c r="F43" s="6">
        <f>'Çeyreklik Veriler'!F43+'Çeyreklik Veriler'!G43+'Çeyreklik Veriler'!H43+'Çeyreklik Veriler'!I43</f>
        <v>419560000</v>
      </c>
      <c r="G43" s="6">
        <f>'Çeyreklik Veriler'!G43+'Çeyreklik Veriler'!H43+'Çeyreklik Veriler'!I43+'Çeyreklik Veriler'!J43</f>
        <v>276684000</v>
      </c>
      <c r="H43" s="6">
        <f>'Çeyreklik Veriler'!H43+'Çeyreklik Veriler'!I43+'Çeyreklik Veriler'!J43+'Çeyreklik Veriler'!K43</f>
        <v>280451000</v>
      </c>
      <c r="I43" s="6">
        <f>'Çeyreklik Veriler'!I43+'Çeyreklik Veriler'!J43+'Çeyreklik Veriler'!K43+'Çeyreklik Veriler'!L43</f>
        <v>337233000</v>
      </c>
      <c r="J43" s="6">
        <f>'Çeyreklik Veriler'!J43+'Çeyreklik Veriler'!K43+'Çeyreklik Veriler'!L43+'Çeyreklik Veriler'!M43</f>
        <v>290077000</v>
      </c>
      <c r="K43" s="6">
        <f>'Çeyreklik Veriler'!K43+'Çeyreklik Veriler'!L43+'Çeyreklik Veriler'!M43+'Çeyreklik Veriler'!N43</f>
        <v>299741000</v>
      </c>
      <c r="L43" s="6">
        <f>'Çeyreklik Veriler'!L43+'Çeyreklik Veriler'!M43+'Çeyreklik Veriler'!N43+'Çeyreklik Veriler'!O43</f>
        <v>280746000</v>
      </c>
      <c r="M43" s="6">
        <f>'Çeyreklik Veriler'!M43+'Çeyreklik Veriler'!N43+'Çeyreklik Veriler'!O43+'Çeyreklik Veriler'!P43</f>
        <v>221788000</v>
      </c>
      <c r="N43" s="6">
        <f>'Çeyreklik Veriler'!N43+'Çeyreklik Veriler'!O43+'Çeyreklik Veriler'!P43+'Çeyreklik Veriler'!Q43</f>
        <v>220273000</v>
      </c>
      <c r="O43" s="6">
        <f>'Çeyreklik Veriler'!O43+'Çeyreklik Veriler'!P43+'Çeyreklik Veriler'!Q43+'Çeyreklik Veriler'!R43</f>
        <v>152436000</v>
      </c>
      <c r="P43" s="6">
        <f>'Çeyreklik Veriler'!P43+'Çeyreklik Veriler'!Q43+'Çeyreklik Veriler'!R43+'Çeyreklik Veriler'!S43</f>
        <v>157621000</v>
      </c>
      <c r="Q43" s="6">
        <f>'Çeyreklik Veriler'!Q43+'Çeyreklik Veriler'!R43+'Çeyreklik Veriler'!S43+'Çeyreklik Veriler'!T43</f>
        <v>145683000</v>
      </c>
      <c r="R43" s="6">
        <f>'Çeyreklik Veriler'!R43+'Çeyreklik Veriler'!S43+'Çeyreklik Veriler'!T43+'Çeyreklik Veriler'!U43</f>
        <v>149704000</v>
      </c>
    </row>
    <row r="44" spans="1:18" x14ac:dyDescent="0.25">
      <c r="A44" t="str">
        <f>Froto!A44</f>
        <v xml:space="preserve">    (Ara Toplam)</v>
      </c>
      <c r="B44" s="6">
        <f>'Çeyreklik Veriler'!B44+'Çeyreklik Veriler'!C44+'Çeyreklik Veriler'!D44+'Çeyreklik Veriler'!E44</f>
        <v>46205980000</v>
      </c>
      <c r="C44" s="6">
        <f>'Çeyreklik Veriler'!C44+'Çeyreklik Veriler'!D44+'Çeyreklik Veriler'!E44+'Çeyreklik Veriler'!F44</f>
        <v>44036123000</v>
      </c>
      <c r="D44" s="6">
        <f>'Çeyreklik Veriler'!D44+'Çeyreklik Veriler'!E44+'Çeyreklik Veriler'!F44+'Çeyreklik Veriler'!G44</f>
        <v>43838299000</v>
      </c>
      <c r="E44" s="6">
        <f>'Çeyreklik Veriler'!E44+'Çeyreklik Veriler'!F44+'Çeyreklik Veriler'!G44+'Çeyreklik Veriler'!H44</f>
        <v>31960696000</v>
      </c>
      <c r="F44" s="6">
        <f>'Çeyreklik Veriler'!F44+'Çeyreklik Veriler'!G44+'Çeyreklik Veriler'!H44+'Çeyreklik Veriler'!I44</f>
        <v>20782144000</v>
      </c>
      <c r="G44" s="6">
        <f>'Çeyreklik Veriler'!G44+'Çeyreklik Veriler'!H44+'Çeyreklik Veriler'!I44+'Çeyreklik Veriler'!J44</f>
        <v>18187563000</v>
      </c>
      <c r="H44" s="6">
        <f>'Çeyreklik Veriler'!H44+'Çeyreklik Veriler'!I44+'Çeyreklik Veriler'!J44+'Çeyreklik Veriler'!K44</f>
        <v>14510383000</v>
      </c>
      <c r="I44" s="6">
        <f>'Çeyreklik Veriler'!I44+'Çeyreklik Veriler'!J44+'Çeyreklik Veriler'!K44+'Çeyreklik Veriler'!L44</f>
        <v>18378724000</v>
      </c>
      <c r="J44" s="6">
        <f>'Çeyreklik Veriler'!J44+'Çeyreklik Veriler'!K44+'Çeyreklik Veriler'!L44+'Çeyreklik Veriler'!M44</f>
        <v>12480781000</v>
      </c>
      <c r="K44" s="6">
        <f>'Çeyreklik Veriler'!K44+'Çeyreklik Veriler'!L44+'Çeyreklik Veriler'!M44+'Çeyreklik Veriler'!N44</f>
        <v>13146188000</v>
      </c>
      <c r="L44" s="6">
        <f>'Çeyreklik Veriler'!L44+'Çeyreklik Veriler'!M44+'Çeyreklik Veriler'!N44+'Çeyreklik Veriler'!O44</f>
        <v>9805916000</v>
      </c>
      <c r="M44" s="6">
        <f>'Çeyreklik Veriler'!M44+'Çeyreklik Veriler'!N44+'Çeyreklik Veriler'!O44+'Çeyreklik Veriler'!P44</f>
        <v>8528605000</v>
      </c>
      <c r="N44" s="6">
        <f>'Çeyreklik Veriler'!N44+'Çeyreklik Veriler'!O44+'Çeyreklik Veriler'!P44+'Çeyreklik Veriler'!Q44</f>
        <v>8645371000</v>
      </c>
      <c r="O44" s="6">
        <f>'Çeyreklik Veriler'!O44+'Çeyreklik Veriler'!P44+'Çeyreklik Veriler'!Q44+'Çeyreklik Veriler'!R44</f>
        <v>7661212000</v>
      </c>
      <c r="P44" s="6">
        <f>'Çeyreklik Veriler'!P44+'Çeyreklik Veriler'!Q44+'Çeyreklik Veriler'!R44+'Çeyreklik Veriler'!S44</f>
        <v>9368303000</v>
      </c>
      <c r="Q44" s="6">
        <f>'Çeyreklik Veriler'!Q44+'Çeyreklik Veriler'!R44+'Çeyreklik Veriler'!S44+'Çeyreklik Veriler'!T44</f>
        <v>9145671000</v>
      </c>
      <c r="R44" s="6">
        <f>'Çeyreklik Veriler'!R44+'Çeyreklik Veriler'!S44+'Çeyreklik Veriler'!T44+'Çeyreklik Veriler'!U44</f>
        <v>7219612000</v>
      </c>
    </row>
    <row r="45" spans="1:18" x14ac:dyDescent="0.25">
      <c r="A45" t="str">
        <f>Froto!A45</f>
        <v xml:space="preserve">  Satış Amaçlı Elde Tutulan Duran Varlıklara İlişkin Yükümlülükler</v>
      </c>
      <c r="B45" s="6">
        <f>'Çeyreklik Veriler'!B45+'Çeyreklik Veriler'!C45+'Çeyreklik Veriler'!D45+'Çeyreklik Veriler'!E45</f>
        <v>0</v>
      </c>
      <c r="C45" s="6">
        <f>'Çeyreklik Veriler'!C45+'Çeyreklik Veriler'!D45+'Çeyreklik Veriler'!E45+'Çeyreklik Veriler'!F45</f>
        <v>0</v>
      </c>
      <c r="D45" s="6">
        <f>'Çeyreklik Veriler'!D45+'Çeyreklik Veriler'!E45+'Çeyreklik Veriler'!F45+'Çeyreklik Veriler'!G45</f>
        <v>0</v>
      </c>
      <c r="E45" s="6">
        <f>'Çeyreklik Veriler'!E45+'Çeyreklik Veriler'!F45+'Çeyreklik Veriler'!G45+'Çeyreklik Veriler'!H45</f>
        <v>0</v>
      </c>
      <c r="F45" s="6">
        <f>'Çeyreklik Veriler'!F45+'Çeyreklik Veriler'!G45+'Çeyreklik Veriler'!H45+'Çeyreklik Veriler'!I45</f>
        <v>0</v>
      </c>
      <c r="G45" s="6">
        <f>'Çeyreklik Veriler'!G45+'Çeyreklik Veriler'!H45+'Çeyreklik Veriler'!I45+'Çeyreklik Veriler'!J45</f>
        <v>0</v>
      </c>
      <c r="H45" s="6">
        <f>'Çeyreklik Veriler'!H45+'Çeyreklik Veriler'!I45+'Çeyreklik Veriler'!J45+'Çeyreklik Veriler'!K45</f>
        <v>0</v>
      </c>
      <c r="I45" s="6">
        <f>'Çeyreklik Veriler'!I45+'Çeyreklik Veriler'!J45+'Çeyreklik Veriler'!K45+'Çeyreklik Veriler'!L45</f>
        <v>0</v>
      </c>
      <c r="J45" s="6">
        <f>'Çeyreklik Veriler'!J45+'Çeyreklik Veriler'!K45+'Çeyreklik Veriler'!L45+'Çeyreklik Veriler'!M45</f>
        <v>0</v>
      </c>
      <c r="K45" s="6">
        <f>'Çeyreklik Veriler'!K45+'Çeyreklik Veriler'!L45+'Çeyreklik Veriler'!M45+'Çeyreklik Veriler'!N45</f>
        <v>0</v>
      </c>
      <c r="L45" s="6">
        <f>'Çeyreklik Veriler'!L45+'Çeyreklik Veriler'!M45+'Çeyreklik Veriler'!N45+'Çeyreklik Veriler'!O45</f>
        <v>0</v>
      </c>
      <c r="M45" s="6">
        <f>'Çeyreklik Veriler'!M45+'Çeyreklik Veriler'!N45+'Çeyreklik Veriler'!O45+'Çeyreklik Veriler'!P45</f>
        <v>0</v>
      </c>
      <c r="N45" s="6">
        <f>'Çeyreklik Veriler'!N45+'Çeyreklik Veriler'!O45+'Çeyreklik Veriler'!P45+'Çeyreklik Veriler'!Q45</f>
        <v>0</v>
      </c>
      <c r="O45" s="6">
        <f>'Çeyreklik Veriler'!O45+'Çeyreklik Veriler'!P45+'Çeyreklik Veriler'!Q45+'Çeyreklik Veriler'!R45</f>
        <v>0</v>
      </c>
      <c r="P45" s="6">
        <f>'Çeyreklik Veriler'!P45+'Çeyreklik Veriler'!Q45+'Çeyreklik Veriler'!R45+'Çeyreklik Veriler'!S45</f>
        <v>0</v>
      </c>
      <c r="Q45" s="6">
        <f>'Çeyreklik Veriler'!Q45+'Çeyreklik Veriler'!R45+'Çeyreklik Veriler'!S45+'Çeyreklik Veriler'!T45</f>
        <v>0</v>
      </c>
      <c r="R45" s="6">
        <f>'Çeyreklik Veriler'!R45+'Çeyreklik Veriler'!S45+'Çeyreklik Veriler'!T45+'Çeyreklik Veriler'!U45</f>
        <v>0</v>
      </c>
    </row>
    <row r="46" spans="1:18" x14ac:dyDescent="0.25">
      <c r="A46" t="str">
        <f>Froto!A46</f>
        <v>Uzun Vadeli Yükümlülükler</v>
      </c>
      <c r="B46" s="6">
        <f>'Çeyreklik Veriler'!B46+'Çeyreklik Veriler'!C46+'Çeyreklik Veriler'!D46+'Çeyreklik Veriler'!E46</f>
        <v>28444093000</v>
      </c>
      <c r="C46" s="6">
        <f>'Çeyreklik Veriler'!C46+'Çeyreklik Veriler'!D46+'Çeyreklik Veriler'!E46+'Çeyreklik Veriler'!F46</f>
        <v>27684623000</v>
      </c>
      <c r="D46" s="6">
        <f>'Çeyreklik Veriler'!D46+'Çeyreklik Veriler'!E46+'Çeyreklik Veriler'!F46+'Çeyreklik Veriler'!G46</f>
        <v>23484734000</v>
      </c>
      <c r="E46" s="6">
        <f>'Çeyreklik Veriler'!E46+'Çeyreklik Veriler'!F46+'Çeyreklik Veriler'!G46+'Çeyreklik Veriler'!H46</f>
        <v>22024648000</v>
      </c>
      <c r="F46" s="6">
        <f>'Çeyreklik Veriler'!F46+'Çeyreklik Veriler'!G46+'Çeyreklik Veriler'!H46+'Çeyreklik Veriler'!I46</f>
        <v>11862171000</v>
      </c>
      <c r="G46" s="6">
        <f>'Çeyreklik Veriler'!G46+'Çeyreklik Veriler'!H46+'Çeyreklik Veriler'!I46+'Çeyreklik Veriler'!J46</f>
        <v>6167038000</v>
      </c>
      <c r="H46" s="6">
        <f>'Çeyreklik Veriler'!H46+'Çeyreklik Veriler'!I46+'Çeyreklik Veriler'!J46+'Çeyreklik Veriler'!K46</f>
        <v>5599911000</v>
      </c>
      <c r="I46" s="6">
        <f>'Çeyreklik Veriler'!I46+'Çeyreklik Veriler'!J46+'Çeyreklik Veriler'!K46+'Çeyreklik Veriler'!L46</f>
        <v>6742164000</v>
      </c>
      <c r="J46" s="6">
        <f>'Çeyreklik Veriler'!J46+'Çeyreklik Veriler'!K46+'Çeyreklik Veriler'!L46+'Çeyreklik Veriler'!M46</f>
        <v>4824496000</v>
      </c>
      <c r="K46" s="6">
        <f>'Çeyreklik Veriler'!K46+'Çeyreklik Veriler'!L46+'Çeyreklik Veriler'!M46+'Çeyreklik Veriler'!N46</f>
        <v>6104783000</v>
      </c>
      <c r="L46" s="6">
        <f>'Çeyreklik Veriler'!L46+'Çeyreklik Veriler'!M46+'Çeyreklik Veriler'!N46+'Çeyreklik Veriler'!O46</f>
        <v>4523868000</v>
      </c>
      <c r="M46" s="6">
        <f>'Çeyreklik Veriler'!M46+'Çeyreklik Veriler'!N46+'Çeyreklik Veriler'!O46+'Çeyreklik Veriler'!P46</f>
        <v>4331552000</v>
      </c>
      <c r="N46" s="6">
        <f>'Çeyreklik Veriler'!N46+'Çeyreklik Veriler'!O46+'Çeyreklik Veriler'!P46+'Çeyreklik Veriler'!Q46</f>
        <v>3096080000</v>
      </c>
      <c r="O46" s="6">
        <f>'Çeyreklik Veriler'!O46+'Çeyreklik Veriler'!P46+'Çeyreklik Veriler'!Q46+'Çeyreklik Veriler'!R46</f>
        <v>1800068000</v>
      </c>
      <c r="P46" s="6">
        <f>'Çeyreklik Veriler'!P46+'Çeyreklik Veriler'!Q46+'Çeyreklik Veriler'!R46+'Çeyreklik Veriler'!S46</f>
        <v>2271707000</v>
      </c>
      <c r="Q46" s="6">
        <f>'Çeyreklik Veriler'!Q46+'Çeyreklik Veriler'!R46+'Çeyreklik Veriler'!S46+'Çeyreklik Veriler'!T46</f>
        <v>1926050000</v>
      </c>
      <c r="R46" s="6">
        <f>'Çeyreklik Veriler'!R46+'Çeyreklik Veriler'!S46+'Çeyreklik Veriler'!T46+'Çeyreklik Veriler'!U46</f>
        <v>2071589000</v>
      </c>
    </row>
    <row r="47" spans="1:18" x14ac:dyDescent="0.25">
      <c r="A47" t="str">
        <f>Froto!A47</f>
        <v xml:space="preserve">  Finansal Borçlar</v>
      </c>
      <c r="B47" s="6">
        <f>'Çeyreklik Veriler'!B47+'Çeyreklik Veriler'!C47+'Çeyreklik Veriler'!D47+'Çeyreklik Veriler'!E47</f>
        <v>24699772000</v>
      </c>
      <c r="C47" s="6">
        <f>'Çeyreklik Veriler'!C47+'Çeyreklik Veriler'!D47+'Çeyreklik Veriler'!E47+'Çeyreklik Veriler'!F47</f>
        <v>25494941000</v>
      </c>
      <c r="D47" s="6">
        <f>'Çeyreklik Veriler'!D47+'Çeyreklik Veriler'!E47+'Çeyreklik Veriler'!F47+'Çeyreklik Veriler'!G47</f>
        <v>21740243000</v>
      </c>
      <c r="E47" s="6">
        <f>'Çeyreklik Veriler'!E47+'Çeyreklik Veriler'!F47+'Çeyreklik Veriler'!G47+'Çeyreklik Veriler'!H47</f>
        <v>20552600000</v>
      </c>
      <c r="F47" s="6">
        <f>'Çeyreklik Veriler'!F47+'Çeyreklik Veriler'!G47+'Çeyreklik Veriler'!H47+'Çeyreklik Veriler'!I47</f>
        <v>10799308000</v>
      </c>
      <c r="G47" s="6">
        <f>'Çeyreklik Veriler'!G47+'Çeyreklik Veriler'!H47+'Çeyreklik Veriler'!I47+'Çeyreklik Veriler'!J47</f>
        <v>5310878000</v>
      </c>
      <c r="H47" s="6">
        <f>'Çeyreklik Veriler'!H47+'Çeyreklik Veriler'!I47+'Çeyreklik Veriler'!J47+'Çeyreklik Veriler'!K47</f>
        <v>4727167000</v>
      </c>
      <c r="I47" s="6">
        <f>'Çeyreklik Veriler'!I47+'Çeyreklik Veriler'!J47+'Çeyreklik Veriler'!K47+'Çeyreklik Veriler'!L47</f>
        <v>5848585000</v>
      </c>
      <c r="J47" s="6">
        <f>'Çeyreklik Veriler'!J47+'Çeyreklik Veriler'!K47+'Çeyreklik Veriler'!L47+'Çeyreklik Veriler'!M47</f>
        <v>4147993000</v>
      </c>
      <c r="K47" s="6">
        <f>'Çeyreklik Veriler'!K47+'Çeyreklik Veriler'!L47+'Çeyreklik Veriler'!M47+'Çeyreklik Veriler'!N47</f>
        <v>5389908000</v>
      </c>
      <c r="L47" s="6">
        <f>'Çeyreklik Veriler'!L47+'Çeyreklik Veriler'!M47+'Çeyreklik Veriler'!N47+'Çeyreklik Veriler'!O47</f>
        <v>3832068000</v>
      </c>
      <c r="M47" s="6">
        <f>'Çeyreklik Veriler'!M47+'Çeyreklik Veriler'!N47+'Çeyreklik Veriler'!O47+'Çeyreklik Veriler'!P47</f>
        <v>3669893000</v>
      </c>
      <c r="N47" s="6">
        <f>'Çeyreklik Veriler'!N47+'Çeyreklik Veriler'!O47+'Çeyreklik Veriler'!P47+'Çeyreklik Veriler'!Q47</f>
        <v>2559936000</v>
      </c>
      <c r="O47" s="6">
        <f>'Çeyreklik Veriler'!O47+'Çeyreklik Veriler'!P47+'Çeyreklik Veriler'!Q47+'Çeyreklik Veriler'!R47</f>
        <v>1413870000</v>
      </c>
      <c r="P47" s="6">
        <f>'Çeyreklik Veriler'!P47+'Çeyreklik Veriler'!Q47+'Çeyreklik Veriler'!R47+'Çeyreklik Veriler'!S47</f>
        <v>1891953000</v>
      </c>
      <c r="Q47" s="6">
        <f>'Çeyreklik Veriler'!Q47+'Çeyreklik Veriler'!R47+'Çeyreklik Veriler'!S47+'Çeyreklik Veriler'!T47</f>
        <v>1602796000</v>
      </c>
      <c r="R47" s="6">
        <f>'Çeyreklik Veriler'!R47+'Çeyreklik Veriler'!S47+'Çeyreklik Veriler'!T47+'Çeyreklik Veriler'!U47</f>
        <v>1678554000</v>
      </c>
    </row>
    <row r="48" spans="1:18" x14ac:dyDescent="0.25">
      <c r="A48" t="str">
        <f>Froto!A48</f>
        <v xml:space="preserve">  Diğer Finansal Yükümlülükler</v>
      </c>
      <c r="B48" s="6">
        <f>'Çeyreklik Veriler'!B48+'Çeyreklik Veriler'!C48+'Çeyreklik Veriler'!D48+'Çeyreklik Veriler'!E48</f>
        <v>0</v>
      </c>
      <c r="C48" s="6">
        <f>'Çeyreklik Veriler'!C48+'Çeyreklik Veriler'!D48+'Çeyreklik Veriler'!E48+'Çeyreklik Veriler'!F48</f>
        <v>0</v>
      </c>
      <c r="D48" s="6">
        <f>'Çeyreklik Veriler'!D48+'Çeyreklik Veriler'!E48+'Çeyreklik Veriler'!F48+'Çeyreklik Veriler'!G48</f>
        <v>0</v>
      </c>
      <c r="E48" s="6">
        <f>'Çeyreklik Veriler'!E48+'Çeyreklik Veriler'!F48+'Çeyreklik Veriler'!G48+'Çeyreklik Veriler'!H48</f>
        <v>0</v>
      </c>
      <c r="F48" s="6">
        <f>'Çeyreklik Veriler'!F48+'Çeyreklik Veriler'!G48+'Çeyreklik Veriler'!H48+'Çeyreklik Veriler'!I48</f>
        <v>0</v>
      </c>
      <c r="G48" s="6">
        <f>'Çeyreklik Veriler'!G48+'Çeyreklik Veriler'!H48+'Çeyreklik Veriler'!I48+'Çeyreklik Veriler'!J48</f>
        <v>0</v>
      </c>
      <c r="H48" s="6">
        <f>'Çeyreklik Veriler'!H48+'Çeyreklik Veriler'!I48+'Çeyreklik Veriler'!J48+'Çeyreklik Veriler'!K48</f>
        <v>0</v>
      </c>
      <c r="I48" s="6">
        <f>'Çeyreklik Veriler'!I48+'Çeyreklik Veriler'!J48+'Çeyreklik Veriler'!K48+'Çeyreklik Veriler'!L48</f>
        <v>0</v>
      </c>
      <c r="J48" s="6">
        <f>'Çeyreklik Veriler'!J48+'Çeyreklik Veriler'!K48+'Çeyreklik Veriler'!L48+'Çeyreklik Veriler'!M48</f>
        <v>0</v>
      </c>
      <c r="K48" s="6">
        <f>'Çeyreklik Veriler'!K48+'Çeyreklik Veriler'!L48+'Çeyreklik Veriler'!M48+'Çeyreklik Veriler'!N48</f>
        <v>0</v>
      </c>
      <c r="L48" s="6">
        <f>'Çeyreklik Veriler'!L48+'Çeyreklik Veriler'!M48+'Çeyreklik Veriler'!N48+'Çeyreklik Veriler'!O48</f>
        <v>0</v>
      </c>
      <c r="M48" s="6">
        <f>'Çeyreklik Veriler'!M48+'Çeyreklik Veriler'!N48+'Çeyreklik Veriler'!O48+'Çeyreklik Veriler'!P48</f>
        <v>0</v>
      </c>
      <c r="N48" s="6">
        <f>'Çeyreklik Veriler'!N48+'Çeyreklik Veriler'!O48+'Çeyreklik Veriler'!P48+'Çeyreklik Veriler'!Q48</f>
        <v>0</v>
      </c>
      <c r="O48" s="6">
        <f>'Çeyreklik Veriler'!O48+'Çeyreklik Veriler'!P48+'Çeyreklik Veriler'!Q48+'Çeyreklik Veriler'!R48</f>
        <v>0</v>
      </c>
      <c r="P48" s="6">
        <f>'Çeyreklik Veriler'!P48+'Çeyreklik Veriler'!Q48+'Çeyreklik Veriler'!R48+'Çeyreklik Veriler'!S48</f>
        <v>0</v>
      </c>
      <c r="Q48" s="6">
        <f>'Çeyreklik Veriler'!Q48+'Çeyreklik Veriler'!R48+'Çeyreklik Veriler'!S48+'Çeyreklik Veriler'!T48</f>
        <v>0</v>
      </c>
      <c r="R48" s="6">
        <f>'Çeyreklik Veriler'!R48+'Çeyreklik Veriler'!S48+'Çeyreklik Veriler'!T48+'Çeyreklik Veriler'!U48</f>
        <v>0</v>
      </c>
    </row>
    <row r="49" spans="1:18" x14ac:dyDescent="0.25">
      <c r="A49" t="str">
        <f>Froto!A49</f>
        <v xml:space="preserve">  Ticari Borçlar</v>
      </c>
      <c r="B49" s="6">
        <f>'Çeyreklik Veriler'!B49+'Çeyreklik Veriler'!C49+'Çeyreklik Veriler'!D49+'Çeyreklik Veriler'!E49</f>
        <v>0</v>
      </c>
      <c r="C49" s="6">
        <f>'Çeyreklik Veriler'!C49+'Çeyreklik Veriler'!D49+'Çeyreklik Veriler'!E49+'Çeyreklik Veriler'!F49</f>
        <v>0</v>
      </c>
      <c r="D49" s="6">
        <f>'Çeyreklik Veriler'!D49+'Çeyreklik Veriler'!E49+'Çeyreklik Veriler'!F49+'Çeyreklik Veriler'!G49</f>
        <v>0</v>
      </c>
      <c r="E49" s="6">
        <f>'Çeyreklik Veriler'!E49+'Çeyreklik Veriler'!F49+'Çeyreklik Veriler'!G49+'Çeyreklik Veriler'!H49</f>
        <v>0</v>
      </c>
      <c r="F49" s="6">
        <f>'Çeyreklik Veriler'!F49+'Çeyreklik Veriler'!G49+'Çeyreklik Veriler'!H49+'Çeyreklik Veriler'!I49</f>
        <v>0</v>
      </c>
      <c r="G49" s="6">
        <f>'Çeyreklik Veriler'!G49+'Çeyreklik Veriler'!H49+'Çeyreklik Veriler'!I49+'Çeyreklik Veriler'!J49</f>
        <v>0</v>
      </c>
      <c r="H49" s="6">
        <f>'Çeyreklik Veriler'!H49+'Çeyreklik Veriler'!I49+'Çeyreklik Veriler'!J49+'Çeyreklik Veriler'!K49</f>
        <v>0</v>
      </c>
      <c r="I49" s="6">
        <f>'Çeyreklik Veriler'!I49+'Çeyreklik Veriler'!J49+'Çeyreklik Veriler'!K49+'Çeyreklik Veriler'!L49</f>
        <v>0</v>
      </c>
      <c r="J49" s="6">
        <f>'Çeyreklik Veriler'!J49+'Çeyreklik Veriler'!K49+'Çeyreklik Veriler'!L49+'Çeyreklik Veriler'!M49</f>
        <v>0</v>
      </c>
      <c r="K49" s="6">
        <f>'Çeyreklik Veriler'!K49+'Çeyreklik Veriler'!L49+'Çeyreklik Veriler'!M49+'Çeyreklik Veriler'!N49</f>
        <v>0</v>
      </c>
      <c r="L49" s="6">
        <f>'Çeyreklik Veriler'!L49+'Çeyreklik Veriler'!M49+'Çeyreklik Veriler'!N49+'Çeyreklik Veriler'!O49</f>
        <v>0</v>
      </c>
      <c r="M49" s="6">
        <f>'Çeyreklik Veriler'!M49+'Çeyreklik Veriler'!N49+'Çeyreklik Veriler'!O49+'Çeyreklik Veriler'!P49</f>
        <v>0</v>
      </c>
      <c r="N49" s="6">
        <f>'Çeyreklik Veriler'!N49+'Çeyreklik Veriler'!O49+'Çeyreklik Veriler'!P49+'Çeyreklik Veriler'!Q49</f>
        <v>0</v>
      </c>
      <c r="O49" s="6">
        <f>'Çeyreklik Veriler'!O49+'Çeyreklik Veriler'!P49+'Çeyreklik Veriler'!Q49+'Çeyreklik Veriler'!R49</f>
        <v>0</v>
      </c>
      <c r="P49" s="6">
        <f>'Çeyreklik Veriler'!P49+'Çeyreklik Veriler'!Q49+'Çeyreklik Veriler'!R49+'Çeyreklik Veriler'!S49</f>
        <v>0</v>
      </c>
      <c r="Q49" s="6">
        <f>'Çeyreklik Veriler'!Q49+'Çeyreklik Veriler'!R49+'Çeyreklik Veriler'!S49+'Çeyreklik Veriler'!T49</f>
        <v>0</v>
      </c>
      <c r="R49" s="6">
        <f>'Çeyreklik Veriler'!R49+'Çeyreklik Veriler'!S49+'Çeyreklik Veriler'!T49+'Çeyreklik Veriler'!U49</f>
        <v>0</v>
      </c>
    </row>
    <row r="50" spans="1:18" x14ac:dyDescent="0.25">
      <c r="A50" t="str">
        <f>Froto!A50</f>
        <v xml:space="preserve">  Diğer Borçlar</v>
      </c>
      <c r="B50" s="6">
        <f>'Çeyreklik Veriler'!B50+'Çeyreklik Veriler'!C50+'Çeyreklik Veriler'!D50+'Çeyreklik Veriler'!E50</f>
        <v>0</v>
      </c>
      <c r="C50" s="6">
        <f>'Çeyreklik Veriler'!C50+'Çeyreklik Veriler'!D50+'Çeyreklik Veriler'!E50+'Çeyreklik Veriler'!F50</f>
        <v>0</v>
      </c>
      <c r="D50" s="6">
        <f>'Çeyreklik Veriler'!D50+'Çeyreklik Veriler'!E50+'Çeyreklik Veriler'!F50+'Çeyreklik Veriler'!G50</f>
        <v>0</v>
      </c>
      <c r="E50" s="6">
        <f>'Çeyreklik Veriler'!E50+'Çeyreklik Veriler'!F50+'Çeyreklik Veriler'!G50+'Çeyreklik Veriler'!H50</f>
        <v>0</v>
      </c>
      <c r="F50" s="6">
        <f>'Çeyreklik Veriler'!F50+'Çeyreklik Veriler'!G50+'Çeyreklik Veriler'!H50+'Çeyreklik Veriler'!I50</f>
        <v>0</v>
      </c>
      <c r="G50" s="6">
        <f>'Çeyreklik Veriler'!G50+'Çeyreklik Veriler'!H50+'Çeyreklik Veriler'!I50+'Çeyreklik Veriler'!J50</f>
        <v>0</v>
      </c>
      <c r="H50" s="6">
        <f>'Çeyreklik Veriler'!H50+'Çeyreklik Veriler'!I50+'Çeyreklik Veriler'!J50+'Çeyreklik Veriler'!K50</f>
        <v>0</v>
      </c>
      <c r="I50" s="6">
        <f>'Çeyreklik Veriler'!I50+'Çeyreklik Veriler'!J50+'Çeyreklik Veriler'!K50+'Çeyreklik Veriler'!L50</f>
        <v>0</v>
      </c>
      <c r="J50" s="6">
        <f>'Çeyreklik Veriler'!J50+'Çeyreklik Veriler'!K50+'Çeyreklik Veriler'!L50+'Çeyreklik Veriler'!M50</f>
        <v>0</v>
      </c>
      <c r="K50" s="6">
        <f>'Çeyreklik Veriler'!K50+'Çeyreklik Veriler'!L50+'Çeyreklik Veriler'!M50+'Çeyreklik Veriler'!N50</f>
        <v>0</v>
      </c>
      <c r="L50" s="6">
        <f>'Çeyreklik Veriler'!L50+'Çeyreklik Veriler'!M50+'Çeyreklik Veriler'!N50+'Çeyreklik Veriler'!O50</f>
        <v>0</v>
      </c>
      <c r="M50" s="6">
        <f>'Çeyreklik Veriler'!M50+'Çeyreklik Veriler'!N50+'Çeyreklik Veriler'!O50+'Çeyreklik Veriler'!P50</f>
        <v>0</v>
      </c>
      <c r="N50" s="6">
        <f>'Çeyreklik Veriler'!N50+'Çeyreklik Veriler'!O50+'Çeyreklik Veriler'!P50+'Çeyreklik Veriler'!Q50</f>
        <v>0</v>
      </c>
      <c r="O50" s="6">
        <f>'Çeyreklik Veriler'!O50+'Çeyreklik Veriler'!P50+'Çeyreklik Veriler'!Q50+'Çeyreklik Veriler'!R50</f>
        <v>0</v>
      </c>
      <c r="P50" s="6">
        <f>'Çeyreklik Veriler'!P50+'Çeyreklik Veriler'!Q50+'Çeyreklik Veriler'!R50+'Çeyreklik Veriler'!S50</f>
        <v>0</v>
      </c>
      <c r="Q50" s="6">
        <f>'Çeyreklik Veriler'!Q50+'Çeyreklik Veriler'!R50+'Çeyreklik Veriler'!S50+'Çeyreklik Veriler'!T50</f>
        <v>0</v>
      </c>
      <c r="R50" s="6">
        <f>'Çeyreklik Veriler'!R50+'Çeyreklik Veriler'!S50+'Çeyreklik Veriler'!T50+'Çeyreklik Veriler'!U50</f>
        <v>0</v>
      </c>
    </row>
    <row r="51" spans="1:18" x14ac:dyDescent="0.25">
      <c r="A51" t="str">
        <f>Froto!A51</f>
        <v xml:space="preserve">  Müşteri Söz.Doğan Yük.</v>
      </c>
      <c r="B51" s="6">
        <f>'Çeyreklik Veriler'!B51+'Çeyreklik Veriler'!C51+'Çeyreklik Veriler'!D51+'Çeyreklik Veriler'!E51</f>
        <v>0</v>
      </c>
      <c r="C51" s="6">
        <f>'Çeyreklik Veriler'!C51+'Çeyreklik Veriler'!D51+'Çeyreklik Veriler'!E51+'Çeyreklik Veriler'!F51</f>
        <v>0</v>
      </c>
      <c r="D51" s="6">
        <f>'Çeyreklik Veriler'!D51+'Çeyreklik Veriler'!E51+'Çeyreklik Veriler'!F51+'Çeyreklik Veriler'!G51</f>
        <v>0</v>
      </c>
      <c r="E51" s="6">
        <f>'Çeyreklik Veriler'!E51+'Çeyreklik Veriler'!F51+'Çeyreklik Veriler'!G51+'Çeyreklik Veriler'!H51</f>
        <v>0</v>
      </c>
      <c r="F51" s="6">
        <f>'Çeyreklik Veriler'!F51+'Çeyreklik Veriler'!G51+'Çeyreklik Veriler'!H51+'Çeyreklik Veriler'!I51</f>
        <v>0</v>
      </c>
      <c r="G51" s="6">
        <f>'Çeyreklik Veriler'!G51+'Çeyreklik Veriler'!H51+'Çeyreklik Veriler'!I51+'Çeyreklik Veriler'!J51</f>
        <v>0</v>
      </c>
      <c r="H51" s="6">
        <f>'Çeyreklik Veriler'!H51+'Çeyreklik Veriler'!I51+'Çeyreklik Veriler'!J51+'Çeyreklik Veriler'!K51</f>
        <v>0</v>
      </c>
      <c r="I51" s="6">
        <f>'Çeyreklik Veriler'!I51+'Çeyreklik Veriler'!J51+'Çeyreklik Veriler'!K51+'Çeyreklik Veriler'!L51</f>
        <v>0</v>
      </c>
      <c r="J51" s="6">
        <f>'Çeyreklik Veriler'!J51+'Çeyreklik Veriler'!K51+'Çeyreklik Veriler'!L51+'Çeyreklik Veriler'!M51</f>
        <v>0</v>
      </c>
      <c r="K51" s="6">
        <f>'Çeyreklik Veriler'!K51+'Çeyreklik Veriler'!L51+'Çeyreklik Veriler'!M51+'Çeyreklik Veriler'!N51</f>
        <v>0</v>
      </c>
      <c r="L51" s="6">
        <f>'Çeyreklik Veriler'!L51+'Çeyreklik Veriler'!M51+'Çeyreklik Veriler'!N51+'Çeyreklik Veriler'!O51</f>
        <v>0</v>
      </c>
      <c r="M51" s="6">
        <f>'Çeyreklik Veriler'!M51+'Çeyreklik Veriler'!N51+'Çeyreklik Veriler'!O51+'Çeyreklik Veriler'!P51</f>
        <v>0</v>
      </c>
      <c r="N51" s="6">
        <f>'Çeyreklik Veriler'!N51+'Çeyreklik Veriler'!O51+'Çeyreklik Veriler'!P51+'Çeyreklik Veriler'!Q51</f>
        <v>0</v>
      </c>
      <c r="O51" s="6">
        <f>'Çeyreklik Veriler'!O51+'Çeyreklik Veriler'!P51+'Çeyreklik Veriler'!Q51+'Çeyreklik Veriler'!R51</f>
        <v>0</v>
      </c>
      <c r="P51" s="6">
        <f>'Çeyreklik Veriler'!P51+'Çeyreklik Veriler'!Q51+'Çeyreklik Veriler'!R51+'Çeyreklik Veriler'!S51</f>
        <v>0</v>
      </c>
      <c r="Q51" s="6">
        <f>'Çeyreklik Veriler'!Q51+'Çeyreklik Veriler'!R51+'Çeyreklik Veriler'!S51+'Çeyreklik Veriler'!T51</f>
        <v>0</v>
      </c>
      <c r="R51" s="6">
        <f>'Çeyreklik Veriler'!R51+'Çeyreklik Veriler'!S51+'Çeyreklik Veriler'!T51+'Çeyreklik Veriler'!U51</f>
        <v>0</v>
      </c>
    </row>
    <row r="52" spans="1:18" x14ac:dyDescent="0.25">
      <c r="A52" t="str">
        <f>Froto!A52</f>
        <v xml:space="preserve">  Finans Sektörü Faaliyetlerinden Borçlar</v>
      </c>
      <c r="B52" s="6">
        <f>'Çeyreklik Veriler'!B52+'Çeyreklik Veriler'!C52+'Çeyreklik Veriler'!D52+'Çeyreklik Veriler'!E52</f>
        <v>0</v>
      </c>
      <c r="C52" s="6">
        <f>'Çeyreklik Veriler'!C52+'Çeyreklik Veriler'!D52+'Çeyreklik Veriler'!E52+'Çeyreklik Veriler'!F52</f>
        <v>0</v>
      </c>
      <c r="D52" s="6">
        <f>'Çeyreklik Veriler'!D52+'Çeyreklik Veriler'!E52+'Çeyreklik Veriler'!F52+'Çeyreklik Veriler'!G52</f>
        <v>0</v>
      </c>
      <c r="E52" s="6">
        <f>'Çeyreklik Veriler'!E52+'Çeyreklik Veriler'!F52+'Çeyreklik Veriler'!G52+'Çeyreklik Veriler'!H52</f>
        <v>0</v>
      </c>
      <c r="F52" s="6">
        <f>'Çeyreklik Veriler'!F52+'Çeyreklik Veriler'!G52+'Çeyreklik Veriler'!H52+'Çeyreklik Veriler'!I52</f>
        <v>0</v>
      </c>
      <c r="G52" s="6">
        <f>'Çeyreklik Veriler'!G52+'Çeyreklik Veriler'!H52+'Çeyreklik Veriler'!I52+'Çeyreklik Veriler'!J52</f>
        <v>0</v>
      </c>
      <c r="H52" s="6">
        <f>'Çeyreklik Veriler'!H52+'Çeyreklik Veriler'!I52+'Çeyreklik Veriler'!J52+'Çeyreklik Veriler'!K52</f>
        <v>0</v>
      </c>
      <c r="I52" s="6">
        <f>'Çeyreklik Veriler'!I52+'Çeyreklik Veriler'!J52+'Çeyreklik Veriler'!K52+'Çeyreklik Veriler'!L52</f>
        <v>0</v>
      </c>
      <c r="J52" s="6">
        <f>'Çeyreklik Veriler'!J52+'Çeyreklik Veriler'!K52+'Çeyreklik Veriler'!L52+'Çeyreklik Veriler'!M52</f>
        <v>0</v>
      </c>
      <c r="K52" s="6">
        <f>'Çeyreklik Veriler'!K52+'Çeyreklik Veriler'!L52+'Çeyreklik Veriler'!M52+'Çeyreklik Veriler'!N52</f>
        <v>0</v>
      </c>
      <c r="L52" s="6">
        <f>'Çeyreklik Veriler'!L52+'Çeyreklik Veriler'!M52+'Çeyreklik Veriler'!N52+'Çeyreklik Veriler'!O52</f>
        <v>0</v>
      </c>
      <c r="M52" s="6">
        <f>'Çeyreklik Veriler'!M52+'Çeyreklik Veriler'!N52+'Çeyreklik Veriler'!O52+'Çeyreklik Veriler'!P52</f>
        <v>0</v>
      </c>
      <c r="N52" s="6">
        <f>'Çeyreklik Veriler'!N52+'Çeyreklik Veriler'!O52+'Çeyreklik Veriler'!P52+'Çeyreklik Veriler'!Q52</f>
        <v>0</v>
      </c>
      <c r="O52" s="6">
        <f>'Çeyreklik Veriler'!O52+'Çeyreklik Veriler'!P52+'Çeyreklik Veriler'!Q52+'Çeyreklik Veriler'!R52</f>
        <v>0</v>
      </c>
      <c r="P52" s="6">
        <f>'Çeyreklik Veriler'!P52+'Çeyreklik Veriler'!Q52+'Çeyreklik Veriler'!R52+'Çeyreklik Veriler'!S52</f>
        <v>0</v>
      </c>
      <c r="Q52" s="6">
        <f>'Çeyreklik Veriler'!Q52+'Çeyreklik Veriler'!R52+'Çeyreklik Veriler'!S52+'Çeyreklik Veriler'!T52</f>
        <v>0</v>
      </c>
      <c r="R52" s="6">
        <f>'Çeyreklik Veriler'!R52+'Çeyreklik Veriler'!S52+'Çeyreklik Veriler'!T52+'Çeyreklik Veriler'!U52</f>
        <v>0</v>
      </c>
    </row>
    <row r="53" spans="1:18" x14ac:dyDescent="0.25">
      <c r="A53" t="str">
        <f>Froto!A53</f>
        <v xml:space="preserve">  Devlet Teşvik ve Yardımları</v>
      </c>
      <c r="B53" s="6">
        <f>'Çeyreklik Veriler'!B53+'Çeyreklik Veriler'!C53+'Çeyreklik Veriler'!D53+'Çeyreklik Veriler'!E53</f>
        <v>0</v>
      </c>
      <c r="C53" s="6">
        <f>'Çeyreklik Veriler'!C53+'Çeyreklik Veriler'!D53+'Çeyreklik Veriler'!E53+'Çeyreklik Veriler'!F53</f>
        <v>0</v>
      </c>
      <c r="D53" s="6">
        <f>'Çeyreklik Veriler'!D53+'Çeyreklik Veriler'!E53+'Çeyreklik Veriler'!F53+'Çeyreklik Veriler'!G53</f>
        <v>0</v>
      </c>
      <c r="E53" s="6">
        <f>'Çeyreklik Veriler'!E53+'Çeyreklik Veriler'!F53+'Çeyreklik Veriler'!G53+'Çeyreklik Veriler'!H53</f>
        <v>0</v>
      </c>
      <c r="F53" s="6">
        <f>'Çeyreklik Veriler'!F53+'Çeyreklik Veriler'!G53+'Çeyreklik Veriler'!H53+'Çeyreklik Veriler'!I53</f>
        <v>0</v>
      </c>
      <c r="G53" s="6">
        <f>'Çeyreklik Veriler'!G53+'Çeyreklik Veriler'!H53+'Çeyreklik Veriler'!I53+'Çeyreklik Veriler'!J53</f>
        <v>0</v>
      </c>
      <c r="H53" s="6">
        <f>'Çeyreklik Veriler'!H53+'Çeyreklik Veriler'!I53+'Çeyreklik Veriler'!J53+'Çeyreklik Veriler'!K53</f>
        <v>0</v>
      </c>
      <c r="I53" s="6">
        <f>'Çeyreklik Veriler'!I53+'Çeyreklik Veriler'!J53+'Çeyreklik Veriler'!K53+'Çeyreklik Veriler'!L53</f>
        <v>0</v>
      </c>
      <c r="J53" s="6">
        <f>'Çeyreklik Veriler'!J53+'Çeyreklik Veriler'!K53+'Çeyreklik Veriler'!L53+'Çeyreklik Veriler'!M53</f>
        <v>0</v>
      </c>
      <c r="K53" s="6">
        <f>'Çeyreklik Veriler'!K53+'Çeyreklik Veriler'!L53+'Çeyreklik Veriler'!M53+'Çeyreklik Veriler'!N53</f>
        <v>0</v>
      </c>
      <c r="L53" s="6">
        <f>'Çeyreklik Veriler'!L53+'Çeyreklik Veriler'!M53+'Çeyreklik Veriler'!N53+'Çeyreklik Veriler'!O53</f>
        <v>0</v>
      </c>
      <c r="M53" s="6">
        <f>'Çeyreklik Veriler'!M53+'Çeyreklik Veriler'!N53+'Çeyreklik Veriler'!O53+'Çeyreklik Veriler'!P53</f>
        <v>0</v>
      </c>
      <c r="N53" s="6">
        <f>'Çeyreklik Veriler'!N53+'Çeyreklik Veriler'!O53+'Çeyreklik Veriler'!P53+'Çeyreklik Veriler'!Q53</f>
        <v>0</v>
      </c>
      <c r="O53" s="6">
        <f>'Çeyreklik Veriler'!O53+'Çeyreklik Veriler'!P53+'Çeyreklik Veriler'!Q53+'Çeyreklik Veriler'!R53</f>
        <v>0</v>
      </c>
      <c r="P53" s="6">
        <f>'Çeyreklik Veriler'!P53+'Çeyreklik Veriler'!Q53+'Çeyreklik Veriler'!R53+'Çeyreklik Veriler'!S53</f>
        <v>0</v>
      </c>
      <c r="Q53" s="6">
        <f>'Çeyreklik Veriler'!Q53+'Çeyreklik Veriler'!R53+'Çeyreklik Veriler'!S53+'Çeyreklik Veriler'!T53</f>
        <v>0</v>
      </c>
      <c r="R53" s="6">
        <f>'Çeyreklik Veriler'!R53+'Çeyreklik Veriler'!S53+'Çeyreklik Veriler'!T53+'Çeyreklik Veriler'!U53</f>
        <v>0</v>
      </c>
    </row>
    <row r="54" spans="1:18" x14ac:dyDescent="0.25">
      <c r="A54" t="str">
        <f>Froto!A54</f>
        <v xml:space="preserve">  Ertelenmiş Gelirler (Müşteri Söz.Doğan Yük. Dış.Kal.)</v>
      </c>
      <c r="B54" s="6">
        <f>'Çeyreklik Veriler'!B54+'Çeyreklik Veriler'!C54+'Çeyreklik Veriler'!D54+'Çeyreklik Veriler'!E54</f>
        <v>493991000</v>
      </c>
      <c r="C54" s="6">
        <f>'Çeyreklik Veriler'!C54+'Çeyreklik Veriler'!D54+'Çeyreklik Veriler'!E54+'Çeyreklik Veriler'!F54</f>
        <v>425774000</v>
      </c>
      <c r="D54" s="6">
        <f>'Çeyreklik Veriler'!D54+'Çeyreklik Veriler'!E54+'Çeyreklik Veriler'!F54+'Çeyreklik Veriler'!G54</f>
        <v>114247000</v>
      </c>
      <c r="E54" s="6">
        <f>'Çeyreklik Veriler'!E54+'Çeyreklik Veriler'!F54+'Çeyreklik Veriler'!G54+'Çeyreklik Veriler'!H54</f>
        <v>117949000</v>
      </c>
      <c r="F54" s="6">
        <f>'Çeyreklik Veriler'!F54+'Çeyreklik Veriler'!G54+'Çeyreklik Veriler'!H54+'Çeyreklik Veriler'!I54</f>
        <v>63183000</v>
      </c>
      <c r="G54" s="6">
        <f>'Çeyreklik Veriler'!G54+'Çeyreklik Veriler'!H54+'Çeyreklik Veriler'!I54+'Çeyreklik Veriler'!J54</f>
        <v>45203000</v>
      </c>
      <c r="H54" s="6">
        <f>'Çeyreklik Veriler'!H54+'Çeyreklik Veriler'!I54+'Çeyreklik Veriler'!J54+'Çeyreklik Veriler'!K54</f>
        <v>44140000</v>
      </c>
      <c r="I54" s="6">
        <f>'Çeyreklik Veriler'!I54+'Çeyreklik Veriler'!J54+'Çeyreklik Veriler'!K54+'Çeyreklik Veriler'!L54</f>
        <v>39512000</v>
      </c>
      <c r="J54" s="6">
        <f>'Çeyreklik Veriler'!J54+'Çeyreklik Veriler'!K54+'Çeyreklik Veriler'!L54+'Çeyreklik Veriler'!M54</f>
        <v>22040000</v>
      </c>
      <c r="K54" s="6">
        <f>'Çeyreklik Veriler'!K54+'Çeyreklik Veriler'!L54+'Çeyreklik Veriler'!M54+'Çeyreklik Veriler'!N54</f>
        <v>17634000</v>
      </c>
      <c r="L54" s="6">
        <f>'Çeyreklik Veriler'!L54+'Çeyreklik Veriler'!M54+'Çeyreklik Veriler'!N54+'Çeyreklik Veriler'!O54</f>
        <v>16756000</v>
      </c>
      <c r="M54" s="6">
        <f>'Çeyreklik Veriler'!M54+'Çeyreklik Veriler'!N54+'Çeyreklik Veriler'!O54+'Çeyreklik Veriler'!P54</f>
        <v>15172000</v>
      </c>
      <c r="N54" s="6">
        <f>'Çeyreklik Veriler'!N54+'Çeyreklik Veriler'!O54+'Çeyreklik Veriler'!P54+'Çeyreklik Veriler'!Q54</f>
        <v>10838000</v>
      </c>
      <c r="O54" s="6">
        <f>'Çeyreklik Veriler'!O54+'Çeyreklik Veriler'!P54+'Çeyreklik Veriler'!Q54+'Çeyreklik Veriler'!R54</f>
        <v>15342000</v>
      </c>
      <c r="P54" s="6">
        <f>'Çeyreklik Veriler'!P54+'Çeyreklik Veriler'!Q54+'Çeyreklik Veriler'!R54+'Çeyreklik Veriler'!S54</f>
        <v>14634000</v>
      </c>
      <c r="Q54" s="6">
        <f>'Çeyreklik Veriler'!Q54+'Çeyreklik Veriler'!R54+'Çeyreklik Veriler'!S54+'Çeyreklik Veriler'!T54</f>
        <v>15320000</v>
      </c>
      <c r="R54" s="6">
        <f>'Çeyreklik Veriler'!R54+'Çeyreklik Veriler'!S54+'Çeyreklik Veriler'!T54+'Çeyreklik Veriler'!U54</f>
        <v>7479000</v>
      </c>
    </row>
    <row r="55" spans="1:18" x14ac:dyDescent="0.25">
      <c r="A55" t="str">
        <f>Froto!A55</f>
        <v xml:space="preserve">    Uzun vadeli karşılıklar</v>
      </c>
      <c r="B55" s="6">
        <f>'Çeyreklik Veriler'!B55+'Çeyreklik Veriler'!C55+'Çeyreklik Veriler'!D55+'Çeyreklik Veriler'!E55</f>
        <v>2677072000</v>
      </c>
      <c r="C55" s="6">
        <f>'Çeyreklik Veriler'!C55+'Çeyreklik Veriler'!D55+'Çeyreklik Veriler'!E55+'Çeyreklik Veriler'!F55</f>
        <v>1756990000</v>
      </c>
      <c r="D55" s="6">
        <f>'Çeyreklik Veriler'!D55+'Çeyreklik Veriler'!E55+'Çeyreklik Veriler'!F55+'Çeyreklik Veriler'!G55</f>
        <v>1619846000</v>
      </c>
      <c r="E55" s="6">
        <f>'Çeyreklik Veriler'!E55+'Çeyreklik Veriler'!F55+'Çeyreklik Veriler'!G55+'Çeyreklik Veriler'!H55</f>
        <v>1346130000</v>
      </c>
      <c r="F55" s="6">
        <f>'Çeyreklik Veriler'!F55+'Çeyreklik Veriler'!G55+'Çeyreklik Veriler'!H55+'Çeyreklik Veriler'!I55</f>
        <v>984515000</v>
      </c>
      <c r="G55" s="6">
        <f>'Çeyreklik Veriler'!G55+'Çeyreklik Veriler'!H55+'Çeyreklik Veriler'!I55+'Çeyreklik Veriler'!J55</f>
        <v>817290000</v>
      </c>
      <c r="H55" s="6">
        <f>'Çeyreklik Veriler'!H55+'Çeyreklik Veriler'!I55+'Çeyreklik Veriler'!J55+'Çeyreklik Veriler'!K55</f>
        <v>859808000</v>
      </c>
      <c r="I55" s="6">
        <f>'Çeyreklik Veriler'!I55+'Çeyreklik Veriler'!J55+'Çeyreklik Veriler'!K55+'Çeyreklik Veriler'!L55</f>
        <v>879049000</v>
      </c>
      <c r="J55" s="6">
        <f>'Çeyreklik Veriler'!J55+'Çeyreklik Veriler'!K55+'Çeyreklik Veriler'!L55+'Çeyreklik Veriler'!M55</f>
        <v>634511000</v>
      </c>
      <c r="K55" s="6">
        <f>'Çeyreklik Veriler'!K55+'Çeyreklik Veriler'!L55+'Çeyreklik Veriler'!M55+'Çeyreklik Veriler'!N55</f>
        <v>643639000</v>
      </c>
      <c r="L55" s="6">
        <f>'Çeyreklik Veriler'!L55+'Çeyreklik Veriler'!M55+'Çeyreklik Veriler'!N55+'Çeyreklik Veriler'!O55</f>
        <v>589341000</v>
      </c>
      <c r="M55" s="6">
        <f>'Çeyreklik Veriler'!M55+'Çeyreklik Veriler'!N55+'Çeyreklik Veriler'!O55+'Çeyreklik Veriler'!P55</f>
        <v>570758000</v>
      </c>
      <c r="N55" s="6">
        <f>'Çeyreklik Veriler'!N55+'Çeyreklik Veriler'!O55+'Çeyreklik Veriler'!P55+'Çeyreklik Veriler'!Q55</f>
        <v>462624000</v>
      </c>
      <c r="O55" s="6">
        <f>'Çeyreklik Veriler'!O55+'Çeyreklik Veriler'!P55+'Çeyreklik Veriler'!Q55+'Çeyreklik Veriler'!R55</f>
        <v>355162000</v>
      </c>
      <c r="P55" s="6">
        <f>'Çeyreklik Veriler'!P55+'Çeyreklik Veriler'!Q55+'Çeyreklik Veriler'!R55+'Çeyreklik Veriler'!S55</f>
        <v>346727000</v>
      </c>
      <c r="Q55" s="6">
        <f>'Çeyreklik Veriler'!Q55+'Çeyreklik Veriler'!R55+'Çeyreklik Veriler'!S55+'Çeyreklik Veriler'!T55</f>
        <v>329395000</v>
      </c>
      <c r="R55" s="6">
        <f>'Çeyreklik Veriler'!R55+'Çeyreklik Veriler'!S55+'Çeyreklik Veriler'!T55+'Çeyreklik Veriler'!U55</f>
        <v>333048000</v>
      </c>
    </row>
    <row r="56" spans="1:18" x14ac:dyDescent="0.25">
      <c r="A56" t="str">
        <f>Froto!A56</f>
        <v xml:space="preserve">  Çalışanlara Sağlanan Faydalara İliş.Karş.</v>
      </c>
      <c r="B56" s="6">
        <f>'Çeyreklik Veriler'!B56+'Çeyreklik Veriler'!C56+'Çeyreklik Veriler'!D56+'Çeyreklik Veriler'!E56</f>
        <v>0</v>
      </c>
      <c r="C56" s="6">
        <f>'Çeyreklik Veriler'!C56+'Çeyreklik Veriler'!D56+'Çeyreklik Veriler'!E56+'Çeyreklik Veriler'!F56</f>
        <v>0</v>
      </c>
      <c r="D56" s="6">
        <f>'Çeyreklik Veriler'!D56+'Çeyreklik Veriler'!E56+'Çeyreklik Veriler'!F56+'Çeyreklik Veriler'!G56</f>
        <v>0</v>
      </c>
      <c r="E56" s="6">
        <f>'Çeyreklik Veriler'!E56+'Çeyreklik Veriler'!F56+'Çeyreklik Veriler'!G56+'Çeyreklik Veriler'!H56</f>
        <v>0</v>
      </c>
      <c r="F56" s="6">
        <f>'Çeyreklik Veriler'!F56+'Çeyreklik Veriler'!G56+'Çeyreklik Veriler'!H56+'Çeyreklik Veriler'!I56</f>
        <v>0</v>
      </c>
      <c r="G56" s="6">
        <f>'Çeyreklik Veriler'!G56+'Çeyreklik Veriler'!H56+'Çeyreklik Veriler'!I56+'Çeyreklik Veriler'!J56</f>
        <v>0</v>
      </c>
      <c r="H56" s="6">
        <f>'Çeyreklik Veriler'!H56+'Çeyreklik Veriler'!I56+'Çeyreklik Veriler'!J56+'Çeyreklik Veriler'!K56</f>
        <v>0</v>
      </c>
      <c r="I56" s="6">
        <f>'Çeyreklik Veriler'!I56+'Çeyreklik Veriler'!J56+'Çeyreklik Veriler'!K56+'Çeyreklik Veriler'!L56</f>
        <v>0</v>
      </c>
      <c r="J56" s="6">
        <f>'Çeyreklik Veriler'!J56+'Çeyreklik Veriler'!K56+'Çeyreklik Veriler'!L56+'Çeyreklik Veriler'!M56</f>
        <v>0</v>
      </c>
      <c r="K56" s="6">
        <f>'Çeyreklik Veriler'!K56+'Çeyreklik Veriler'!L56+'Çeyreklik Veriler'!M56+'Çeyreklik Veriler'!N56</f>
        <v>0</v>
      </c>
      <c r="L56" s="6">
        <f>'Çeyreklik Veriler'!L56+'Çeyreklik Veriler'!M56+'Çeyreklik Veriler'!N56+'Çeyreklik Veriler'!O56</f>
        <v>0</v>
      </c>
      <c r="M56" s="6">
        <f>'Çeyreklik Veriler'!M56+'Çeyreklik Veriler'!N56+'Çeyreklik Veriler'!O56+'Çeyreklik Veriler'!P56</f>
        <v>0</v>
      </c>
      <c r="N56" s="6">
        <f>'Çeyreklik Veriler'!N56+'Çeyreklik Veriler'!O56+'Çeyreklik Veriler'!P56+'Çeyreklik Veriler'!Q56</f>
        <v>0</v>
      </c>
      <c r="O56" s="6">
        <f>'Çeyreklik Veriler'!O56+'Çeyreklik Veriler'!P56+'Çeyreklik Veriler'!Q56+'Çeyreklik Veriler'!R56</f>
        <v>0</v>
      </c>
      <c r="P56" s="6">
        <f>'Çeyreklik Veriler'!P56+'Çeyreklik Veriler'!Q56+'Çeyreklik Veriler'!R56+'Çeyreklik Veriler'!S56</f>
        <v>0</v>
      </c>
      <c r="Q56" s="6">
        <f>'Çeyreklik Veriler'!Q56+'Çeyreklik Veriler'!R56+'Çeyreklik Veriler'!S56+'Çeyreklik Veriler'!T56</f>
        <v>0</v>
      </c>
      <c r="R56" s="6">
        <f>'Çeyreklik Veriler'!R56+'Çeyreklik Veriler'!S56+'Çeyreklik Veriler'!T56+'Çeyreklik Veriler'!U56</f>
        <v>0</v>
      </c>
    </row>
    <row r="57" spans="1:18" x14ac:dyDescent="0.25">
      <c r="A57" t="str">
        <f>Froto!A57</f>
        <v xml:space="preserve">  Ertelenmiş Vergi Yükümlülüğü</v>
      </c>
      <c r="B57" s="6">
        <f>'Çeyreklik Veriler'!B57+'Çeyreklik Veriler'!C57+'Çeyreklik Veriler'!D57+'Çeyreklik Veriler'!E57</f>
        <v>567819000</v>
      </c>
      <c r="C57" s="6">
        <f>'Çeyreklik Veriler'!C57+'Çeyreklik Veriler'!D57+'Çeyreklik Veriler'!E57+'Çeyreklik Veriler'!F57</f>
        <v>0</v>
      </c>
      <c r="D57" s="6">
        <f>'Çeyreklik Veriler'!D57+'Çeyreklik Veriler'!E57+'Çeyreklik Veriler'!F57+'Çeyreklik Veriler'!G57</f>
        <v>0</v>
      </c>
      <c r="E57" s="6">
        <f>'Çeyreklik Veriler'!E57+'Çeyreklik Veriler'!F57+'Çeyreklik Veriler'!G57+'Çeyreklik Veriler'!H57</f>
        <v>0</v>
      </c>
      <c r="F57" s="6">
        <f>'Çeyreklik Veriler'!F57+'Çeyreklik Veriler'!G57+'Çeyreklik Veriler'!H57+'Çeyreklik Veriler'!I57</f>
        <v>0</v>
      </c>
      <c r="G57" s="6">
        <f>'Çeyreklik Veriler'!G57+'Çeyreklik Veriler'!H57+'Çeyreklik Veriler'!I57+'Çeyreklik Veriler'!J57</f>
        <v>0</v>
      </c>
      <c r="H57" s="6">
        <f>'Çeyreklik Veriler'!H57+'Çeyreklik Veriler'!I57+'Çeyreklik Veriler'!J57+'Çeyreklik Veriler'!K57</f>
        <v>0</v>
      </c>
      <c r="I57" s="6">
        <f>'Çeyreklik Veriler'!I57+'Çeyreklik Veriler'!J57+'Çeyreklik Veriler'!K57+'Çeyreklik Veriler'!L57</f>
        <v>0</v>
      </c>
      <c r="J57" s="6">
        <f>'Çeyreklik Veriler'!J57+'Çeyreklik Veriler'!K57+'Çeyreklik Veriler'!L57+'Çeyreklik Veriler'!M57</f>
        <v>0</v>
      </c>
      <c r="K57" s="6">
        <f>'Çeyreklik Veriler'!K57+'Çeyreklik Veriler'!L57+'Çeyreklik Veriler'!M57+'Çeyreklik Veriler'!N57</f>
        <v>0</v>
      </c>
      <c r="L57" s="6">
        <f>'Çeyreklik Veriler'!L57+'Çeyreklik Veriler'!M57+'Çeyreklik Veriler'!N57+'Çeyreklik Veriler'!O57</f>
        <v>0</v>
      </c>
      <c r="M57" s="6">
        <f>'Çeyreklik Veriler'!M57+'Çeyreklik Veriler'!N57+'Çeyreklik Veriler'!O57+'Çeyreklik Veriler'!P57</f>
        <v>0</v>
      </c>
      <c r="N57" s="6">
        <f>'Çeyreklik Veriler'!N57+'Çeyreklik Veriler'!O57+'Çeyreklik Veriler'!P57+'Çeyreklik Veriler'!Q57</f>
        <v>0</v>
      </c>
      <c r="O57" s="6">
        <f>'Çeyreklik Veriler'!O57+'Çeyreklik Veriler'!P57+'Çeyreklik Veriler'!Q57+'Çeyreklik Veriler'!R57</f>
        <v>0</v>
      </c>
      <c r="P57" s="6">
        <f>'Çeyreklik Veriler'!P57+'Çeyreklik Veriler'!Q57+'Çeyreklik Veriler'!R57+'Çeyreklik Veriler'!S57</f>
        <v>0</v>
      </c>
      <c r="Q57" s="6">
        <f>'Çeyreklik Veriler'!Q57+'Çeyreklik Veriler'!R57+'Çeyreklik Veriler'!S57+'Çeyreklik Veriler'!T57</f>
        <v>0</v>
      </c>
      <c r="R57" s="6">
        <f>'Çeyreklik Veriler'!R57+'Çeyreklik Veriler'!S57+'Çeyreklik Veriler'!T57+'Çeyreklik Veriler'!U57</f>
        <v>0</v>
      </c>
    </row>
    <row r="58" spans="1:18" x14ac:dyDescent="0.25">
      <c r="A58" t="str">
        <f>Froto!A58</f>
        <v xml:space="preserve">  Diğer Uzun Vadeli Yükümlülükler</v>
      </c>
      <c r="B58" s="6">
        <f>'Çeyreklik Veriler'!B58+'Çeyreklik Veriler'!C58+'Çeyreklik Veriler'!D58+'Çeyreklik Veriler'!E58</f>
        <v>5439000</v>
      </c>
      <c r="C58" s="6">
        <f>'Çeyreklik Veriler'!C58+'Çeyreklik Veriler'!D58+'Çeyreklik Veriler'!E58+'Çeyreklik Veriler'!F58</f>
        <v>6918000</v>
      </c>
      <c r="D58" s="6">
        <f>'Çeyreklik Veriler'!D58+'Çeyreklik Veriler'!E58+'Çeyreklik Veriler'!F58+'Çeyreklik Veriler'!G58</f>
        <v>10398000</v>
      </c>
      <c r="E58" s="6">
        <f>'Çeyreklik Veriler'!E58+'Çeyreklik Veriler'!F58+'Çeyreklik Veriler'!G58+'Çeyreklik Veriler'!H58</f>
        <v>7969000</v>
      </c>
      <c r="F58" s="6">
        <f>'Çeyreklik Veriler'!F58+'Çeyreklik Veriler'!G58+'Çeyreklik Veriler'!H58+'Çeyreklik Veriler'!I58</f>
        <v>15165000</v>
      </c>
      <c r="G58" s="6">
        <f>'Çeyreklik Veriler'!G58+'Çeyreklik Veriler'!H58+'Çeyreklik Veriler'!I58+'Çeyreklik Veriler'!J58</f>
        <v>-6333000</v>
      </c>
      <c r="H58" s="6">
        <f>'Çeyreklik Veriler'!H58+'Çeyreklik Veriler'!I58+'Çeyreklik Veriler'!J58+'Çeyreklik Veriler'!K58</f>
        <v>-31204000</v>
      </c>
      <c r="I58" s="6">
        <f>'Çeyreklik Veriler'!I58+'Çeyreklik Veriler'!J58+'Çeyreklik Veriler'!K58+'Çeyreklik Veriler'!L58</f>
        <v>-24982000</v>
      </c>
      <c r="J58" s="6">
        <f>'Çeyreklik Veriler'!J58+'Çeyreklik Veriler'!K58+'Çeyreklik Veriler'!L58+'Çeyreklik Veriler'!M58</f>
        <v>19952000</v>
      </c>
      <c r="K58" s="6">
        <f>'Çeyreklik Veriler'!K58+'Çeyreklik Veriler'!L58+'Çeyreklik Veriler'!M58+'Çeyreklik Veriler'!N58</f>
        <v>53602000</v>
      </c>
      <c r="L58" s="6">
        <f>'Çeyreklik Veriler'!L58+'Çeyreklik Veriler'!M58+'Çeyreklik Veriler'!N58+'Çeyreklik Veriler'!O58</f>
        <v>85703000</v>
      </c>
      <c r="M58" s="6">
        <f>'Çeyreklik Veriler'!M58+'Çeyreklik Veriler'!N58+'Çeyreklik Veriler'!O58+'Çeyreklik Veriler'!P58</f>
        <v>75729000</v>
      </c>
      <c r="N58" s="6">
        <f>'Çeyreklik Veriler'!N58+'Çeyreklik Veriler'!O58+'Çeyreklik Veriler'!P58+'Çeyreklik Veriler'!Q58</f>
        <v>62682000</v>
      </c>
      <c r="O58" s="6">
        <f>'Çeyreklik Veriler'!O58+'Çeyreklik Veriler'!P58+'Çeyreklik Veriler'!Q58+'Çeyreklik Veriler'!R58</f>
        <v>15694000</v>
      </c>
      <c r="P58" s="6">
        <f>'Çeyreklik Veriler'!P58+'Çeyreklik Veriler'!Q58+'Çeyreklik Veriler'!R58+'Çeyreklik Veriler'!S58</f>
        <v>18393000</v>
      </c>
      <c r="Q58" s="6">
        <f>'Çeyreklik Veriler'!Q58+'Çeyreklik Veriler'!R58+'Çeyreklik Veriler'!S58+'Çeyreklik Veriler'!T58</f>
        <v>-21461000</v>
      </c>
      <c r="R58" s="6">
        <f>'Çeyreklik Veriler'!R58+'Çeyreklik Veriler'!S58+'Çeyreklik Veriler'!T58+'Çeyreklik Veriler'!U58</f>
        <v>52508000</v>
      </c>
    </row>
    <row r="59" spans="1:18" x14ac:dyDescent="0.25">
      <c r="A59" t="str">
        <f>Froto!A59</f>
        <v>Özkaynaklar</v>
      </c>
      <c r="B59" s="6">
        <f>'Çeyreklik Veriler'!B59+'Çeyreklik Veriler'!C59+'Çeyreklik Veriler'!D59+'Çeyreklik Veriler'!E59</f>
        <v>21402174000</v>
      </c>
      <c r="C59" s="6">
        <f>'Çeyreklik Veriler'!C59+'Çeyreklik Veriler'!D59+'Çeyreklik Veriler'!E59+'Çeyreklik Veriler'!F59</f>
        <v>16783433000</v>
      </c>
      <c r="D59" s="6">
        <f>'Çeyreklik Veriler'!D59+'Çeyreklik Veriler'!E59+'Çeyreklik Veriler'!F59+'Çeyreklik Veriler'!G59</f>
        <v>14841384000</v>
      </c>
      <c r="E59" s="6">
        <f>'Çeyreklik Veriler'!E59+'Çeyreklik Veriler'!F59+'Çeyreklik Veriler'!G59+'Çeyreklik Veriler'!H59</f>
        <v>12395269000</v>
      </c>
      <c r="F59" s="6">
        <f>'Çeyreklik Veriler'!F59+'Çeyreklik Veriler'!G59+'Çeyreklik Veriler'!H59+'Çeyreklik Veriler'!I59</f>
        <v>10148538000</v>
      </c>
      <c r="G59" s="6">
        <f>'Çeyreklik Veriler'!G59+'Çeyreklik Veriler'!H59+'Çeyreklik Veriler'!I59+'Çeyreklik Veriler'!J59</f>
        <v>11274937000</v>
      </c>
      <c r="H59" s="6">
        <f>'Çeyreklik Veriler'!H59+'Çeyreklik Veriler'!I59+'Çeyreklik Veriler'!J59+'Çeyreklik Veriler'!K59</f>
        <v>9869822000</v>
      </c>
      <c r="I59" s="6">
        <f>'Çeyreklik Veriler'!I59+'Çeyreklik Veriler'!J59+'Çeyreklik Veriler'!K59+'Çeyreklik Veriler'!L59</f>
        <v>9074969000</v>
      </c>
      <c r="J59" s="6">
        <f>'Çeyreklik Veriler'!J59+'Çeyreklik Veriler'!K59+'Çeyreklik Veriler'!L59+'Çeyreklik Veriler'!M59</f>
        <v>7043902000</v>
      </c>
      <c r="K59" s="6">
        <f>'Çeyreklik Veriler'!K59+'Çeyreklik Veriler'!L59+'Çeyreklik Veriler'!M59+'Çeyreklik Veriler'!N59</f>
        <v>4820299000</v>
      </c>
      <c r="L59" s="6">
        <f>'Çeyreklik Veriler'!L59+'Çeyreklik Veriler'!M59+'Çeyreklik Veriler'!N59+'Çeyreklik Veriler'!O59</f>
        <v>4861828000</v>
      </c>
      <c r="M59" s="6">
        <f>'Çeyreklik Veriler'!M59+'Çeyreklik Veriler'!N59+'Çeyreklik Veriler'!O59+'Çeyreklik Veriler'!P59</f>
        <v>5190941000</v>
      </c>
      <c r="N59" s="6">
        <f>'Çeyreklik Veriler'!N59+'Çeyreklik Veriler'!O59+'Çeyreklik Veriler'!P59+'Çeyreklik Veriler'!Q59</f>
        <v>4664921000</v>
      </c>
      <c r="O59" s="6">
        <f>'Çeyreklik Veriler'!O59+'Çeyreklik Veriler'!P59+'Çeyreklik Veriler'!Q59+'Çeyreklik Veriler'!R59</f>
        <v>5090567000</v>
      </c>
      <c r="P59" s="6">
        <f>'Çeyreklik Veriler'!P59+'Çeyreklik Veriler'!Q59+'Çeyreklik Veriler'!R59+'Çeyreklik Veriler'!S59</f>
        <v>4245015000</v>
      </c>
      <c r="Q59" s="6">
        <f>'Çeyreklik Veriler'!Q59+'Çeyreklik Veriler'!R59+'Çeyreklik Veriler'!S59+'Çeyreklik Veriler'!T59</f>
        <v>4157089000</v>
      </c>
      <c r="R59" s="6">
        <f>'Çeyreklik Veriler'!R59+'Çeyreklik Veriler'!S59+'Çeyreklik Veriler'!T59+'Çeyreklik Veriler'!U59</f>
        <v>3893239000</v>
      </c>
    </row>
    <row r="60" spans="1:18" x14ac:dyDescent="0.25">
      <c r="A60" t="str">
        <f>Froto!A60</f>
        <v xml:space="preserve">  Ana Ortaklığa Ait Özkaynaklar</v>
      </c>
      <c r="B60" s="6">
        <f>'Çeyreklik Veriler'!B60+'Çeyreklik Veriler'!C60+'Çeyreklik Veriler'!D60+'Çeyreklik Veriler'!E60</f>
        <v>21402174000</v>
      </c>
      <c r="C60" s="6">
        <f>'Çeyreklik Veriler'!C60+'Çeyreklik Veriler'!D60+'Çeyreklik Veriler'!E60+'Çeyreklik Veriler'!F60</f>
        <v>16783433000</v>
      </c>
      <c r="D60" s="6">
        <f>'Çeyreklik Veriler'!D60+'Çeyreklik Veriler'!E60+'Çeyreklik Veriler'!F60+'Çeyreklik Veriler'!G60</f>
        <v>14841384000</v>
      </c>
      <c r="E60" s="6">
        <f>'Çeyreklik Veriler'!E60+'Çeyreklik Veriler'!F60+'Çeyreklik Veriler'!G60+'Çeyreklik Veriler'!H60</f>
        <v>12395269000</v>
      </c>
      <c r="F60" s="6">
        <f>'Çeyreklik Veriler'!F60+'Çeyreklik Veriler'!G60+'Çeyreklik Veriler'!H60+'Çeyreklik Veriler'!I60</f>
        <v>10148538000</v>
      </c>
      <c r="G60" s="6">
        <f>'Çeyreklik Veriler'!G60+'Çeyreklik Veriler'!H60+'Çeyreklik Veriler'!I60+'Çeyreklik Veriler'!J60</f>
        <v>11274937000</v>
      </c>
      <c r="H60" s="6">
        <f>'Çeyreklik Veriler'!H60+'Çeyreklik Veriler'!I60+'Çeyreklik Veriler'!J60+'Çeyreklik Veriler'!K60</f>
        <v>9869822000</v>
      </c>
      <c r="I60" s="6">
        <f>'Çeyreklik Veriler'!I60+'Çeyreklik Veriler'!J60+'Çeyreklik Veriler'!K60+'Çeyreklik Veriler'!L60</f>
        <v>9074969000</v>
      </c>
      <c r="J60" s="6">
        <f>'Çeyreklik Veriler'!J60+'Çeyreklik Veriler'!K60+'Çeyreklik Veriler'!L60+'Çeyreklik Veriler'!M60</f>
        <v>7043902000</v>
      </c>
      <c r="K60" s="6">
        <f>'Çeyreklik Veriler'!K60+'Çeyreklik Veriler'!L60+'Çeyreklik Veriler'!M60+'Çeyreklik Veriler'!N60</f>
        <v>4820299000</v>
      </c>
      <c r="L60" s="6">
        <f>'Çeyreklik Veriler'!L60+'Çeyreklik Veriler'!M60+'Çeyreklik Veriler'!N60+'Çeyreklik Veriler'!O60</f>
        <v>4861828000</v>
      </c>
      <c r="M60" s="6">
        <f>'Çeyreklik Veriler'!M60+'Çeyreklik Veriler'!N60+'Çeyreklik Veriler'!O60+'Çeyreklik Veriler'!P60</f>
        <v>5190941000</v>
      </c>
      <c r="N60" s="6">
        <f>'Çeyreklik Veriler'!N60+'Çeyreklik Veriler'!O60+'Çeyreklik Veriler'!P60+'Çeyreklik Veriler'!Q60</f>
        <v>4664921000</v>
      </c>
      <c r="O60" s="6">
        <f>'Çeyreklik Veriler'!O60+'Çeyreklik Veriler'!P60+'Çeyreklik Veriler'!Q60+'Çeyreklik Veriler'!R60</f>
        <v>5090567000</v>
      </c>
      <c r="P60" s="6">
        <f>'Çeyreklik Veriler'!P60+'Çeyreklik Veriler'!Q60+'Çeyreklik Veriler'!R60+'Çeyreklik Veriler'!S60</f>
        <v>4245015000</v>
      </c>
      <c r="Q60" s="6">
        <f>'Çeyreklik Veriler'!Q60+'Çeyreklik Veriler'!R60+'Çeyreklik Veriler'!S60+'Çeyreklik Veriler'!T60</f>
        <v>4157089000</v>
      </c>
      <c r="R60" s="6">
        <f>'Çeyreklik Veriler'!R60+'Çeyreklik Veriler'!S60+'Çeyreklik Veriler'!T60+'Çeyreklik Veriler'!U60</f>
        <v>3893239000</v>
      </c>
    </row>
    <row r="61" spans="1:18" x14ac:dyDescent="0.25">
      <c r="A61" t="str">
        <f>Froto!A61</f>
        <v xml:space="preserve">  Ödenmiş Sermaye</v>
      </c>
      <c r="B61" s="6">
        <f>'Çeyreklik Veriler'!B61+'Çeyreklik Veriler'!C61+'Çeyreklik Veriler'!D61+'Çeyreklik Veriler'!E61</f>
        <v>350910000</v>
      </c>
      <c r="C61" s="6">
        <f>'Çeyreklik Veriler'!C61+'Çeyreklik Veriler'!D61+'Çeyreklik Veriler'!E61+'Çeyreklik Veriler'!F61</f>
        <v>350910000</v>
      </c>
      <c r="D61" s="6">
        <f>'Çeyreklik Veriler'!D61+'Çeyreklik Veriler'!E61+'Çeyreklik Veriler'!F61+'Çeyreklik Veriler'!G61</f>
        <v>350910000</v>
      </c>
      <c r="E61" s="6">
        <f>'Çeyreklik Veriler'!E61+'Çeyreklik Veriler'!F61+'Çeyreklik Veriler'!G61+'Çeyreklik Veriler'!H61</f>
        <v>350910000</v>
      </c>
      <c r="F61" s="6">
        <f>'Çeyreklik Veriler'!F61+'Çeyreklik Veriler'!G61+'Çeyreklik Veriler'!H61+'Çeyreklik Veriler'!I61</f>
        <v>350910000</v>
      </c>
      <c r="G61" s="6">
        <f>'Çeyreklik Veriler'!G61+'Çeyreklik Veriler'!H61+'Çeyreklik Veriler'!I61+'Çeyreklik Veriler'!J61</f>
        <v>350910000</v>
      </c>
      <c r="H61" s="6">
        <f>'Çeyreklik Veriler'!H61+'Çeyreklik Veriler'!I61+'Çeyreklik Veriler'!J61+'Çeyreklik Veriler'!K61</f>
        <v>350910000</v>
      </c>
      <c r="I61" s="6">
        <f>'Çeyreklik Veriler'!I61+'Çeyreklik Veriler'!J61+'Çeyreklik Veriler'!K61+'Çeyreklik Veriler'!L61</f>
        <v>350910000</v>
      </c>
      <c r="J61" s="6">
        <f>'Çeyreklik Veriler'!J61+'Çeyreklik Veriler'!K61+'Çeyreklik Veriler'!L61+'Çeyreklik Veriler'!M61</f>
        <v>350910000</v>
      </c>
      <c r="K61" s="6">
        <f>'Çeyreklik Veriler'!K61+'Çeyreklik Veriler'!L61+'Çeyreklik Veriler'!M61+'Çeyreklik Veriler'!N61</f>
        <v>350910000</v>
      </c>
      <c r="L61" s="6">
        <f>'Çeyreklik Veriler'!L61+'Çeyreklik Veriler'!M61+'Çeyreklik Veriler'!N61+'Çeyreklik Veriler'!O61</f>
        <v>350910000</v>
      </c>
      <c r="M61" s="6">
        <f>'Çeyreklik Veriler'!M61+'Çeyreklik Veriler'!N61+'Çeyreklik Veriler'!O61+'Çeyreklik Veriler'!P61</f>
        <v>350910000</v>
      </c>
      <c r="N61" s="6">
        <f>'Çeyreklik Veriler'!N61+'Çeyreklik Veriler'!O61+'Çeyreklik Veriler'!P61+'Çeyreklik Veriler'!Q61</f>
        <v>350910000</v>
      </c>
      <c r="O61" s="6">
        <f>'Çeyreklik Veriler'!O61+'Çeyreklik Veriler'!P61+'Çeyreklik Veriler'!Q61+'Çeyreklik Veriler'!R61</f>
        <v>350910000</v>
      </c>
      <c r="P61" s="6">
        <f>'Çeyreklik Veriler'!P61+'Çeyreklik Veriler'!Q61+'Çeyreklik Veriler'!R61+'Çeyreklik Veriler'!S61</f>
        <v>350910000</v>
      </c>
      <c r="Q61" s="6">
        <f>'Çeyreklik Veriler'!Q61+'Çeyreklik Veriler'!R61+'Çeyreklik Veriler'!S61+'Çeyreklik Veriler'!T61</f>
        <v>350910000</v>
      </c>
      <c r="R61" s="6">
        <f>'Çeyreklik Veriler'!R61+'Çeyreklik Veriler'!S61+'Çeyreklik Veriler'!T61+'Çeyreklik Veriler'!U61</f>
        <v>350910000</v>
      </c>
    </row>
    <row r="62" spans="1:18" x14ac:dyDescent="0.25">
      <c r="A62" t="str">
        <f>Froto!A62</f>
        <v xml:space="preserve">  Karşılıklı İştirak Sermayesi Düzeltmesi (-)</v>
      </c>
      <c r="B62" s="6">
        <f>'Çeyreklik Veriler'!B62+'Çeyreklik Veriler'!C62+'Çeyreklik Veriler'!D62+'Çeyreklik Veriler'!E62</f>
        <v>0</v>
      </c>
      <c r="C62" s="6">
        <f>'Çeyreklik Veriler'!C62+'Çeyreklik Veriler'!D62+'Çeyreklik Veriler'!E62+'Çeyreklik Veriler'!F62</f>
        <v>0</v>
      </c>
      <c r="D62" s="6">
        <f>'Çeyreklik Veriler'!D62+'Çeyreklik Veriler'!E62+'Çeyreklik Veriler'!F62+'Çeyreklik Veriler'!G62</f>
        <v>0</v>
      </c>
      <c r="E62" s="6">
        <f>'Çeyreklik Veriler'!E62+'Çeyreklik Veriler'!F62+'Çeyreklik Veriler'!G62+'Çeyreklik Veriler'!H62</f>
        <v>0</v>
      </c>
      <c r="F62" s="6">
        <f>'Çeyreklik Veriler'!F62+'Çeyreklik Veriler'!G62+'Çeyreklik Veriler'!H62+'Çeyreklik Veriler'!I62</f>
        <v>0</v>
      </c>
      <c r="G62" s="6">
        <f>'Çeyreklik Veriler'!G62+'Çeyreklik Veriler'!H62+'Çeyreklik Veriler'!I62+'Çeyreklik Veriler'!J62</f>
        <v>0</v>
      </c>
      <c r="H62" s="6">
        <f>'Çeyreklik Veriler'!H62+'Çeyreklik Veriler'!I62+'Çeyreklik Veriler'!J62+'Çeyreklik Veriler'!K62</f>
        <v>0</v>
      </c>
      <c r="I62" s="6">
        <f>'Çeyreklik Veriler'!I62+'Çeyreklik Veriler'!J62+'Çeyreklik Veriler'!K62+'Çeyreklik Veriler'!L62</f>
        <v>0</v>
      </c>
      <c r="J62" s="6">
        <f>'Çeyreklik Veriler'!J62+'Çeyreklik Veriler'!K62+'Çeyreklik Veriler'!L62+'Çeyreklik Veriler'!M62</f>
        <v>0</v>
      </c>
      <c r="K62" s="6">
        <f>'Çeyreklik Veriler'!K62+'Çeyreklik Veriler'!L62+'Çeyreklik Veriler'!M62+'Çeyreklik Veriler'!N62</f>
        <v>0</v>
      </c>
      <c r="L62" s="6">
        <f>'Çeyreklik Veriler'!L62+'Çeyreklik Veriler'!M62+'Çeyreklik Veriler'!N62+'Çeyreklik Veriler'!O62</f>
        <v>0</v>
      </c>
      <c r="M62" s="6">
        <f>'Çeyreklik Veriler'!M62+'Çeyreklik Veriler'!N62+'Çeyreklik Veriler'!O62+'Çeyreklik Veriler'!P62</f>
        <v>0</v>
      </c>
      <c r="N62" s="6">
        <f>'Çeyreklik Veriler'!N62+'Çeyreklik Veriler'!O62+'Çeyreklik Veriler'!P62+'Çeyreklik Veriler'!Q62</f>
        <v>0</v>
      </c>
      <c r="O62" s="6">
        <f>'Çeyreklik Veriler'!O62+'Çeyreklik Veriler'!P62+'Çeyreklik Veriler'!Q62+'Çeyreklik Veriler'!R62</f>
        <v>0</v>
      </c>
      <c r="P62" s="6">
        <f>'Çeyreklik Veriler'!P62+'Çeyreklik Veriler'!Q62+'Çeyreklik Veriler'!R62+'Çeyreklik Veriler'!S62</f>
        <v>0</v>
      </c>
      <c r="Q62" s="6">
        <f>'Çeyreklik Veriler'!Q62+'Çeyreklik Veriler'!R62+'Çeyreklik Veriler'!S62+'Çeyreklik Veriler'!T62</f>
        <v>0</v>
      </c>
      <c r="R62" s="6">
        <f>'Çeyreklik Veriler'!R62+'Çeyreklik Veriler'!S62+'Çeyreklik Veriler'!T62+'Çeyreklik Veriler'!U62</f>
        <v>0</v>
      </c>
    </row>
    <row r="63" spans="1:18" x14ac:dyDescent="0.25">
      <c r="A63" t="str">
        <f>Froto!A63</f>
        <v xml:space="preserve">  Hisse Senedi İhraç Primleri</v>
      </c>
      <c r="B63" s="6">
        <f>'Çeyreklik Veriler'!B63+'Çeyreklik Veriler'!C63+'Çeyreklik Veriler'!D63+'Çeyreklik Veriler'!E63</f>
        <v>8000</v>
      </c>
      <c r="C63" s="6">
        <f>'Çeyreklik Veriler'!C63+'Çeyreklik Veriler'!D63+'Çeyreklik Veriler'!E63+'Çeyreklik Veriler'!F63</f>
        <v>16000</v>
      </c>
      <c r="D63" s="6">
        <f>'Çeyreklik Veriler'!D63+'Çeyreklik Veriler'!E63+'Çeyreklik Veriler'!F63+'Çeyreklik Veriler'!G63</f>
        <v>16000</v>
      </c>
      <c r="E63" s="6">
        <f>'Çeyreklik Veriler'!E63+'Çeyreklik Veriler'!F63+'Çeyreklik Veriler'!G63+'Çeyreklik Veriler'!H63</f>
        <v>8000</v>
      </c>
      <c r="F63" s="6">
        <f>'Çeyreklik Veriler'!F63+'Çeyreklik Veriler'!G63+'Çeyreklik Veriler'!H63+'Çeyreklik Veriler'!I63</f>
        <v>8000</v>
      </c>
      <c r="G63" s="6">
        <f>'Çeyreklik Veriler'!G63+'Çeyreklik Veriler'!H63+'Çeyreklik Veriler'!I63+'Çeyreklik Veriler'!J63</f>
        <v>0</v>
      </c>
      <c r="H63" s="6">
        <f>'Çeyreklik Veriler'!H63+'Çeyreklik Veriler'!I63+'Çeyreklik Veriler'!J63+'Çeyreklik Veriler'!K63</f>
        <v>8000</v>
      </c>
      <c r="I63" s="6">
        <f>'Çeyreklik Veriler'!I63+'Çeyreklik Veriler'!J63+'Çeyreklik Veriler'!K63+'Çeyreklik Veriler'!L63</f>
        <v>0</v>
      </c>
      <c r="J63" s="6">
        <f>'Çeyreklik Veriler'!J63+'Çeyreklik Veriler'!K63+'Çeyreklik Veriler'!L63+'Çeyreklik Veriler'!M63</f>
        <v>8000</v>
      </c>
      <c r="K63" s="6">
        <f>'Çeyreklik Veriler'!K63+'Çeyreklik Veriler'!L63+'Çeyreklik Veriler'!M63+'Çeyreklik Veriler'!N63</f>
        <v>8000</v>
      </c>
      <c r="L63" s="6">
        <f>'Çeyreklik Veriler'!L63+'Çeyreklik Veriler'!M63+'Çeyreklik Veriler'!N63+'Çeyreklik Veriler'!O63</f>
        <v>0</v>
      </c>
      <c r="M63" s="6">
        <f>'Çeyreklik Veriler'!M63+'Çeyreklik Veriler'!N63+'Çeyreklik Veriler'!O63+'Çeyreklik Veriler'!P63</f>
        <v>8000</v>
      </c>
      <c r="N63" s="6">
        <f>'Çeyreklik Veriler'!N63+'Çeyreklik Veriler'!O63+'Çeyreklik Veriler'!P63+'Çeyreklik Veriler'!Q63</f>
        <v>8000</v>
      </c>
      <c r="O63" s="6">
        <f>'Çeyreklik Veriler'!O63+'Çeyreklik Veriler'!P63+'Çeyreklik Veriler'!Q63+'Çeyreklik Veriler'!R63</f>
        <v>16000</v>
      </c>
      <c r="P63" s="6">
        <f>'Çeyreklik Veriler'!P63+'Çeyreklik Veriler'!Q63+'Çeyreklik Veriler'!R63+'Çeyreklik Veriler'!S63</f>
        <v>16000</v>
      </c>
      <c r="Q63" s="6">
        <f>'Çeyreklik Veriler'!Q63+'Çeyreklik Veriler'!R63+'Çeyreklik Veriler'!S63+'Çeyreklik Veriler'!T63</f>
        <v>8000</v>
      </c>
      <c r="R63" s="6">
        <f>'Çeyreklik Veriler'!R63+'Çeyreklik Veriler'!S63+'Çeyreklik Veriler'!T63+'Çeyreklik Veriler'!U63</f>
        <v>8000</v>
      </c>
    </row>
    <row r="64" spans="1:18" x14ac:dyDescent="0.25">
      <c r="A64" t="str">
        <f>Froto!A64</f>
        <v xml:space="preserve">  Değer Artış Fonları</v>
      </c>
      <c r="B64" s="6">
        <f>'Çeyreklik Veriler'!B64+'Çeyreklik Veriler'!C64+'Çeyreklik Veriler'!D64+'Çeyreklik Veriler'!E64</f>
        <v>0</v>
      </c>
      <c r="C64" s="6">
        <f>'Çeyreklik Veriler'!C64+'Çeyreklik Veriler'!D64+'Çeyreklik Veriler'!E64+'Çeyreklik Veriler'!F64</f>
        <v>0</v>
      </c>
      <c r="D64" s="6">
        <f>'Çeyreklik Veriler'!D64+'Çeyreklik Veriler'!E64+'Çeyreklik Veriler'!F64+'Çeyreklik Veriler'!G64</f>
        <v>0</v>
      </c>
      <c r="E64" s="6">
        <f>'Çeyreklik Veriler'!E64+'Çeyreklik Veriler'!F64+'Çeyreklik Veriler'!G64+'Çeyreklik Veriler'!H64</f>
        <v>0</v>
      </c>
      <c r="F64" s="6">
        <f>'Çeyreklik Veriler'!F64+'Çeyreklik Veriler'!G64+'Çeyreklik Veriler'!H64+'Çeyreklik Veriler'!I64</f>
        <v>0</v>
      </c>
      <c r="G64" s="6">
        <f>'Çeyreklik Veriler'!G64+'Çeyreklik Veriler'!H64+'Çeyreklik Veriler'!I64+'Çeyreklik Veriler'!J64</f>
        <v>0</v>
      </c>
      <c r="H64" s="6">
        <f>'Çeyreklik Veriler'!H64+'Çeyreklik Veriler'!I64+'Çeyreklik Veriler'!J64+'Çeyreklik Veriler'!K64</f>
        <v>0</v>
      </c>
      <c r="I64" s="6">
        <f>'Çeyreklik Veriler'!I64+'Çeyreklik Veriler'!J64+'Çeyreklik Veriler'!K64+'Çeyreklik Veriler'!L64</f>
        <v>0</v>
      </c>
      <c r="J64" s="6">
        <f>'Çeyreklik Veriler'!J64+'Çeyreklik Veriler'!K64+'Çeyreklik Veriler'!L64+'Çeyreklik Veriler'!M64</f>
        <v>0</v>
      </c>
      <c r="K64" s="6">
        <f>'Çeyreklik Veriler'!K64+'Çeyreklik Veriler'!L64+'Çeyreklik Veriler'!M64+'Çeyreklik Veriler'!N64</f>
        <v>0</v>
      </c>
      <c r="L64" s="6">
        <f>'Çeyreklik Veriler'!L64+'Çeyreklik Veriler'!M64+'Çeyreklik Veriler'!N64+'Çeyreklik Veriler'!O64</f>
        <v>0</v>
      </c>
      <c r="M64" s="6">
        <f>'Çeyreklik Veriler'!M64+'Çeyreklik Veriler'!N64+'Çeyreklik Veriler'!O64+'Çeyreklik Veriler'!P64</f>
        <v>0</v>
      </c>
      <c r="N64" s="6">
        <f>'Çeyreklik Veriler'!N64+'Çeyreklik Veriler'!O64+'Çeyreklik Veriler'!P64+'Çeyreklik Veriler'!Q64</f>
        <v>0</v>
      </c>
      <c r="O64" s="6">
        <f>'Çeyreklik Veriler'!O64+'Çeyreklik Veriler'!P64+'Çeyreklik Veriler'!Q64+'Çeyreklik Veriler'!R64</f>
        <v>0</v>
      </c>
      <c r="P64" s="6">
        <f>'Çeyreklik Veriler'!P64+'Çeyreklik Veriler'!Q64+'Çeyreklik Veriler'!R64+'Çeyreklik Veriler'!S64</f>
        <v>0</v>
      </c>
      <c r="Q64" s="6">
        <f>'Çeyreklik Veriler'!Q64+'Çeyreklik Veriler'!R64+'Çeyreklik Veriler'!S64+'Çeyreklik Veriler'!T64</f>
        <v>0</v>
      </c>
      <c r="R64" s="6">
        <f>'Çeyreklik Veriler'!R64+'Çeyreklik Veriler'!S64+'Çeyreklik Veriler'!T64+'Çeyreklik Veriler'!U64</f>
        <v>0</v>
      </c>
    </row>
    <row r="65" spans="1:18" x14ac:dyDescent="0.25">
      <c r="A65" t="str">
        <f>Froto!A65</f>
        <v xml:space="preserve">  Yabancı Para Çevrim Farkları</v>
      </c>
      <c r="B65" s="6">
        <f>'Çeyreklik Veriler'!B65+'Çeyreklik Veriler'!C65+'Çeyreklik Veriler'!D65+'Çeyreklik Veriler'!E65</f>
        <v>1674943000</v>
      </c>
      <c r="C65" s="6">
        <f>'Çeyreklik Veriler'!C65+'Çeyreklik Veriler'!D65+'Çeyreklik Veriler'!E65+'Çeyreklik Veriler'!F65</f>
        <v>230249000</v>
      </c>
      <c r="D65" s="6">
        <f>'Çeyreklik Veriler'!D65+'Çeyreklik Veriler'!E65+'Çeyreklik Veriler'!F65+'Çeyreklik Veriler'!G65</f>
        <v>0</v>
      </c>
      <c r="E65" s="6">
        <f>'Çeyreklik Veriler'!E65+'Çeyreklik Veriler'!F65+'Çeyreklik Veriler'!G65+'Çeyreklik Veriler'!H65</f>
        <v>0</v>
      </c>
      <c r="F65" s="6">
        <f>'Çeyreklik Veriler'!F65+'Çeyreklik Veriler'!G65+'Çeyreklik Veriler'!H65+'Çeyreklik Veriler'!I65</f>
        <v>0</v>
      </c>
      <c r="G65" s="6">
        <f>'Çeyreklik Veriler'!G65+'Çeyreklik Veriler'!H65+'Çeyreklik Veriler'!I65+'Çeyreklik Veriler'!J65</f>
        <v>0</v>
      </c>
      <c r="H65" s="6">
        <f>'Çeyreklik Veriler'!H65+'Çeyreklik Veriler'!I65+'Çeyreklik Veriler'!J65+'Çeyreklik Veriler'!K65</f>
        <v>0</v>
      </c>
      <c r="I65" s="6">
        <f>'Çeyreklik Veriler'!I65+'Çeyreklik Veriler'!J65+'Çeyreklik Veriler'!K65+'Çeyreklik Veriler'!L65</f>
        <v>0</v>
      </c>
      <c r="J65" s="6">
        <f>'Çeyreklik Veriler'!J65+'Çeyreklik Veriler'!K65+'Çeyreklik Veriler'!L65+'Çeyreklik Veriler'!M65</f>
        <v>0</v>
      </c>
      <c r="K65" s="6">
        <f>'Çeyreklik Veriler'!K65+'Çeyreklik Veriler'!L65+'Çeyreklik Veriler'!M65+'Çeyreklik Veriler'!N65</f>
        <v>0</v>
      </c>
      <c r="L65" s="6">
        <f>'Çeyreklik Veriler'!L65+'Çeyreklik Veriler'!M65+'Çeyreklik Veriler'!N65+'Çeyreklik Veriler'!O65</f>
        <v>0</v>
      </c>
      <c r="M65" s="6">
        <f>'Çeyreklik Veriler'!M65+'Çeyreklik Veriler'!N65+'Çeyreklik Veriler'!O65+'Çeyreklik Veriler'!P65</f>
        <v>0</v>
      </c>
      <c r="N65" s="6">
        <f>'Çeyreklik Veriler'!N65+'Çeyreklik Veriler'!O65+'Çeyreklik Veriler'!P65+'Çeyreklik Veriler'!Q65</f>
        <v>0</v>
      </c>
      <c r="O65" s="6">
        <f>'Çeyreklik Veriler'!O65+'Çeyreklik Veriler'!P65+'Çeyreklik Veriler'!Q65+'Çeyreklik Veriler'!R65</f>
        <v>0</v>
      </c>
      <c r="P65" s="6">
        <f>'Çeyreklik Veriler'!P65+'Çeyreklik Veriler'!Q65+'Çeyreklik Veriler'!R65+'Çeyreklik Veriler'!S65</f>
        <v>0</v>
      </c>
      <c r="Q65" s="6">
        <f>'Çeyreklik Veriler'!Q65+'Çeyreklik Veriler'!R65+'Çeyreklik Veriler'!S65+'Çeyreklik Veriler'!T65</f>
        <v>0</v>
      </c>
      <c r="R65" s="6">
        <f>'Çeyreklik Veriler'!R65+'Çeyreklik Veriler'!S65+'Çeyreklik Veriler'!T65+'Çeyreklik Veriler'!U65</f>
        <v>0</v>
      </c>
    </row>
    <row r="66" spans="1:18" x14ac:dyDescent="0.25">
      <c r="A66" t="str">
        <f>Froto!A66</f>
        <v xml:space="preserve">  Kardan Ayrılan Kısıtlanmış Yedekler</v>
      </c>
      <c r="B66" s="6">
        <f>'Çeyreklik Veriler'!B66+'Çeyreklik Veriler'!C66+'Çeyreklik Veriler'!D66+'Çeyreklik Veriler'!E66</f>
        <v>1420763000</v>
      </c>
      <c r="C66" s="6">
        <f>'Çeyreklik Veriler'!C66+'Çeyreklik Veriler'!D66+'Çeyreklik Veriler'!E66+'Çeyreklik Veriler'!F66</f>
        <v>1353037000</v>
      </c>
      <c r="D66" s="6">
        <f>'Çeyreklik Veriler'!D66+'Çeyreklik Veriler'!E66+'Çeyreklik Veriler'!F66+'Çeyreklik Veriler'!G66</f>
        <v>1353037000</v>
      </c>
      <c r="E66" s="6">
        <f>'Çeyreklik Veriler'!E66+'Çeyreklik Veriler'!F66+'Çeyreklik Veriler'!G66+'Çeyreklik Veriler'!H66</f>
        <v>1353037000</v>
      </c>
      <c r="F66" s="6">
        <f>'Çeyreklik Veriler'!F66+'Çeyreklik Veriler'!G66+'Çeyreklik Veriler'!H66+'Çeyreklik Veriler'!I66</f>
        <v>766316000</v>
      </c>
      <c r="G66" s="6">
        <f>'Çeyreklik Veriler'!G66+'Çeyreklik Veriler'!H66+'Çeyreklik Veriler'!I66+'Çeyreklik Veriler'!J66</f>
        <v>634023000</v>
      </c>
      <c r="H66" s="6">
        <f>'Çeyreklik Veriler'!H66+'Çeyreklik Veriler'!I66+'Çeyreklik Veriler'!J66+'Çeyreklik Veriler'!K66</f>
        <v>634023000</v>
      </c>
      <c r="I66" s="6">
        <f>'Çeyreklik Veriler'!I66+'Çeyreklik Veriler'!J66+'Çeyreklik Veriler'!K66+'Çeyreklik Veriler'!L66</f>
        <v>634023000</v>
      </c>
      <c r="J66" s="6">
        <f>'Çeyreklik Veriler'!J66+'Çeyreklik Veriler'!K66+'Çeyreklik Veriler'!L66+'Çeyreklik Veriler'!M66</f>
        <v>410493000</v>
      </c>
      <c r="K66" s="6">
        <f>'Çeyreklik Veriler'!K66+'Çeyreklik Veriler'!L66+'Çeyreklik Veriler'!M66+'Çeyreklik Veriler'!N66</f>
        <v>259141000</v>
      </c>
      <c r="L66" s="6">
        <f>'Çeyreklik Veriler'!L66+'Çeyreklik Veriler'!M66+'Çeyreklik Veriler'!N66+'Çeyreklik Veriler'!O66</f>
        <v>259141000</v>
      </c>
      <c r="M66" s="6">
        <f>'Çeyreklik Veriler'!M66+'Çeyreklik Veriler'!N66+'Çeyreklik Veriler'!O66+'Çeyreklik Veriler'!P66</f>
        <v>259141000</v>
      </c>
      <c r="N66" s="6">
        <f>'Çeyreklik Veriler'!N66+'Çeyreklik Veriler'!O66+'Çeyreklik Veriler'!P66+'Çeyreklik Veriler'!Q66</f>
        <v>302764000</v>
      </c>
      <c r="O66" s="6">
        <f>'Çeyreklik Veriler'!O66+'Çeyreklik Veriler'!P66+'Çeyreklik Veriler'!Q66+'Çeyreklik Veriler'!R66</f>
        <v>492058000</v>
      </c>
      <c r="P66" s="6">
        <f>'Çeyreklik Veriler'!P66+'Çeyreklik Veriler'!Q66+'Çeyreklik Veriler'!R66+'Çeyreklik Veriler'!S66</f>
        <v>492058000</v>
      </c>
      <c r="Q66" s="6">
        <f>'Çeyreklik Veriler'!Q66+'Çeyreklik Veriler'!R66+'Çeyreklik Veriler'!S66+'Çeyreklik Veriler'!T66</f>
        <v>492058000</v>
      </c>
      <c r="R66" s="6">
        <f>'Çeyreklik Veriler'!R66+'Çeyreklik Veriler'!S66+'Çeyreklik Veriler'!T66+'Çeyreklik Veriler'!U66</f>
        <v>370599000</v>
      </c>
    </row>
    <row r="67" spans="1:18" x14ac:dyDescent="0.25">
      <c r="A67" t="str">
        <f>Froto!A67</f>
        <v xml:space="preserve">  Geçmiş Yıllar Kar/Zararları</v>
      </c>
      <c r="B67" s="6">
        <f>'Çeyreklik Veriler'!B67+'Çeyreklik Veriler'!C67+'Çeyreklik Veriler'!D67+'Çeyreklik Veriler'!E67</f>
        <v>5057387000</v>
      </c>
      <c r="C67" s="6">
        <f>'Çeyreklik Veriler'!C67+'Çeyreklik Veriler'!D67+'Çeyreklik Veriler'!E67+'Çeyreklik Veriler'!F67</f>
        <v>5802369000</v>
      </c>
      <c r="D67" s="6">
        <f>'Çeyreklik Veriler'!D67+'Çeyreklik Veriler'!E67+'Çeyreklik Veriler'!F67+'Çeyreklik Veriler'!G67</f>
        <v>5802369000</v>
      </c>
      <c r="E67" s="6">
        <f>'Çeyreklik Veriler'!E67+'Çeyreklik Veriler'!F67+'Çeyreklik Veriler'!G67+'Çeyreklik Veriler'!H67</f>
        <v>5812769000</v>
      </c>
      <c r="F67" s="6">
        <f>'Çeyreklik Veriler'!F67+'Çeyreklik Veriler'!G67+'Çeyreklik Veriler'!H67+'Çeyreklik Veriler'!I67</f>
        <v>3472846000</v>
      </c>
      <c r="G67" s="6">
        <f>'Çeyreklik Veriler'!G67+'Çeyreklik Veriler'!H67+'Çeyreklik Veriler'!I67+'Çeyreklik Veriler'!J67</f>
        <v>4928070000</v>
      </c>
      <c r="H67" s="6">
        <f>'Çeyreklik Veriler'!H67+'Çeyreklik Veriler'!I67+'Çeyreklik Veriler'!J67+'Çeyreklik Veriler'!K67</f>
        <v>4928070000</v>
      </c>
      <c r="I67" s="6">
        <f>'Çeyreklik Veriler'!I67+'Çeyreklik Veriler'!J67+'Çeyreklik Veriler'!K67+'Çeyreklik Veriler'!L67</f>
        <v>4917670000</v>
      </c>
      <c r="J67" s="6">
        <f>'Çeyreklik Veriler'!J67+'Çeyreklik Veriler'!K67+'Çeyreklik Veriler'!L67+'Çeyreklik Veriler'!M67</f>
        <v>3467929000</v>
      </c>
      <c r="K67" s="6">
        <f>'Çeyreklik Veriler'!K67+'Çeyreklik Veriler'!L67+'Çeyreklik Veriler'!M67+'Çeyreklik Veriler'!N67</f>
        <v>3187661000</v>
      </c>
      <c r="L67" s="6">
        <f>'Çeyreklik Veriler'!L67+'Çeyreklik Veriler'!M67+'Çeyreklik Veriler'!N67+'Çeyreklik Veriler'!O67</f>
        <v>3187661000</v>
      </c>
      <c r="M67" s="6">
        <f>'Çeyreklik Veriler'!M67+'Çeyreklik Veriler'!N67+'Çeyreklik Veriler'!O67+'Çeyreklik Veriler'!P67</f>
        <v>3187661000</v>
      </c>
      <c r="N67" s="6">
        <f>'Çeyreklik Veriler'!N67+'Çeyreklik Veriler'!O67+'Çeyreklik Veriler'!P67+'Çeyreklik Veriler'!Q67</f>
        <v>2711013000</v>
      </c>
      <c r="O67" s="6">
        <f>'Çeyreklik Veriler'!O67+'Çeyreklik Veriler'!P67+'Çeyreklik Veriler'!Q67+'Çeyreklik Veriler'!R67</f>
        <v>2549792000</v>
      </c>
      <c r="P67" s="6">
        <f>'Çeyreklik Veriler'!P67+'Çeyreklik Veriler'!Q67+'Çeyreklik Veriler'!R67+'Çeyreklik Veriler'!S67</f>
        <v>2549792000</v>
      </c>
      <c r="Q67" s="6">
        <f>'Çeyreklik Veriler'!Q67+'Çeyreklik Veriler'!R67+'Çeyreklik Veriler'!S67+'Çeyreklik Veriler'!T67</f>
        <v>2549792000</v>
      </c>
      <c r="R67" s="6">
        <f>'Çeyreklik Veriler'!R67+'Çeyreklik Veriler'!S67+'Çeyreklik Veriler'!T67+'Çeyreklik Veriler'!U67</f>
        <v>2244313000</v>
      </c>
    </row>
    <row r="68" spans="1:18" x14ac:dyDescent="0.25">
      <c r="A68" t="str">
        <f>Froto!A68</f>
        <v xml:space="preserve">  Dönem Net Kar/Zararı</v>
      </c>
      <c r="B68" s="6">
        <f>'Çeyreklik Veriler'!B68+'Çeyreklik Veriler'!C68+'Çeyreklik Veriler'!D68+'Çeyreklik Veriler'!E68</f>
        <v>18613943000</v>
      </c>
      <c r="C68" s="6">
        <f>'Çeyreklik Veriler'!C68+'Çeyreklik Veriler'!D68+'Çeyreklik Veriler'!E68+'Çeyreklik Veriler'!F68</f>
        <v>14412415000</v>
      </c>
      <c r="D68" s="6">
        <f>'Çeyreklik Veriler'!D68+'Çeyreklik Veriler'!E68+'Çeyreklik Veriler'!F68+'Çeyreklik Veriler'!G68</f>
        <v>12488409000</v>
      </c>
      <c r="E68" s="6">
        <f>'Çeyreklik Veriler'!E68+'Çeyreklik Veriler'!F68+'Çeyreklik Veriler'!G68+'Çeyreklik Veriler'!H68</f>
        <v>9783410000</v>
      </c>
      <c r="F68" s="6">
        <f>'Çeyreklik Veriler'!F68+'Çeyreklik Veriler'!G68+'Çeyreklik Veriler'!H68+'Çeyreklik Veriler'!I68</f>
        <v>8801005000</v>
      </c>
      <c r="G68" s="6">
        <f>'Çeyreklik Veriler'!G68+'Çeyreklik Veriler'!H68+'Çeyreklik Veriler'!I68+'Çeyreklik Veriler'!J68</f>
        <v>6637968000</v>
      </c>
      <c r="H68" s="6">
        <f>'Çeyreklik Veriler'!H68+'Çeyreklik Veriler'!I68+'Çeyreklik Veriler'!J68+'Çeyreklik Veriler'!K68</f>
        <v>6104053000</v>
      </c>
      <c r="I68" s="6">
        <f>'Çeyreklik Veriler'!I68+'Çeyreklik Veriler'!J68+'Çeyreklik Veriler'!K68+'Çeyreklik Veriler'!L68</f>
        <v>5384858000</v>
      </c>
      <c r="J68" s="6">
        <f>'Çeyreklik Veriler'!J68+'Çeyreklik Veriler'!K68+'Çeyreklik Veriler'!L68+'Çeyreklik Veriler'!M68</f>
        <v>4194913000</v>
      </c>
      <c r="K68" s="6">
        <f>'Çeyreklik Veriler'!K68+'Çeyreklik Veriler'!L68+'Çeyreklik Veriler'!M68+'Çeyreklik Veriler'!N68</f>
        <v>2884483000</v>
      </c>
      <c r="L68" s="6">
        <f>'Çeyreklik Veriler'!L68+'Çeyreklik Veriler'!M68+'Çeyreklik Veriler'!N68+'Çeyreklik Veriler'!O68</f>
        <v>1980633000</v>
      </c>
      <c r="M68" s="6">
        <f>'Çeyreklik Veriler'!M68+'Çeyreklik Veriler'!N68+'Çeyreklik Veriler'!O68+'Çeyreklik Veriler'!P68</f>
        <v>2110953000</v>
      </c>
      <c r="N68" s="6">
        <f>'Çeyreklik Veriler'!N68+'Çeyreklik Veriler'!O68+'Çeyreklik Veriler'!P68+'Çeyreklik Veriler'!Q68</f>
        <v>1959484000</v>
      </c>
      <c r="O68" s="6">
        <f>'Çeyreklik Veriler'!O68+'Çeyreklik Veriler'!P68+'Çeyreklik Veriler'!Q68+'Çeyreklik Veriler'!R68</f>
        <v>1753545000</v>
      </c>
      <c r="P68" s="6">
        <f>'Çeyreklik Veriler'!P68+'Çeyreklik Veriler'!Q68+'Çeyreklik Veriler'!R68+'Çeyreklik Veriler'!S68</f>
        <v>1652965000</v>
      </c>
      <c r="Q68" s="6">
        <f>'Çeyreklik Veriler'!Q68+'Çeyreklik Veriler'!R68+'Çeyreklik Veriler'!S68+'Çeyreklik Veriler'!T68</f>
        <v>1728891000</v>
      </c>
      <c r="R68" s="6">
        <f>'Çeyreklik Veriler'!R68+'Çeyreklik Veriler'!S68+'Çeyreklik Veriler'!T68+'Çeyreklik Veriler'!U68</f>
        <v>1683196000</v>
      </c>
    </row>
    <row r="69" spans="1:18" x14ac:dyDescent="0.25">
      <c r="A69" t="str">
        <f>Froto!A69</f>
        <v xml:space="preserve">  Diğer Özsermaye Kalemleri</v>
      </c>
      <c r="B69" s="6">
        <f>'Çeyreklik Veriler'!B69+'Çeyreklik Veriler'!C69+'Çeyreklik Veriler'!D69+'Çeyreklik Veriler'!E69</f>
        <v>-5715780000</v>
      </c>
      <c r="C69" s="6">
        <f>'Çeyreklik Veriler'!C69+'Çeyreklik Veriler'!D69+'Çeyreklik Veriler'!E69+'Çeyreklik Veriler'!F69</f>
        <v>-5365563000</v>
      </c>
      <c r="D69" s="6">
        <f>'Çeyreklik Veriler'!D69+'Çeyreklik Veriler'!E69+'Çeyreklik Veriler'!F69+'Çeyreklik Veriler'!G69</f>
        <v>-5153357000</v>
      </c>
      <c r="E69" s="6">
        <f>'Çeyreklik Veriler'!E69+'Çeyreklik Veriler'!F69+'Çeyreklik Veriler'!G69+'Çeyreklik Veriler'!H69</f>
        <v>-4904865000</v>
      </c>
      <c r="F69" s="6">
        <f>'Çeyreklik Veriler'!F69+'Çeyreklik Veriler'!G69+'Çeyreklik Veriler'!H69+'Çeyreklik Veriler'!I69</f>
        <v>-3242547000</v>
      </c>
      <c r="G69" s="6">
        <f>'Çeyreklik Veriler'!G69+'Çeyreklik Veriler'!H69+'Çeyreklik Veriler'!I69+'Çeyreklik Veriler'!J69</f>
        <v>-1276034000</v>
      </c>
      <c r="H69" s="6">
        <f>'Çeyreklik Veriler'!H69+'Çeyreklik Veriler'!I69+'Çeyreklik Veriler'!J69+'Çeyreklik Veriler'!K69</f>
        <v>-2147242000</v>
      </c>
      <c r="I69" s="6">
        <f>'Çeyreklik Veriler'!I69+'Çeyreklik Veriler'!J69+'Çeyreklik Veriler'!K69+'Çeyreklik Veriler'!L69</f>
        <v>-2212492000</v>
      </c>
      <c r="J69" s="6">
        <f>'Çeyreklik Veriler'!J69+'Çeyreklik Veriler'!K69+'Çeyreklik Veriler'!L69+'Çeyreklik Veriler'!M69</f>
        <v>-1380351000</v>
      </c>
      <c r="K69" s="6">
        <f>'Çeyreklik Veriler'!K69+'Çeyreklik Veriler'!L69+'Çeyreklik Veriler'!M69+'Çeyreklik Veriler'!N69</f>
        <v>-1861904000</v>
      </c>
      <c r="L69" s="6">
        <f>'Çeyreklik Veriler'!L69+'Çeyreklik Veriler'!M69+'Çeyreklik Veriler'!N69+'Çeyreklik Veriler'!O69</f>
        <v>-916517000</v>
      </c>
      <c r="M69" s="6">
        <f>'Çeyreklik Veriler'!M69+'Çeyreklik Veriler'!N69+'Çeyreklik Veriler'!O69+'Çeyreklik Veriler'!P69</f>
        <v>-717732000</v>
      </c>
      <c r="N69" s="6">
        <f>'Çeyreklik Veriler'!N69+'Çeyreklik Veriler'!O69+'Çeyreklik Veriler'!P69+'Çeyreklik Veriler'!Q69</f>
        <v>-659258000</v>
      </c>
      <c r="O69" s="6">
        <f>'Çeyreklik Veriler'!O69+'Çeyreklik Veriler'!P69+'Çeyreklik Veriler'!Q69+'Çeyreklik Veriler'!R69</f>
        <v>-55754000</v>
      </c>
      <c r="P69" s="6">
        <f>'Çeyreklik Veriler'!P69+'Çeyreklik Veriler'!Q69+'Çeyreklik Veriler'!R69+'Çeyreklik Veriler'!S69</f>
        <v>-800726000</v>
      </c>
      <c r="Q69" s="6">
        <f>'Çeyreklik Veriler'!Q69+'Çeyreklik Veriler'!R69+'Çeyreklik Veriler'!S69+'Çeyreklik Veriler'!T69</f>
        <v>-964570000</v>
      </c>
      <c r="R69" s="6">
        <f>'Çeyreklik Veriler'!R69+'Çeyreklik Veriler'!S69+'Çeyreklik Veriler'!T69+'Çeyreklik Veriler'!U69</f>
        <v>-755787000</v>
      </c>
    </row>
    <row r="70" spans="1:18" x14ac:dyDescent="0.25">
      <c r="A70" t="str">
        <f>Froto!A70</f>
        <v xml:space="preserve">  Azınlık Payları</v>
      </c>
      <c r="B70" s="6">
        <f>'Çeyreklik Veriler'!B70+'Çeyreklik Veriler'!C70+'Çeyreklik Veriler'!D70+'Çeyreklik Veriler'!E70</f>
        <v>0</v>
      </c>
      <c r="C70" s="6">
        <f>'Çeyreklik Veriler'!C70+'Çeyreklik Veriler'!D70+'Çeyreklik Veriler'!E70+'Çeyreklik Veriler'!F70</f>
        <v>0</v>
      </c>
      <c r="D70" s="6">
        <f>'Çeyreklik Veriler'!D70+'Çeyreklik Veriler'!E70+'Çeyreklik Veriler'!F70+'Çeyreklik Veriler'!G70</f>
        <v>0</v>
      </c>
      <c r="E70" s="6">
        <f>'Çeyreklik Veriler'!E70+'Çeyreklik Veriler'!F70+'Çeyreklik Veriler'!G70+'Çeyreklik Veriler'!H70</f>
        <v>0</v>
      </c>
      <c r="F70" s="6">
        <f>'Çeyreklik Veriler'!F70+'Çeyreklik Veriler'!G70+'Çeyreklik Veriler'!H70+'Çeyreklik Veriler'!I70</f>
        <v>0</v>
      </c>
      <c r="G70" s="6">
        <f>'Çeyreklik Veriler'!G70+'Çeyreklik Veriler'!H70+'Çeyreklik Veriler'!I70+'Çeyreklik Veriler'!J70</f>
        <v>0</v>
      </c>
      <c r="H70" s="6">
        <f>'Çeyreklik Veriler'!H70+'Çeyreklik Veriler'!I70+'Çeyreklik Veriler'!J70+'Çeyreklik Veriler'!K70</f>
        <v>0</v>
      </c>
      <c r="I70" s="6">
        <f>'Çeyreklik Veriler'!I70+'Çeyreklik Veriler'!J70+'Çeyreklik Veriler'!K70+'Çeyreklik Veriler'!L70</f>
        <v>0</v>
      </c>
      <c r="J70" s="6">
        <f>'Çeyreklik Veriler'!J70+'Çeyreklik Veriler'!K70+'Çeyreklik Veriler'!L70+'Çeyreklik Veriler'!M70</f>
        <v>0</v>
      </c>
      <c r="K70" s="6">
        <f>'Çeyreklik Veriler'!K70+'Çeyreklik Veriler'!L70+'Çeyreklik Veriler'!M70+'Çeyreklik Veriler'!N70</f>
        <v>0</v>
      </c>
      <c r="L70" s="6">
        <f>'Çeyreklik Veriler'!L70+'Çeyreklik Veriler'!M70+'Çeyreklik Veriler'!N70+'Çeyreklik Veriler'!O70</f>
        <v>0</v>
      </c>
      <c r="M70" s="6">
        <f>'Çeyreklik Veriler'!M70+'Çeyreklik Veriler'!N70+'Çeyreklik Veriler'!O70+'Çeyreklik Veriler'!P70</f>
        <v>0</v>
      </c>
      <c r="N70" s="6">
        <f>'Çeyreklik Veriler'!N70+'Çeyreklik Veriler'!O70+'Çeyreklik Veriler'!P70+'Çeyreklik Veriler'!Q70</f>
        <v>0</v>
      </c>
      <c r="O70" s="6">
        <f>'Çeyreklik Veriler'!O70+'Çeyreklik Veriler'!P70+'Çeyreklik Veriler'!Q70+'Çeyreklik Veriler'!R70</f>
        <v>0</v>
      </c>
      <c r="P70" s="6">
        <f>'Çeyreklik Veriler'!P70+'Çeyreklik Veriler'!Q70+'Çeyreklik Veriler'!R70+'Çeyreklik Veriler'!S70</f>
        <v>0</v>
      </c>
      <c r="Q70" s="6">
        <f>'Çeyreklik Veriler'!Q70+'Çeyreklik Veriler'!R70+'Çeyreklik Veriler'!S70+'Çeyreklik Veriler'!T70</f>
        <v>0</v>
      </c>
      <c r="R70" s="6">
        <f>'Çeyreklik Veriler'!R70+'Çeyreklik Veriler'!S70+'Çeyreklik Veriler'!T70+'Çeyreklik Veriler'!U70</f>
        <v>0</v>
      </c>
    </row>
    <row r="71" spans="1:18" x14ac:dyDescent="0.25">
      <c r="A71" t="str">
        <f>Froto!A71</f>
        <v>TOPLAM KAYNAKLAR</v>
      </c>
      <c r="B71" s="6">
        <f>'Çeyreklik Veriler'!B71+'Çeyreklik Veriler'!C71+'Çeyreklik Veriler'!D71+'Çeyreklik Veriler'!E71</f>
        <v>96052247000</v>
      </c>
      <c r="C71" s="6">
        <f>'Çeyreklik Veriler'!C71+'Çeyreklik Veriler'!D71+'Çeyreklik Veriler'!E71+'Çeyreklik Veriler'!F71</f>
        <v>88504179000</v>
      </c>
      <c r="D71" s="6">
        <f>'Çeyreklik Veriler'!D71+'Çeyreklik Veriler'!E71+'Çeyreklik Veriler'!F71+'Çeyreklik Veriler'!G71</f>
        <v>82164417000</v>
      </c>
      <c r="E71" s="6">
        <f>'Çeyreklik Veriler'!E71+'Çeyreklik Veriler'!F71+'Çeyreklik Veriler'!G71+'Çeyreklik Veriler'!H71</f>
        <v>66380613000</v>
      </c>
      <c r="F71" s="6">
        <f>'Çeyreklik Veriler'!F71+'Çeyreklik Veriler'!G71+'Çeyreklik Veriler'!H71+'Çeyreklik Veriler'!I71</f>
        <v>42792853000</v>
      </c>
      <c r="G71" s="6">
        <f>'Çeyreklik Veriler'!G71+'Çeyreklik Veriler'!H71+'Çeyreklik Veriler'!I71+'Çeyreklik Veriler'!J71</f>
        <v>35629538000</v>
      </c>
      <c r="H71" s="6">
        <f>'Çeyreklik Veriler'!H71+'Çeyreklik Veriler'!I71+'Çeyreklik Veriler'!J71+'Çeyreklik Veriler'!K71</f>
        <v>29980116000</v>
      </c>
      <c r="I71" s="6">
        <f>'Çeyreklik Veriler'!I71+'Çeyreklik Veriler'!J71+'Çeyreklik Veriler'!K71+'Çeyreklik Veriler'!L71</f>
        <v>34195857000</v>
      </c>
      <c r="J71" s="6">
        <f>'Çeyreklik Veriler'!J71+'Çeyreklik Veriler'!K71+'Çeyreklik Veriler'!L71+'Çeyreklik Veriler'!M71</f>
        <v>24349179000</v>
      </c>
      <c r="K71" s="6">
        <f>'Çeyreklik Veriler'!K71+'Çeyreklik Veriler'!L71+'Çeyreklik Veriler'!M71+'Çeyreklik Veriler'!N71</f>
        <v>24071270000</v>
      </c>
      <c r="L71" s="6">
        <f>'Çeyreklik Veriler'!L71+'Çeyreklik Veriler'!M71+'Çeyreklik Veriler'!N71+'Çeyreklik Veriler'!O71</f>
        <v>19191612000</v>
      </c>
      <c r="M71" s="6">
        <f>'Çeyreklik Veriler'!M71+'Çeyreklik Veriler'!N71+'Çeyreklik Veriler'!O71+'Çeyreklik Veriler'!P71</f>
        <v>18051098000</v>
      </c>
      <c r="N71" s="6">
        <f>'Çeyreklik Veriler'!N71+'Çeyreklik Veriler'!O71+'Çeyreklik Veriler'!P71+'Çeyreklik Veriler'!Q71</f>
        <v>16406372000</v>
      </c>
      <c r="O71" s="6">
        <f>'Çeyreklik Veriler'!O71+'Çeyreklik Veriler'!P71+'Çeyreklik Veriler'!Q71+'Çeyreklik Veriler'!R71</f>
        <v>14551847000</v>
      </c>
      <c r="P71" s="6">
        <f>'Çeyreklik Veriler'!P71+'Çeyreklik Veriler'!Q71+'Çeyreklik Veriler'!R71+'Çeyreklik Veriler'!S71</f>
        <v>15885025000</v>
      </c>
      <c r="Q71" s="6">
        <f>'Çeyreklik Veriler'!Q71+'Çeyreklik Veriler'!R71+'Çeyreklik Veriler'!S71+'Çeyreklik Veriler'!T71</f>
        <v>15228810000</v>
      </c>
      <c r="R71" s="6">
        <f>'Çeyreklik Veriler'!R71+'Çeyreklik Veriler'!S71+'Çeyreklik Veriler'!T71+'Çeyreklik Veriler'!U71</f>
        <v>13184440000</v>
      </c>
    </row>
    <row r="72" spans="1:18" x14ac:dyDescent="0.25">
      <c r="A72" t="str">
        <f>Froto!A72</f>
        <v>Sürdürülen Faaliyetler</v>
      </c>
      <c r="B72" s="6">
        <f>'Çeyreklik Veriler'!B72+'Çeyreklik Veriler'!C72+'Çeyreklik Veriler'!D72+'Çeyreklik Veriler'!E72</f>
        <v>0</v>
      </c>
      <c r="C72" s="6">
        <f>'Çeyreklik Veriler'!C72+'Çeyreklik Veriler'!D72+'Çeyreklik Veriler'!E72+'Çeyreklik Veriler'!F72</f>
        <v>0</v>
      </c>
      <c r="D72" s="6">
        <f>'Çeyreklik Veriler'!D72+'Çeyreklik Veriler'!E72+'Çeyreklik Veriler'!F72+'Çeyreklik Veriler'!G72</f>
        <v>0</v>
      </c>
      <c r="E72" s="6">
        <f>'Çeyreklik Veriler'!E72+'Çeyreklik Veriler'!F72+'Çeyreklik Veriler'!G72+'Çeyreklik Veriler'!H72</f>
        <v>0</v>
      </c>
      <c r="F72" s="6">
        <f>'Çeyreklik Veriler'!F72+'Çeyreklik Veriler'!G72+'Çeyreklik Veriler'!H72+'Çeyreklik Veriler'!I72</f>
        <v>0</v>
      </c>
      <c r="G72" s="6">
        <f>'Çeyreklik Veriler'!G72+'Çeyreklik Veriler'!H72+'Çeyreklik Veriler'!I72+'Çeyreklik Veriler'!J72</f>
        <v>0</v>
      </c>
      <c r="H72" s="6">
        <f>'Çeyreklik Veriler'!H72+'Çeyreklik Veriler'!I72+'Çeyreklik Veriler'!J72+'Çeyreklik Veriler'!K72</f>
        <v>0</v>
      </c>
      <c r="I72" s="6">
        <f>'Çeyreklik Veriler'!I72+'Çeyreklik Veriler'!J72+'Çeyreklik Veriler'!K72+'Çeyreklik Veriler'!L72</f>
        <v>0</v>
      </c>
      <c r="J72" s="6">
        <f>'Çeyreklik Veriler'!J72+'Çeyreklik Veriler'!K72+'Çeyreklik Veriler'!L72+'Çeyreklik Veriler'!M72</f>
        <v>0</v>
      </c>
      <c r="K72" s="6">
        <f>'Çeyreklik Veriler'!K72+'Çeyreklik Veriler'!L72+'Çeyreklik Veriler'!M72+'Çeyreklik Veriler'!N72</f>
        <v>0</v>
      </c>
      <c r="L72" s="6">
        <f>'Çeyreklik Veriler'!L72+'Çeyreklik Veriler'!M72+'Çeyreklik Veriler'!N72+'Çeyreklik Veriler'!O72</f>
        <v>0</v>
      </c>
      <c r="M72" s="6">
        <f>'Çeyreklik Veriler'!M72+'Çeyreklik Veriler'!N72+'Çeyreklik Veriler'!O72+'Çeyreklik Veriler'!P72</f>
        <v>0</v>
      </c>
      <c r="N72" s="6">
        <f>'Çeyreklik Veriler'!N72+'Çeyreklik Veriler'!O72+'Çeyreklik Veriler'!P72+'Çeyreklik Veriler'!Q72</f>
        <v>0</v>
      </c>
      <c r="O72" s="6">
        <f>'Çeyreklik Veriler'!O72+'Çeyreklik Veriler'!P72+'Çeyreklik Veriler'!Q72+'Çeyreklik Veriler'!R72</f>
        <v>0</v>
      </c>
      <c r="P72" s="6">
        <f>'Çeyreklik Veriler'!P72+'Çeyreklik Veriler'!Q72+'Çeyreklik Veriler'!R72+'Çeyreklik Veriler'!S72</f>
        <v>0</v>
      </c>
      <c r="Q72" s="6">
        <f>'Çeyreklik Veriler'!Q72+'Çeyreklik Veriler'!R72+'Çeyreklik Veriler'!S72+'Çeyreklik Veriler'!T72</f>
        <v>0</v>
      </c>
      <c r="R72" s="6">
        <f>'Çeyreklik Veriler'!R72+'Çeyreklik Veriler'!S72+'Çeyreklik Veriler'!T72+'Çeyreklik Veriler'!U72</f>
        <v>0</v>
      </c>
    </row>
    <row r="73" spans="1:18" x14ac:dyDescent="0.25">
      <c r="A73" t="str">
        <f>Froto!A73</f>
        <v>GELİR TABLOSU</v>
      </c>
      <c r="B73" s="6">
        <f>'Çeyreklik Veriler'!B73+'Çeyreklik Veriler'!C73+'Çeyreklik Veriler'!D73+'Çeyreklik Veriler'!E73</f>
        <v>0</v>
      </c>
      <c r="C73" s="6">
        <f>'Çeyreklik Veriler'!C73+'Çeyreklik Veriler'!D73+'Çeyreklik Veriler'!E73+'Çeyreklik Veriler'!F73</f>
        <v>0</v>
      </c>
      <c r="D73" s="6">
        <f>'Çeyreklik Veriler'!D73+'Çeyreklik Veriler'!E73+'Çeyreklik Veriler'!F73+'Çeyreklik Veriler'!G73</f>
        <v>0</v>
      </c>
      <c r="E73" s="6">
        <f>'Çeyreklik Veriler'!E73+'Çeyreklik Veriler'!F73+'Çeyreklik Veriler'!G73+'Çeyreklik Veriler'!H73</f>
        <v>0</v>
      </c>
      <c r="F73" s="6">
        <f>'Çeyreklik Veriler'!F73+'Çeyreklik Veriler'!G73+'Çeyreklik Veriler'!H73+'Çeyreklik Veriler'!I73</f>
        <v>0</v>
      </c>
      <c r="G73" s="6">
        <f>'Çeyreklik Veriler'!G73+'Çeyreklik Veriler'!H73+'Çeyreklik Veriler'!I73+'Çeyreklik Veriler'!J73</f>
        <v>0</v>
      </c>
      <c r="H73" s="6">
        <f>'Çeyreklik Veriler'!H73+'Çeyreklik Veriler'!I73+'Çeyreklik Veriler'!J73+'Çeyreklik Veriler'!K73</f>
        <v>0</v>
      </c>
      <c r="I73" s="6">
        <f>'Çeyreklik Veriler'!I73+'Çeyreklik Veriler'!J73+'Çeyreklik Veriler'!K73+'Çeyreklik Veriler'!L73</f>
        <v>0</v>
      </c>
      <c r="J73" s="6">
        <f>'Çeyreklik Veriler'!J73+'Çeyreklik Veriler'!K73+'Çeyreklik Veriler'!L73+'Çeyreklik Veriler'!M73</f>
        <v>0</v>
      </c>
      <c r="K73" s="6">
        <f>'Çeyreklik Veriler'!K73+'Çeyreklik Veriler'!L73+'Çeyreklik Veriler'!M73+'Çeyreklik Veriler'!N73</f>
        <v>0</v>
      </c>
      <c r="L73" s="6">
        <f>'Çeyreklik Veriler'!L73+'Çeyreklik Veriler'!M73+'Çeyreklik Veriler'!N73+'Çeyreklik Veriler'!O73</f>
        <v>0</v>
      </c>
      <c r="M73" s="6">
        <f>'Çeyreklik Veriler'!M73+'Çeyreklik Veriler'!N73+'Çeyreklik Veriler'!O73+'Çeyreklik Veriler'!P73</f>
        <v>0</v>
      </c>
      <c r="N73" s="6">
        <f>'Çeyreklik Veriler'!N73+'Çeyreklik Veriler'!O73+'Çeyreklik Veriler'!P73+'Çeyreklik Veriler'!Q73</f>
        <v>0</v>
      </c>
      <c r="O73" s="6">
        <f>'Çeyreklik Veriler'!O73+'Çeyreklik Veriler'!P73+'Çeyreklik Veriler'!Q73+'Çeyreklik Veriler'!R73</f>
        <v>0</v>
      </c>
      <c r="P73" s="6">
        <f>'Çeyreklik Veriler'!P73+'Çeyreklik Veriler'!Q73+'Çeyreklik Veriler'!R73+'Çeyreklik Veriler'!S73</f>
        <v>0</v>
      </c>
      <c r="Q73" s="6">
        <f>'Çeyreklik Veriler'!Q73+'Çeyreklik Veriler'!R73+'Çeyreklik Veriler'!S73+'Çeyreklik Veriler'!T73</f>
        <v>0</v>
      </c>
      <c r="R73" s="6">
        <f>'Çeyreklik Veriler'!R73+'Çeyreklik Veriler'!S73+'Çeyreklik Veriler'!T73+'Çeyreklik Veriler'!U73</f>
        <v>0</v>
      </c>
    </row>
    <row r="74" spans="1:18" x14ac:dyDescent="0.25">
      <c r="A74" t="str">
        <f>Froto!A74</f>
        <v>Satış Gelirleri</v>
      </c>
      <c r="B74" s="6">
        <f>'Çeyreklik Veriler'!B74+'Çeyreklik Veriler'!C74+'Çeyreklik Veriler'!D74+'Çeyreklik Veriler'!E74</f>
        <v>171796902000</v>
      </c>
      <c r="C74" s="6">
        <f>'Çeyreklik Veriler'!C74+'Çeyreklik Veriler'!D74+'Çeyreklik Veriler'!E74+'Çeyreklik Veriler'!F74</f>
        <v>136301246000</v>
      </c>
      <c r="D74" s="6">
        <f>'Çeyreklik Veriler'!D74+'Çeyreklik Veriler'!E74+'Çeyreklik Veriler'!F74+'Çeyreklik Veriler'!G74</f>
        <v>105044600000</v>
      </c>
      <c r="E74" s="6">
        <f>'Çeyreklik Veriler'!E74+'Çeyreklik Veriler'!F74+'Çeyreklik Veriler'!G74+'Çeyreklik Veriler'!H74</f>
        <v>82723541000</v>
      </c>
      <c r="F74" s="6">
        <f>'Çeyreklik Veriler'!F74+'Çeyreklik Veriler'!G74+'Çeyreklik Veriler'!H74+'Çeyreklik Veriler'!I74</f>
        <v>71101258000</v>
      </c>
      <c r="G74" s="6">
        <f>'Çeyreklik Veriler'!G74+'Çeyreklik Veriler'!H74+'Çeyreklik Veriler'!I74+'Çeyreklik Veriler'!J74</f>
        <v>66618707000</v>
      </c>
      <c r="H74" s="6">
        <f>'Çeyreklik Veriler'!H74+'Çeyreklik Veriler'!I74+'Çeyreklik Veriler'!J74+'Çeyreklik Veriler'!K74</f>
        <v>61144236000</v>
      </c>
      <c r="I74" s="6">
        <f>'Çeyreklik Veriler'!I74+'Çeyreklik Veriler'!J74+'Çeyreklik Veriler'!K74+'Çeyreklik Veriler'!L74</f>
        <v>56338940000</v>
      </c>
      <c r="J74" s="6">
        <f>'Çeyreklik Veriler'!J74+'Çeyreklik Veriler'!K74+'Çeyreklik Veriler'!L74+'Çeyreklik Veriler'!M74</f>
        <v>49451407000</v>
      </c>
      <c r="K74" s="6">
        <f>'Çeyreklik Veriler'!K74+'Çeyreklik Veriler'!L74+'Çeyreklik Veriler'!M74+'Çeyreklik Veriler'!N74</f>
        <v>39992483000</v>
      </c>
      <c r="L74" s="6">
        <f>'Çeyreklik Veriler'!L74+'Çeyreklik Veriler'!M74+'Çeyreklik Veriler'!N74+'Çeyreklik Veriler'!O74</f>
        <v>35893712000</v>
      </c>
      <c r="M74" s="6">
        <f>'Çeyreklik Veriler'!M74+'Çeyreklik Veriler'!N74+'Çeyreklik Veriler'!O74+'Çeyreklik Veriler'!P74</f>
        <v>39291576000</v>
      </c>
      <c r="N74" s="6">
        <f>'Çeyreklik Veriler'!N74+'Çeyreklik Veriler'!O74+'Çeyreklik Veriler'!P74+'Çeyreklik Veriler'!Q74</f>
        <v>39209019000</v>
      </c>
      <c r="O74" s="6">
        <f>'Çeyreklik Veriler'!O74+'Çeyreklik Veriler'!P74+'Çeyreklik Veriler'!Q74+'Çeyreklik Veriler'!R74</f>
        <v>37754372000</v>
      </c>
      <c r="P74" s="6">
        <f>'Çeyreklik Veriler'!P74+'Çeyreklik Veriler'!Q74+'Çeyreklik Veriler'!R74+'Çeyreklik Veriler'!S74</f>
        <v>36228894000</v>
      </c>
      <c r="Q74" s="6">
        <f>'Çeyreklik Veriler'!Q74+'Çeyreklik Veriler'!R74+'Çeyreklik Veriler'!S74+'Çeyreklik Veriler'!T74</f>
        <v>35294072000</v>
      </c>
      <c r="R74" s="6">
        <f>'Çeyreklik Veriler'!R74+'Çeyreklik Veriler'!S74+'Çeyreklik Veriler'!T74+'Çeyreklik Veriler'!U74</f>
        <v>33292030000</v>
      </c>
    </row>
    <row r="75" spans="1:18" x14ac:dyDescent="0.25">
      <c r="A75" t="str">
        <f>Froto!A75</f>
        <v>Satışların Maliyeti (-)</v>
      </c>
      <c r="B75" s="6">
        <f>'Çeyreklik Veriler'!B75+'Çeyreklik Veriler'!C75+'Çeyreklik Veriler'!D75+'Çeyreklik Veriler'!E75</f>
        <v>-147855658000</v>
      </c>
      <c r="C75" s="6">
        <f>'Çeyreklik Veriler'!C75+'Çeyreklik Veriler'!D75+'Çeyreklik Veriler'!E75+'Çeyreklik Veriler'!F75</f>
        <v>-116491878000</v>
      </c>
      <c r="D75" s="6">
        <f>'Çeyreklik Veriler'!D75+'Çeyreklik Veriler'!E75+'Çeyreklik Veriler'!F75+'Çeyreklik Veriler'!G75</f>
        <v>-88603315000</v>
      </c>
      <c r="E75" s="6">
        <f>'Çeyreklik Veriler'!E75+'Çeyreklik Veriler'!F75+'Çeyreklik Veriler'!G75+'Çeyreklik Veriler'!H75</f>
        <v>-69918340000</v>
      </c>
      <c r="F75" s="6">
        <f>'Çeyreklik Veriler'!F75+'Çeyreklik Veriler'!G75+'Çeyreklik Veriler'!H75+'Çeyreklik Veriler'!I75</f>
        <v>-59947098000</v>
      </c>
      <c r="G75" s="6">
        <f>'Çeyreklik Veriler'!G75+'Çeyreklik Veriler'!H75+'Çeyreklik Veriler'!I75+'Çeyreklik Veriler'!J75</f>
        <v>-57926994000</v>
      </c>
      <c r="H75" s="6">
        <f>'Çeyreklik Veriler'!H75+'Çeyreklik Veriler'!I75+'Çeyreklik Veriler'!J75+'Çeyreklik Veriler'!K75</f>
        <v>-53122795000</v>
      </c>
      <c r="I75" s="6">
        <f>'Çeyreklik Veriler'!I75+'Çeyreklik Veriler'!J75+'Çeyreklik Veriler'!K75+'Çeyreklik Veriler'!L75</f>
        <v>-49155855000</v>
      </c>
      <c r="J75" s="6">
        <f>'Çeyreklik Veriler'!J75+'Çeyreklik Veriler'!K75+'Çeyreklik Veriler'!L75+'Çeyreklik Veriler'!M75</f>
        <v>-43264878000</v>
      </c>
      <c r="K75" s="6">
        <f>'Çeyreklik Veriler'!K75+'Çeyreklik Veriler'!L75+'Çeyreklik Veriler'!M75+'Çeyreklik Veriler'!N75</f>
        <v>-35442777000</v>
      </c>
      <c r="L75" s="6">
        <f>'Çeyreklik Veriler'!L75+'Çeyreklik Veriler'!M75+'Çeyreklik Veriler'!N75+'Çeyreklik Veriler'!O75</f>
        <v>-32042987000</v>
      </c>
      <c r="M75" s="6">
        <f>'Çeyreklik Veriler'!M75+'Çeyreklik Veriler'!N75+'Çeyreklik Veriler'!O75+'Çeyreklik Veriler'!P75</f>
        <v>-35148614000</v>
      </c>
      <c r="N75" s="6">
        <f>'Çeyreklik Veriler'!N75+'Çeyreklik Veriler'!O75+'Çeyreklik Veriler'!P75+'Çeyreklik Veriler'!Q75</f>
        <v>-35193802000</v>
      </c>
      <c r="O75" s="6">
        <f>'Çeyreklik Veriler'!O75+'Çeyreklik Veriler'!P75+'Çeyreklik Veriler'!Q75+'Çeyreklik Veriler'!R75</f>
        <v>-33931858000</v>
      </c>
      <c r="P75" s="6">
        <f>'Çeyreklik Veriler'!P75+'Çeyreklik Veriler'!Q75+'Çeyreklik Veriler'!R75+'Çeyreklik Veriler'!S75</f>
        <v>-32534057000</v>
      </c>
      <c r="Q75" s="6">
        <f>'Çeyreklik Veriler'!Q75+'Çeyreklik Veriler'!R75+'Çeyreklik Veriler'!S75+'Çeyreklik Veriler'!T75</f>
        <v>-31649050000</v>
      </c>
      <c r="R75" s="6">
        <f>'Çeyreklik Veriler'!R75+'Çeyreklik Veriler'!S75+'Çeyreklik Veriler'!T75+'Çeyreklik Veriler'!U75</f>
        <v>-29833459000</v>
      </c>
    </row>
    <row r="76" spans="1:18" x14ac:dyDescent="0.25">
      <c r="A76" t="str">
        <f>Froto!A76</f>
        <v>Ticari Faaliyetlerden Diğer Kar (Zarar)</v>
      </c>
      <c r="B76" s="6">
        <f>'Çeyreklik Veriler'!B76+'Çeyreklik Veriler'!C76+'Çeyreklik Veriler'!D76+'Çeyreklik Veriler'!E76</f>
        <v>0</v>
      </c>
      <c r="C76" s="6">
        <f>'Çeyreklik Veriler'!C76+'Çeyreklik Veriler'!D76+'Çeyreklik Veriler'!E76+'Çeyreklik Veriler'!F76</f>
        <v>0</v>
      </c>
      <c r="D76" s="6">
        <f>'Çeyreklik Veriler'!D76+'Çeyreklik Veriler'!E76+'Çeyreklik Veriler'!F76+'Çeyreklik Veriler'!G76</f>
        <v>0</v>
      </c>
      <c r="E76" s="6">
        <f>'Çeyreklik Veriler'!E76+'Çeyreklik Veriler'!F76+'Çeyreklik Veriler'!G76+'Çeyreklik Veriler'!H76</f>
        <v>0</v>
      </c>
      <c r="F76" s="6">
        <f>'Çeyreklik Veriler'!F76+'Çeyreklik Veriler'!G76+'Çeyreklik Veriler'!H76+'Çeyreklik Veriler'!I76</f>
        <v>0</v>
      </c>
      <c r="G76" s="6">
        <f>'Çeyreklik Veriler'!G76+'Çeyreklik Veriler'!H76+'Çeyreklik Veriler'!I76+'Çeyreklik Veriler'!J76</f>
        <v>0</v>
      </c>
      <c r="H76" s="6">
        <f>'Çeyreklik Veriler'!H76+'Çeyreklik Veriler'!I76+'Çeyreklik Veriler'!J76+'Çeyreklik Veriler'!K76</f>
        <v>0</v>
      </c>
      <c r="I76" s="6">
        <f>'Çeyreklik Veriler'!I76+'Çeyreklik Veriler'!J76+'Çeyreklik Veriler'!K76+'Çeyreklik Veriler'!L76</f>
        <v>0</v>
      </c>
      <c r="J76" s="6">
        <f>'Çeyreklik Veriler'!J76+'Çeyreklik Veriler'!K76+'Çeyreklik Veriler'!L76+'Çeyreklik Veriler'!M76</f>
        <v>0</v>
      </c>
      <c r="K76" s="6">
        <f>'Çeyreklik Veriler'!K76+'Çeyreklik Veriler'!L76+'Çeyreklik Veriler'!M76+'Çeyreklik Veriler'!N76</f>
        <v>0</v>
      </c>
      <c r="L76" s="6">
        <f>'Çeyreklik Veriler'!L76+'Çeyreklik Veriler'!M76+'Çeyreklik Veriler'!N76+'Çeyreklik Veriler'!O76</f>
        <v>0</v>
      </c>
      <c r="M76" s="6">
        <f>'Çeyreklik Veriler'!M76+'Çeyreklik Veriler'!N76+'Çeyreklik Veriler'!O76+'Çeyreklik Veriler'!P76</f>
        <v>0</v>
      </c>
      <c r="N76" s="6">
        <f>'Çeyreklik Veriler'!N76+'Çeyreklik Veriler'!O76+'Çeyreklik Veriler'!P76+'Çeyreklik Veriler'!Q76</f>
        <v>0</v>
      </c>
      <c r="O76" s="6">
        <f>'Çeyreklik Veriler'!O76+'Çeyreklik Veriler'!P76+'Çeyreklik Veriler'!Q76+'Çeyreklik Veriler'!R76</f>
        <v>0</v>
      </c>
      <c r="P76" s="6">
        <f>'Çeyreklik Veriler'!P76+'Çeyreklik Veriler'!Q76+'Çeyreklik Veriler'!R76+'Çeyreklik Veriler'!S76</f>
        <v>0</v>
      </c>
      <c r="Q76" s="6">
        <f>'Çeyreklik Veriler'!Q76+'Çeyreklik Veriler'!R76+'Çeyreklik Veriler'!S76+'Çeyreklik Veriler'!T76</f>
        <v>0</v>
      </c>
      <c r="R76" s="6">
        <f>'Çeyreklik Veriler'!R76+'Çeyreklik Veriler'!S76+'Çeyreklik Veriler'!T76+'Çeyreklik Veriler'!U76</f>
        <v>0</v>
      </c>
    </row>
    <row r="77" spans="1:18" x14ac:dyDescent="0.25">
      <c r="A77" t="str">
        <f>Froto!A77</f>
        <v>Ticari Faaliyetlerden Brüt Kar (Zarar)</v>
      </c>
      <c r="B77" s="6">
        <f>'Çeyreklik Veriler'!B77+'Çeyreklik Veriler'!C77+'Çeyreklik Veriler'!D77+'Çeyreklik Veriler'!E77</f>
        <v>23941244000</v>
      </c>
      <c r="C77" s="6">
        <f>'Çeyreklik Veriler'!C77+'Çeyreklik Veriler'!D77+'Çeyreklik Veriler'!E77+'Çeyreklik Veriler'!F77</f>
        <v>19809368000</v>
      </c>
      <c r="D77" s="6">
        <f>'Çeyreklik Veriler'!D77+'Çeyreklik Veriler'!E77+'Çeyreklik Veriler'!F77+'Çeyreklik Veriler'!G77</f>
        <v>16441285000</v>
      </c>
      <c r="E77" s="6">
        <f>'Çeyreklik Veriler'!E77+'Çeyreklik Veriler'!F77+'Çeyreklik Veriler'!G77+'Çeyreklik Veriler'!H77</f>
        <v>12805201000</v>
      </c>
      <c r="F77" s="6">
        <f>'Çeyreklik Veriler'!F77+'Çeyreklik Veriler'!G77+'Çeyreklik Veriler'!H77+'Çeyreklik Veriler'!I77</f>
        <v>11154160000</v>
      </c>
      <c r="G77" s="6">
        <f>'Çeyreklik Veriler'!G77+'Çeyreklik Veriler'!H77+'Çeyreklik Veriler'!I77+'Çeyreklik Veriler'!J77</f>
        <v>8691713000</v>
      </c>
      <c r="H77" s="6">
        <f>'Çeyreklik Veriler'!H77+'Çeyreklik Veriler'!I77+'Çeyreklik Veriler'!J77+'Çeyreklik Veriler'!K77</f>
        <v>8021441000</v>
      </c>
      <c r="I77" s="6">
        <f>'Çeyreklik Veriler'!I77+'Çeyreklik Veriler'!J77+'Çeyreklik Veriler'!K77+'Çeyreklik Veriler'!L77</f>
        <v>7183085000</v>
      </c>
      <c r="J77" s="6">
        <f>'Çeyreklik Veriler'!J77+'Çeyreklik Veriler'!K77+'Çeyreklik Veriler'!L77+'Çeyreklik Veriler'!M77</f>
        <v>6186529000</v>
      </c>
      <c r="K77" s="6">
        <f>'Çeyreklik Veriler'!K77+'Çeyreklik Veriler'!L77+'Çeyreklik Veriler'!M77+'Çeyreklik Veriler'!N77</f>
        <v>4549706000</v>
      </c>
      <c r="L77" s="6">
        <f>'Çeyreklik Veriler'!L77+'Çeyreklik Veriler'!M77+'Çeyreklik Veriler'!N77+'Çeyreklik Veriler'!O77</f>
        <v>3850725000</v>
      </c>
      <c r="M77" s="6">
        <f>'Çeyreklik Veriler'!M77+'Çeyreklik Veriler'!N77+'Çeyreklik Veriler'!O77+'Çeyreklik Veriler'!P77</f>
        <v>4142962000</v>
      </c>
      <c r="N77" s="6">
        <f>'Çeyreklik Veriler'!N77+'Çeyreklik Veriler'!O77+'Çeyreklik Veriler'!P77+'Çeyreklik Veriler'!Q77</f>
        <v>4015217000</v>
      </c>
      <c r="O77" s="6">
        <f>'Çeyreklik Veriler'!O77+'Çeyreklik Veriler'!P77+'Çeyreklik Veriler'!Q77+'Çeyreklik Veriler'!R77</f>
        <v>3822514000</v>
      </c>
      <c r="P77" s="6">
        <f>'Çeyreklik Veriler'!P77+'Çeyreklik Veriler'!Q77+'Çeyreklik Veriler'!R77+'Çeyreklik Veriler'!S77</f>
        <v>3694837000</v>
      </c>
      <c r="Q77" s="6">
        <f>'Çeyreklik Veriler'!Q77+'Çeyreklik Veriler'!R77+'Çeyreklik Veriler'!S77+'Çeyreklik Veriler'!T77</f>
        <v>3645022000</v>
      </c>
      <c r="R77" s="6">
        <f>'Çeyreklik Veriler'!R77+'Çeyreklik Veriler'!S77+'Çeyreklik Veriler'!T77+'Çeyreklik Veriler'!U77</f>
        <v>3458571000</v>
      </c>
    </row>
    <row r="78" spans="1:18" x14ac:dyDescent="0.25">
      <c r="A78" t="str">
        <f>Froto!A78</f>
        <v>Faiz, Ücret, Prim, Komisyon ve Diğer Gelirler</v>
      </c>
      <c r="B78" s="6">
        <f>'Çeyreklik Veriler'!B78+'Çeyreklik Veriler'!C78+'Çeyreklik Veriler'!D78+'Çeyreklik Veriler'!E78</f>
        <v>0</v>
      </c>
      <c r="C78" s="6">
        <f>'Çeyreklik Veriler'!C78+'Çeyreklik Veriler'!D78+'Çeyreklik Veriler'!E78+'Çeyreklik Veriler'!F78</f>
        <v>0</v>
      </c>
      <c r="D78" s="6">
        <f>'Çeyreklik Veriler'!D78+'Çeyreklik Veriler'!E78+'Çeyreklik Veriler'!F78+'Çeyreklik Veriler'!G78</f>
        <v>0</v>
      </c>
      <c r="E78" s="6">
        <f>'Çeyreklik Veriler'!E78+'Çeyreklik Veriler'!F78+'Çeyreklik Veriler'!G78+'Çeyreklik Veriler'!H78</f>
        <v>0</v>
      </c>
      <c r="F78" s="6">
        <f>'Çeyreklik Veriler'!F78+'Çeyreklik Veriler'!G78+'Çeyreklik Veriler'!H78+'Çeyreklik Veriler'!I78</f>
        <v>0</v>
      </c>
      <c r="G78" s="6">
        <f>'Çeyreklik Veriler'!G78+'Çeyreklik Veriler'!H78+'Çeyreklik Veriler'!I78+'Çeyreklik Veriler'!J78</f>
        <v>0</v>
      </c>
      <c r="H78" s="6">
        <f>'Çeyreklik Veriler'!H78+'Çeyreklik Veriler'!I78+'Çeyreklik Veriler'!J78+'Çeyreklik Veriler'!K78</f>
        <v>0</v>
      </c>
      <c r="I78" s="6">
        <f>'Çeyreklik Veriler'!I78+'Çeyreklik Veriler'!J78+'Çeyreklik Veriler'!K78+'Çeyreklik Veriler'!L78</f>
        <v>0</v>
      </c>
      <c r="J78" s="6">
        <f>'Çeyreklik Veriler'!J78+'Çeyreklik Veriler'!K78+'Çeyreklik Veriler'!L78+'Çeyreklik Veriler'!M78</f>
        <v>0</v>
      </c>
      <c r="K78" s="6">
        <f>'Çeyreklik Veriler'!K78+'Çeyreklik Veriler'!L78+'Çeyreklik Veriler'!M78+'Çeyreklik Veriler'!N78</f>
        <v>0</v>
      </c>
      <c r="L78" s="6">
        <f>'Çeyreklik Veriler'!L78+'Çeyreklik Veriler'!M78+'Çeyreklik Veriler'!N78+'Çeyreklik Veriler'!O78</f>
        <v>0</v>
      </c>
      <c r="M78" s="6">
        <f>'Çeyreklik Veriler'!M78+'Çeyreklik Veriler'!N78+'Çeyreklik Veriler'!O78+'Çeyreklik Veriler'!P78</f>
        <v>0</v>
      </c>
      <c r="N78" s="6">
        <f>'Çeyreklik Veriler'!N78+'Çeyreklik Veriler'!O78+'Çeyreklik Veriler'!P78+'Çeyreklik Veriler'!Q78</f>
        <v>0</v>
      </c>
      <c r="O78" s="6">
        <f>'Çeyreklik Veriler'!O78+'Çeyreklik Veriler'!P78+'Çeyreklik Veriler'!Q78+'Çeyreklik Veriler'!R78</f>
        <v>0</v>
      </c>
      <c r="P78" s="6">
        <f>'Çeyreklik Veriler'!P78+'Çeyreklik Veriler'!Q78+'Çeyreklik Veriler'!R78+'Çeyreklik Veriler'!S78</f>
        <v>0</v>
      </c>
      <c r="Q78" s="6">
        <f>'Çeyreklik Veriler'!Q78+'Çeyreklik Veriler'!R78+'Çeyreklik Veriler'!S78+'Çeyreklik Veriler'!T78</f>
        <v>0</v>
      </c>
      <c r="R78" s="6">
        <f>'Çeyreklik Veriler'!R78+'Çeyreklik Veriler'!S78+'Çeyreklik Veriler'!T78+'Çeyreklik Veriler'!U78</f>
        <v>0</v>
      </c>
    </row>
    <row r="79" spans="1:18" x14ac:dyDescent="0.25">
      <c r="A79" t="str">
        <f>Froto!A79</f>
        <v>Faiz, Ücret, Prim, Komisyon ve Diğer Giderler (-)</v>
      </c>
      <c r="B79" s="6">
        <f>'Çeyreklik Veriler'!B79+'Çeyreklik Veriler'!C79+'Çeyreklik Veriler'!D79+'Çeyreklik Veriler'!E79</f>
        <v>0</v>
      </c>
      <c r="C79" s="6">
        <f>'Çeyreklik Veriler'!C79+'Çeyreklik Veriler'!D79+'Çeyreklik Veriler'!E79+'Çeyreklik Veriler'!F79</f>
        <v>0</v>
      </c>
      <c r="D79" s="6">
        <f>'Çeyreklik Veriler'!D79+'Çeyreklik Veriler'!E79+'Çeyreklik Veriler'!F79+'Çeyreklik Veriler'!G79</f>
        <v>0</v>
      </c>
      <c r="E79" s="6">
        <f>'Çeyreklik Veriler'!E79+'Çeyreklik Veriler'!F79+'Çeyreklik Veriler'!G79+'Çeyreklik Veriler'!H79</f>
        <v>0</v>
      </c>
      <c r="F79" s="6">
        <f>'Çeyreklik Veriler'!F79+'Çeyreklik Veriler'!G79+'Çeyreklik Veriler'!H79+'Çeyreklik Veriler'!I79</f>
        <v>0</v>
      </c>
      <c r="G79" s="6">
        <f>'Çeyreklik Veriler'!G79+'Çeyreklik Veriler'!H79+'Çeyreklik Veriler'!I79+'Çeyreklik Veriler'!J79</f>
        <v>0</v>
      </c>
      <c r="H79" s="6">
        <f>'Çeyreklik Veriler'!H79+'Çeyreklik Veriler'!I79+'Çeyreklik Veriler'!J79+'Çeyreklik Veriler'!K79</f>
        <v>0</v>
      </c>
      <c r="I79" s="6">
        <f>'Çeyreklik Veriler'!I79+'Çeyreklik Veriler'!J79+'Çeyreklik Veriler'!K79+'Çeyreklik Veriler'!L79</f>
        <v>0</v>
      </c>
      <c r="J79" s="6">
        <f>'Çeyreklik Veriler'!J79+'Çeyreklik Veriler'!K79+'Çeyreklik Veriler'!L79+'Çeyreklik Veriler'!M79</f>
        <v>0</v>
      </c>
      <c r="K79" s="6">
        <f>'Çeyreklik Veriler'!K79+'Çeyreklik Veriler'!L79+'Çeyreklik Veriler'!M79+'Çeyreklik Veriler'!N79</f>
        <v>0</v>
      </c>
      <c r="L79" s="6">
        <f>'Çeyreklik Veriler'!L79+'Çeyreklik Veriler'!M79+'Çeyreklik Veriler'!N79+'Çeyreklik Veriler'!O79</f>
        <v>0</v>
      </c>
      <c r="M79" s="6">
        <f>'Çeyreklik Veriler'!M79+'Çeyreklik Veriler'!N79+'Çeyreklik Veriler'!O79+'Çeyreklik Veriler'!P79</f>
        <v>0</v>
      </c>
      <c r="N79" s="6">
        <f>'Çeyreklik Veriler'!N79+'Çeyreklik Veriler'!O79+'Çeyreklik Veriler'!P79+'Çeyreklik Veriler'!Q79</f>
        <v>0</v>
      </c>
      <c r="O79" s="6">
        <f>'Çeyreklik Veriler'!O79+'Çeyreklik Veriler'!P79+'Çeyreklik Veriler'!Q79+'Çeyreklik Veriler'!R79</f>
        <v>0</v>
      </c>
      <c r="P79" s="6">
        <f>'Çeyreklik Veriler'!P79+'Çeyreklik Veriler'!Q79+'Çeyreklik Veriler'!R79+'Çeyreklik Veriler'!S79</f>
        <v>0</v>
      </c>
      <c r="Q79" s="6">
        <f>'Çeyreklik Veriler'!Q79+'Çeyreklik Veriler'!R79+'Çeyreklik Veriler'!S79+'Çeyreklik Veriler'!T79</f>
        <v>0</v>
      </c>
      <c r="R79" s="6">
        <f>'Çeyreklik Veriler'!R79+'Çeyreklik Veriler'!S79+'Çeyreklik Veriler'!T79+'Çeyreklik Veriler'!U79</f>
        <v>0</v>
      </c>
    </row>
    <row r="80" spans="1:18" x14ac:dyDescent="0.25">
      <c r="A80" t="str">
        <f>Froto!A80</f>
        <v>Finans Sektörü Faaliyetlerinden Diğer Kar (Zarar)</v>
      </c>
      <c r="B80" s="6">
        <f>'Çeyreklik Veriler'!B80+'Çeyreklik Veriler'!C80+'Çeyreklik Veriler'!D80+'Çeyreklik Veriler'!E80</f>
        <v>0</v>
      </c>
      <c r="C80" s="6">
        <f>'Çeyreklik Veriler'!C80+'Çeyreklik Veriler'!D80+'Çeyreklik Veriler'!E80+'Çeyreklik Veriler'!F80</f>
        <v>0</v>
      </c>
      <c r="D80" s="6">
        <f>'Çeyreklik Veriler'!D80+'Çeyreklik Veriler'!E80+'Çeyreklik Veriler'!F80+'Çeyreklik Veriler'!G80</f>
        <v>0</v>
      </c>
      <c r="E80" s="6">
        <f>'Çeyreklik Veriler'!E80+'Çeyreklik Veriler'!F80+'Çeyreklik Veriler'!G80+'Çeyreklik Veriler'!H80</f>
        <v>0</v>
      </c>
      <c r="F80" s="6">
        <f>'Çeyreklik Veriler'!F80+'Çeyreklik Veriler'!G80+'Çeyreklik Veriler'!H80+'Çeyreklik Veriler'!I80</f>
        <v>0</v>
      </c>
      <c r="G80" s="6">
        <f>'Çeyreklik Veriler'!G80+'Çeyreklik Veriler'!H80+'Çeyreklik Veriler'!I80+'Çeyreklik Veriler'!J80</f>
        <v>0</v>
      </c>
      <c r="H80" s="6">
        <f>'Çeyreklik Veriler'!H80+'Çeyreklik Veriler'!I80+'Çeyreklik Veriler'!J80+'Çeyreklik Veriler'!K80</f>
        <v>0</v>
      </c>
      <c r="I80" s="6">
        <f>'Çeyreklik Veriler'!I80+'Çeyreklik Veriler'!J80+'Çeyreklik Veriler'!K80+'Çeyreklik Veriler'!L80</f>
        <v>0</v>
      </c>
      <c r="J80" s="6">
        <f>'Çeyreklik Veriler'!J80+'Çeyreklik Veriler'!K80+'Çeyreklik Veriler'!L80+'Çeyreklik Veriler'!M80</f>
        <v>0</v>
      </c>
      <c r="K80" s="6">
        <f>'Çeyreklik Veriler'!K80+'Çeyreklik Veriler'!L80+'Çeyreklik Veriler'!M80+'Çeyreklik Veriler'!N80</f>
        <v>0</v>
      </c>
      <c r="L80" s="6">
        <f>'Çeyreklik Veriler'!L80+'Çeyreklik Veriler'!M80+'Çeyreklik Veriler'!N80+'Çeyreklik Veriler'!O80</f>
        <v>0</v>
      </c>
      <c r="M80" s="6">
        <f>'Çeyreklik Veriler'!M80+'Çeyreklik Veriler'!N80+'Çeyreklik Veriler'!O80+'Çeyreklik Veriler'!P80</f>
        <v>0</v>
      </c>
      <c r="N80" s="6">
        <f>'Çeyreklik Veriler'!N80+'Çeyreklik Veriler'!O80+'Çeyreklik Veriler'!P80+'Çeyreklik Veriler'!Q80</f>
        <v>0</v>
      </c>
      <c r="O80" s="6">
        <f>'Çeyreklik Veriler'!O80+'Çeyreklik Veriler'!P80+'Çeyreklik Veriler'!Q80+'Çeyreklik Veriler'!R80</f>
        <v>0</v>
      </c>
      <c r="P80" s="6">
        <f>'Çeyreklik Veriler'!P80+'Çeyreklik Veriler'!Q80+'Çeyreklik Veriler'!R80+'Çeyreklik Veriler'!S80</f>
        <v>0</v>
      </c>
      <c r="Q80" s="6">
        <f>'Çeyreklik Veriler'!Q80+'Çeyreklik Veriler'!R80+'Çeyreklik Veriler'!S80+'Çeyreklik Veriler'!T80</f>
        <v>0</v>
      </c>
      <c r="R80" s="6">
        <f>'Çeyreklik Veriler'!R80+'Çeyreklik Veriler'!S80+'Çeyreklik Veriler'!T80+'Çeyreklik Veriler'!U80</f>
        <v>0</v>
      </c>
    </row>
    <row r="81" spans="1:18" x14ac:dyDescent="0.25">
      <c r="A81" t="str">
        <f>Froto!A81</f>
        <v>Finans Sektörü Faaliyetlerinden Brüt Kar (Zarar)</v>
      </c>
      <c r="B81" s="6">
        <f>'Çeyreklik Veriler'!B81+'Çeyreklik Veriler'!C81+'Çeyreklik Veriler'!D81+'Çeyreklik Veriler'!E81</f>
        <v>0</v>
      </c>
      <c r="C81" s="6">
        <f>'Çeyreklik Veriler'!C81+'Çeyreklik Veriler'!D81+'Çeyreklik Veriler'!E81+'Çeyreklik Veriler'!F81</f>
        <v>0</v>
      </c>
      <c r="D81" s="6">
        <f>'Çeyreklik Veriler'!D81+'Çeyreklik Veriler'!E81+'Çeyreklik Veriler'!F81+'Çeyreklik Veriler'!G81</f>
        <v>0</v>
      </c>
      <c r="E81" s="6">
        <f>'Çeyreklik Veriler'!E81+'Çeyreklik Veriler'!F81+'Çeyreklik Veriler'!G81+'Çeyreklik Veriler'!H81</f>
        <v>0</v>
      </c>
      <c r="F81" s="6">
        <f>'Çeyreklik Veriler'!F81+'Çeyreklik Veriler'!G81+'Çeyreklik Veriler'!H81+'Çeyreklik Veriler'!I81</f>
        <v>0</v>
      </c>
      <c r="G81" s="6">
        <f>'Çeyreklik Veriler'!G81+'Çeyreklik Veriler'!H81+'Çeyreklik Veriler'!I81+'Çeyreklik Veriler'!J81</f>
        <v>0</v>
      </c>
      <c r="H81" s="6">
        <f>'Çeyreklik Veriler'!H81+'Çeyreklik Veriler'!I81+'Çeyreklik Veriler'!J81+'Çeyreklik Veriler'!K81</f>
        <v>0</v>
      </c>
      <c r="I81" s="6">
        <f>'Çeyreklik Veriler'!I81+'Çeyreklik Veriler'!J81+'Çeyreklik Veriler'!K81+'Çeyreklik Veriler'!L81</f>
        <v>0</v>
      </c>
      <c r="J81" s="6">
        <f>'Çeyreklik Veriler'!J81+'Çeyreklik Veriler'!K81+'Çeyreklik Veriler'!L81+'Çeyreklik Veriler'!M81</f>
        <v>0</v>
      </c>
      <c r="K81" s="6">
        <f>'Çeyreklik Veriler'!K81+'Çeyreklik Veriler'!L81+'Çeyreklik Veriler'!M81+'Çeyreklik Veriler'!N81</f>
        <v>0</v>
      </c>
      <c r="L81" s="6">
        <f>'Çeyreklik Veriler'!L81+'Çeyreklik Veriler'!M81+'Çeyreklik Veriler'!N81+'Çeyreklik Veriler'!O81</f>
        <v>0</v>
      </c>
      <c r="M81" s="6">
        <f>'Çeyreklik Veriler'!M81+'Çeyreklik Veriler'!N81+'Çeyreklik Veriler'!O81+'Çeyreklik Veriler'!P81</f>
        <v>0</v>
      </c>
      <c r="N81" s="6">
        <f>'Çeyreklik Veriler'!N81+'Çeyreklik Veriler'!O81+'Çeyreklik Veriler'!P81+'Çeyreklik Veriler'!Q81</f>
        <v>0</v>
      </c>
      <c r="O81" s="6">
        <f>'Çeyreklik Veriler'!O81+'Çeyreklik Veriler'!P81+'Çeyreklik Veriler'!Q81+'Çeyreklik Veriler'!R81</f>
        <v>0</v>
      </c>
      <c r="P81" s="6">
        <f>'Çeyreklik Veriler'!P81+'Çeyreklik Veriler'!Q81+'Çeyreklik Veriler'!R81+'Çeyreklik Veriler'!S81</f>
        <v>0</v>
      </c>
      <c r="Q81" s="6">
        <f>'Çeyreklik Veriler'!Q81+'Çeyreklik Veriler'!R81+'Çeyreklik Veriler'!S81+'Çeyreklik Veriler'!T81</f>
        <v>0</v>
      </c>
      <c r="R81" s="6">
        <f>'Çeyreklik Veriler'!R81+'Çeyreklik Veriler'!S81+'Çeyreklik Veriler'!T81+'Çeyreklik Veriler'!U81</f>
        <v>0</v>
      </c>
    </row>
    <row r="82" spans="1:18" x14ac:dyDescent="0.25">
      <c r="A82" t="str">
        <f>Froto!A82</f>
        <v>Diğer Gelir ve Giderler</v>
      </c>
      <c r="B82" s="6">
        <f>'Çeyreklik Veriler'!B82+'Çeyreklik Veriler'!C82+'Çeyreklik Veriler'!D82+'Çeyreklik Veriler'!E82</f>
        <v>0</v>
      </c>
      <c r="C82" s="6">
        <f>'Çeyreklik Veriler'!C82+'Çeyreklik Veriler'!D82+'Çeyreklik Veriler'!E82+'Çeyreklik Veriler'!F82</f>
        <v>0</v>
      </c>
      <c r="D82" s="6">
        <f>'Çeyreklik Veriler'!D82+'Çeyreklik Veriler'!E82+'Çeyreklik Veriler'!F82+'Çeyreklik Veriler'!G82</f>
        <v>0</v>
      </c>
      <c r="E82" s="6">
        <f>'Çeyreklik Veriler'!E82+'Çeyreklik Veriler'!F82+'Çeyreklik Veriler'!G82+'Çeyreklik Veriler'!H82</f>
        <v>0</v>
      </c>
      <c r="F82" s="6">
        <f>'Çeyreklik Veriler'!F82+'Çeyreklik Veriler'!G82+'Çeyreklik Veriler'!H82+'Çeyreklik Veriler'!I82</f>
        <v>0</v>
      </c>
      <c r="G82" s="6">
        <f>'Çeyreklik Veriler'!G82+'Çeyreklik Veriler'!H82+'Çeyreklik Veriler'!I82+'Çeyreklik Veriler'!J82</f>
        <v>0</v>
      </c>
      <c r="H82" s="6">
        <f>'Çeyreklik Veriler'!H82+'Çeyreklik Veriler'!I82+'Çeyreklik Veriler'!J82+'Çeyreklik Veriler'!K82</f>
        <v>0</v>
      </c>
      <c r="I82" s="6">
        <f>'Çeyreklik Veriler'!I82+'Çeyreklik Veriler'!J82+'Çeyreklik Veriler'!K82+'Çeyreklik Veriler'!L82</f>
        <v>0</v>
      </c>
      <c r="J82" s="6">
        <f>'Çeyreklik Veriler'!J82+'Çeyreklik Veriler'!K82+'Çeyreklik Veriler'!L82+'Çeyreklik Veriler'!M82</f>
        <v>0</v>
      </c>
      <c r="K82" s="6">
        <f>'Çeyreklik Veriler'!K82+'Çeyreklik Veriler'!L82+'Çeyreklik Veriler'!M82+'Çeyreklik Veriler'!N82</f>
        <v>0</v>
      </c>
      <c r="L82" s="6">
        <f>'Çeyreklik Veriler'!L82+'Çeyreklik Veriler'!M82+'Çeyreklik Veriler'!N82+'Çeyreklik Veriler'!O82</f>
        <v>0</v>
      </c>
      <c r="M82" s="6">
        <f>'Çeyreklik Veriler'!M82+'Çeyreklik Veriler'!N82+'Çeyreklik Veriler'!O82+'Çeyreklik Veriler'!P82</f>
        <v>0</v>
      </c>
      <c r="N82" s="6">
        <f>'Çeyreklik Veriler'!N82+'Çeyreklik Veriler'!O82+'Çeyreklik Veriler'!P82+'Çeyreklik Veriler'!Q82</f>
        <v>0</v>
      </c>
      <c r="O82" s="6">
        <f>'Çeyreklik Veriler'!O82+'Çeyreklik Veriler'!P82+'Çeyreklik Veriler'!Q82+'Çeyreklik Veriler'!R82</f>
        <v>0</v>
      </c>
      <c r="P82" s="6">
        <f>'Çeyreklik Veriler'!P82+'Çeyreklik Veriler'!Q82+'Çeyreklik Veriler'!R82+'Çeyreklik Veriler'!S82</f>
        <v>0</v>
      </c>
      <c r="Q82" s="6">
        <f>'Çeyreklik Veriler'!Q82+'Çeyreklik Veriler'!R82+'Çeyreklik Veriler'!S82+'Çeyreklik Veriler'!T82</f>
        <v>0</v>
      </c>
      <c r="R82" s="6">
        <f>'Çeyreklik Veriler'!R82+'Çeyreklik Veriler'!S82+'Çeyreklik Veriler'!T82+'Çeyreklik Veriler'!U82</f>
        <v>0</v>
      </c>
    </row>
    <row r="83" spans="1:18" x14ac:dyDescent="0.25">
      <c r="A83" t="str">
        <f>Froto!A83</f>
        <v>BRÜT KAR (ZARAR)</v>
      </c>
      <c r="B83" s="6">
        <f>'Çeyreklik Veriler'!B83+'Çeyreklik Veriler'!C83+'Çeyreklik Veriler'!D83+'Çeyreklik Veriler'!E83</f>
        <v>23941244000</v>
      </c>
      <c r="C83" s="6">
        <f>'Çeyreklik Veriler'!C83+'Çeyreklik Veriler'!D83+'Çeyreklik Veriler'!E83+'Çeyreklik Veriler'!F83</f>
        <v>19809368000</v>
      </c>
      <c r="D83" s="6">
        <f>'Çeyreklik Veriler'!D83+'Çeyreklik Veriler'!E83+'Çeyreklik Veriler'!F83+'Çeyreklik Veriler'!G83</f>
        <v>16441285000</v>
      </c>
      <c r="E83" s="6">
        <f>'Çeyreklik Veriler'!E83+'Çeyreklik Veriler'!F83+'Çeyreklik Veriler'!G83+'Çeyreklik Veriler'!H83</f>
        <v>12805201000</v>
      </c>
      <c r="F83" s="6">
        <f>'Çeyreklik Veriler'!F83+'Çeyreklik Veriler'!G83+'Çeyreklik Veriler'!H83+'Çeyreklik Veriler'!I83</f>
        <v>11154160000</v>
      </c>
      <c r="G83" s="6">
        <f>'Çeyreklik Veriler'!G83+'Çeyreklik Veriler'!H83+'Çeyreklik Veriler'!I83+'Çeyreklik Veriler'!J83</f>
        <v>8691713000</v>
      </c>
      <c r="H83" s="6">
        <f>'Çeyreklik Veriler'!H83+'Çeyreklik Veriler'!I83+'Çeyreklik Veriler'!J83+'Çeyreklik Veriler'!K83</f>
        <v>8021441000</v>
      </c>
      <c r="I83" s="6">
        <f>'Çeyreklik Veriler'!I83+'Çeyreklik Veriler'!J83+'Çeyreklik Veriler'!K83+'Çeyreklik Veriler'!L83</f>
        <v>7183085000</v>
      </c>
      <c r="J83" s="6">
        <f>'Çeyreklik Veriler'!J83+'Çeyreklik Veriler'!K83+'Çeyreklik Veriler'!L83+'Çeyreklik Veriler'!M83</f>
        <v>6186529000</v>
      </c>
      <c r="K83" s="6">
        <f>'Çeyreklik Veriler'!K83+'Çeyreklik Veriler'!L83+'Çeyreklik Veriler'!M83+'Çeyreklik Veriler'!N83</f>
        <v>4549706000</v>
      </c>
      <c r="L83" s="6">
        <f>'Çeyreklik Veriler'!L83+'Çeyreklik Veriler'!M83+'Çeyreklik Veriler'!N83+'Çeyreklik Veriler'!O83</f>
        <v>3850725000</v>
      </c>
      <c r="M83" s="6">
        <f>'Çeyreklik Veriler'!M83+'Çeyreklik Veriler'!N83+'Çeyreklik Veriler'!O83+'Çeyreklik Veriler'!P83</f>
        <v>4142962000</v>
      </c>
      <c r="N83" s="6">
        <f>'Çeyreklik Veriler'!N83+'Çeyreklik Veriler'!O83+'Çeyreklik Veriler'!P83+'Çeyreklik Veriler'!Q83</f>
        <v>4015217000</v>
      </c>
      <c r="O83" s="6">
        <f>'Çeyreklik Veriler'!O83+'Çeyreklik Veriler'!P83+'Çeyreklik Veriler'!Q83+'Çeyreklik Veriler'!R83</f>
        <v>3822514000</v>
      </c>
      <c r="P83" s="6">
        <f>'Çeyreklik Veriler'!P83+'Çeyreklik Veriler'!Q83+'Çeyreklik Veriler'!R83+'Çeyreklik Veriler'!S83</f>
        <v>3694837000</v>
      </c>
      <c r="Q83" s="6">
        <f>'Çeyreklik Veriler'!Q83+'Çeyreklik Veriler'!R83+'Çeyreklik Veriler'!S83+'Çeyreklik Veriler'!T83</f>
        <v>3645022000</v>
      </c>
      <c r="R83" s="6">
        <f>'Çeyreklik Veriler'!R83+'Çeyreklik Veriler'!S83+'Çeyreklik Veriler'!T83+'Çeyreklik Veriler'!U83</f>
        <v>3458571000</v>
      </c>
    </row>
    <row r="84" spans="1:18" x14ac:dyDescent="0.25">
      <c r="A84" t="str">
        <f>Froto!A84</f>
        <v>Pazarlama, Satış ve Dağıtım Giderleri (-)</v>
      </c>
      <c r="B84" s="6">
        <f>'Çeyreklik Veriler'!B84+'Çeyreklik Veriler'!C84+'Çeyreklik Veriler'!D84+'Çeyreklik Veriler'!E84</f>
        <v>-2756024000</v>
      </c>
      <c r="C84" s="6">
        <f>'Çeyreklik Veriler'!C84+'Çeyreklik Veriler'!D84+'Çeyreklik Veriler'!E84+'Çeyreklik Veriler'!F84</f>
        <v>-2334866000</v>
      </c>
      <c r="D84" s="6">
        <f>'Çeyreklik Veriler'!D84+'Çeyreklik Veriler'!E84+'Çeyreklik Veriler'!F84+'Çeyreklik Veriler'!G84</f>
        <v>-1967566000</v>
      </c>
      <c r="E84" s="6">
        <f>'Çeyreklik Veriler'!E84+'Çeyreklik Veriler'!F84+'Çeyreklik Veriler'!G84+'Çeyreklik Veriler'!H84</f>
        <v>-1594475000</v>
      </c>
      <c r="F84" s="6">
        <f>'Çeyreklik Veriler'!F84+'Çeyreklik Veriler'!G84+'Çeyreklik Veriler'!H84+'Çeyreklik Veriler'!I84</f>
        <v>-1323600000</v>
      </c>
      <c r="G84" s="6">
        <f>'Çeyreklik Veriler'!G84+'Çeyreklik Veriler'!H84+'Çeyreklik Veriler'!I84+'Çeyreklik Veriler'!J84</f>
        <v>-1013617000</v>
      </c>
      <c r="H84" s="6">
        <f>'Çeyreklik Veriler'!H84+'Çeyreklik Veriler'!I84+'Çeyreklik Veriler'!J84+'Çeyreklik Veriler'!K84</f>
        <v>-1009999000</v>
      </c>
      <c r="I84" s="6">
        <f>'Çeyreklik Veriler'!I84+'Çeyreklik Veriler'!J84+'Çeyreklik Veriler'!K84+'Çeyreklik Veriler'!L84</f>
        <v>-893407000</v>
      </c>
      <c r="J84" s="6">
        <f>'Çeyreklik Veriler'!J84+'Çeyreklik Veriler'!K84+'Çeyreklik Veriler'!L84+'Çeyreklik Veriler'!M84</f>
        <v>-843565000</v>
      </c>
      <c r="K84" s="6">
        <f>'Çeyreklik Veriler'!K84+'Çeyreklik Veriler'!L84+'Çeyreklik Veriler'!M84+'Çeyreklik Veriler'!N84</f>
        <v>-709615000</v>
      </c>
      <c r="L84" s="6">
        <f>'Çeyreklik Veriler'!L84+'Çeyreklik Veriler'!M84+'Çeyreklik Veriler'!N84+'Çeyreklik Veriler'!O84</f>
        <v>-621219000</v>
      </c>
      <c r="M84" s="6">
        <f>'Çeyreklik Veriler'!M84+'Çeyreklik Veriler'!N84+'Çeyreklik Veriler'!O84+'Çeyreklik Veriler'!P84</f>
        <v>-657470000</v>
      </c>
      <c r="N84" s="6">
        <f>'Çeyreklik Veriler'!N84+'Çeyreklik Veriler'!O84+'Çeyreklik Veriler'!P84+'Çeyreklik Veriler'!Q84</f>
        <v>-649102000</v>
      </c>
      <c r="O84" s="6">
        <f>'Çeyreklik Veriler'!O84+'Çeyreklik Veriler'!P84+'Çeyreklik Veriler'!Q84+'Çeyreklik Veriler'!R84</f>
        <v>-583137000</v>
      </c>
      <c r="P84" s="6">
        <f>'Çeyreklik Veriler'!P84+'Çeyreklik Veriler'!Q84+'Çeyreklik Veriler'!R84+'Çeyreklik Veriler'!S84</f>
        <v>-557835000</v>
      </c>
      <c r="Q84" s="6">
        <f>'Çeyreklik Veriler'!Q84+'Çeyreklik Veriler'!R84+'Çeyreklik Veriler'!S84+'Çeyreklik Veriler'!T84</f>
        <v>-540119000</v>
      </c>
      <c r="R84" s="6">
        <f>'Çeyreklik Veriler'!R84+'Çeyreklik Veriler'!S84+'Çeyreklik Veriler'!T84+'Çeyreklik Veriler'!U84</f>
        <v>-507218000</v>
      </c>
    </row>
    <row r="85" spans="1:18" x14ac:dyDescent="0.25">
      <c r="A85" t="str">
        <f>Froto!A85</f>
        <v>Genel Yönetim Giderleri (-)</v>
      </c>
      <c r="B85" s="6">
        <f>'Çeyreklik Veriler'!B85+'Çeyreklik Veriler'!C85+'Çeyreklik Veriler'!D85+'Çeyreklik Veriler'!E85</f>
        <v>-1903866000</v>
      </c>
      <c r="C85" s="6">
        <f>'Çeyreklik Veriler'!C85+'Çeyreklik Veriler'!D85+'Çeyreklik Veriler'!E85+'Çeyreklik Veriler'!F85</f>
        <v>-1473467000</v>
      </c>
      <c r="D85" s="6">
        <f>'Çeyreklik Veriler'!D85+'Çeyreklik Veriler'!E85+'Çeyreklik Veriler'!F85+'Çeyreklik Veriler'!G85</f>
        <v>-1100556000</v>
      </c>
      <c r="E85" s="6">
        <f>'Çeyreklik Veriler'!E85+'Çeyreklik Veriler'!F85+'Çeyreklik Veriler'!G85+'Çeyreklik Veriler'!H85</f>
        <v>-856009000</v>
      </c>
      <c r="F85" s="6">
        <f>'Çeyreklik Veriler'!F85+'Çeyreklik Veriler'!G85+'Çeyreklik Veriler'!H85+'Çeyreklik Veriler'!I85</f>
        <v>-740429000</v>
      </c>
      <c r="G85" s="6">
        <f>'Çeyreklik Veriler'!G85+'Çeyreklik Veriler'!H85+'Çeyreklik Veriler'!I85+'Çeyreklik Veriler'!J85</f>
        <v>-684629000</v>
      </c>
      <c r="H85" s="6">
        <f>'Çeyreklik Veriler'!H85+'Çeyreklik Veriler'!I85+'Çeyreklik Veriler'!J85+'Çeyreklik Veriler'!K85</f>
        <v>-637841000</v>
      </c>
      <c r="I85" s="6">
        <f>'Çeyreklik Veriler'!I85+'Çeyreklik Veriler'!J85+'Çeyreklik Veriler'!K85+'Çeyreklik Veriler'!L85</f>
        <v>-573003000</v>
      </c>
      <c r="J85" s="6">
        <f>'Çeyreklik Veriler'!J85+'Çeyreklik Veriler'!K85+'Çeyreklik Veriler'!L85+'Çeyreklik Veriler'!M85</f>
        <v>-516688000</v>
      </c>
      <c r="K85" s="6">
        <f>'Çeyreklik Veriler'!K85+'Çeyreklik Veriler'!L85+'Çeyreklik Veriler'!M85+'Çeyreklik Veriler'!N85</f>
        <v>-381793000</v>
      </c>
      <c r="L85" s="6">
        <f>'Çeyreklik Veriler'!L85+'Çeyreklik Veriler'!M85+'Çeyreklik Veriler'!N85+'Çeyreklik Veriler'!O85</f>
        <v>-374401000</v>
      </c>
      <c r="M85" s="6">
        <f>'Çeyreklik Veriler'!M85+'Çeyreklik Veriler'!N85+'Çeyreklik Veriler'!O85+'Çeyreklik Veriler'!P85</f>
        <v>-400437000</v>
      </c>
      <c r="N85" s="6">
        <f>'Çeyreklik Veriler'!N85+'Çeyreklik Veriler'!O85+'Çeyreklik Veriler'!P85+'Çeyreklik Veriler'!Q85</f>
        <v>-372893000</v>
      </c>
      <c r="O85" s="6">
        <f>'Çeyreklik Veriler'!O85+'Çeyreklik Veriler'!P85+'Çeyreklik Veriler'!Q85+'Çeyreklik Veriler'!R85</f>
        <v>-367562000</v>
      </c>
      <c r="P85" s="6">
        <f>'Çeyreklik Veriler'!P85+'Çeyreklik Veriler'!Q85+'Çeyreklik Veriler'!R85+'Çeyreklik Veriler'!S85</f>
        <v>-341025000</v>
      </c>
      <c r="Q85" s="6">
        <f>'Çeyreklik Veriler'!Q85+'Çeyreklik Veriler'!R85+'Çeyreklik Veriler'!S85+'Çeyreklik Veriler'!T85</f>
        <v>-323378000</v>
      </c>
      <c r="R85" s="6">
        <f>'Çeyreklik Veriler'!R85+'Çeyreklik Veriler'!S85+'Çeyreklik Veriler'!T85+'Çeyreklik Veriler'!U85</f>
        <v>-312143000</v>
      </c>
    </row>
    <row r="86" spans="1:18" x14ac:dyDescent="0.25">
      <c r="A86" t="str">
        <f>Froto!A86</f>
        <v>Araştırma ve Geliştirme Giderleri (-)</v>
      </c>
      <c r="B86" s="6">
        <f>'Çeyreklik Veriler'!B86+'Çeyreklik Veriler'!C86+'Çeyreklik Veriler'!D86+'Çeyreklik Veriler'!E86</f>
        <v>-1449033000</v>
      </c>
      <c r="C86" s="6">
        <f>'Çeyreklik Veriler'!C86+'Çeyreklik Veriler'!D86+'Çeyreklik Veriler'!E86+'Çeyreklik Veriler'!F86</f>
        <v>-1203296000</v>
      </c>
      <c r="D86" s="6">
        <f>'Çeyreklik Veriler'!D86+'Çeyreklik Veriler'!E86+'Çeyreklik Veriler'!F86+'Çeyreklik Veriler'!G86</f>
        <v>-987889000</v>
      </c>
      <c r="E86" s="6">
        <f>'Çeyreklik Veriler'!E86+'Çeyreklik Veriler'!F86+'Çeyreklik Veriler'!G86+'Çeyreklik Veriler'!H86</f>
        <v>-827715000</v>
      </c>
      <c r="F86" s="6">
        <f>'Çeyreklik Veriler'!F86+'Çeyreklik Veriler'!G86+'Çeyreklik Veriler'!H86+'Çeyreklik Veriler'!I86</f>
        <v>-680519000</v>
      </c>
      <c r="G86" s="6">
        <f>'Çeyreklik Veriler'!G86+'Çeyreklik Veriler'!H86+'Çeyreklik Veriler'!I86+'Çeyreklik Veriler'!J86</f>
        <v>-580022000</v>
      </c>
      <c r="H86" s="6">
        <f>'Çeyreklik Veriler'!H86+'Çeyreklik Veriler'!I86+'Çeyreklik Veriler'!J86+'Çeyreklik Veriler'!K86</f>
        <v>-529582000</v>
      </c>
      <c r="I86" s="6">
        <f>'Çeyreklik Veriler'!I86+'Çeyreklik Veriler'!J86+'Çeyreklik Veriler'!K86+'Çeyreklik Veriler'!L86</f>
        <v>-467841000</v>
      </c>
      <c r="J86" s="6">
        <f>'Çeyreklik Veriler'!J86+'Çeyreklik Veriler'!K86+'Çeyreklik Veriler'!L86+'Çeyreklik Veriler'!M86</f>
        <v>-459451000</v>
      </c>
      <c r="K86" s="6">
        <f>'Çeyreklik Veriler'!K86+'Çeyreklik Veriler'!L86+'Çeyreklik Veriler'!M86+'Çeyreklik Veriler'!N86</f>
        <v>-409988000</v>
      </c>
      <c r="L86" s="6">
        <f>'Çeyreklik Veriler'!L86+'Çeyreklik Veriler'!M86+'Çeyreklik Veriler'!N86+'Çeyreklik Veriler'!O86</f>
        <v>-405529000</v>
      </c>
      <c r="M86" s="6">
        <f>'Çeyreklik Veriler'!M86+'Çeyreklik Veriler'!N86+'Çeyreklik Veriler'!O86+'Çeyreklik Veriler'!P86</f>
        <v>-436769000</v>
      </c>
      <c r="N86" s="6">
        <f>'Çeyreklik Veriler'!N86+'Çeyreklik Veriler'!O86+'Çeyreklik Veriler'!P86+'Çeyreklik Veriler'!Q86</f>
        <v>-419583000</v>
      </c>
      <c r="O86" s="6">
        <f>'Çeyreklik Veriler'!O86+'Çeyreklik Veriler'!P86+'Çeyreklik Veriler'!Q86+'Çeyreklik Veriler'!R86</f>
        <v>-392598000</v>
      </c>
      <c r="P86" s="6">
        <f>'Çeyreklik Veriler'!P86+'Çeyreklik Veriler'!Q86+'Çeyreklik Veriler'!R86+'Çeyreklik Veriler'!S86</f>
        <v>-403225000</v>
      </c>
      <c r="Q86" s="6">
        <f>'Çeyreklik Veriler'!Q86+'Çeyreklik Veriler'!R86+'Çeyreklik Veriler'!S86+'Çeyreklik Veriler'!T86</f>
        <v>-373931000</v>
      </c>
      <c r="R86" s="6">
        <f>'Çeyreklik Veriler'!R86+'Çeyreklik Veriler'!S86+'Çeyreklik Veriler'!T86+'Çeyreklik Veriler'!U86</f>
        <v>-368568000</v>
      </c>
    </row>
    <row r="87" spans="1:18" x14ac:dyDescent="0.25">
      <c r="A87" t="str">
        <f>Froto!A87</f>
        <v>Diğer Faaliyet Gelirleri</v>
      </c>
      <c r="B87" s="6">
        <f>'Çeyreklik Veriler'!B87+'Çeyreklik Veriler'!C87+'Çeyreklik Veriler'!D87+'Çeyreklik Veriler'!E87</f>
        <v>3412894000</v>
      </c>
      <c r="C87" s="6">
        <f>'Çeyreklik Veriler'!C87+'Çeyreklik Veriler'!D87+'Çeyreklik Veriler'!E87+'Çeyreklik Veriler'!F87</f>
        <v>3182230000</v>
      </c>
      <c r="D87" s="6">
        <f>'Çeyreklik Veriler'!D87+'Çeyreklik Veriler'!E87+'Çeyreklik Veriler'!F87+'Çeyreklik Veriler'!G87</f>
        <v>2913888000</v>
      </c>
      <c r="E87" s="6">
        <f>'Çeyreklik Veriler'!E87+'Çeyreklik Veriler'!F87+'Çeyreklik Veriler'!G87+'Çeyreklik Veriler'!H87</f>
        <v>2538022000</v>
      </c>
      <c r="F87" s="6">
        <f>'Çeyreklik Veriler'!F87+'Çeyreklik Veriler'!G87+'Çeyreklik Veriler'!H87+'Çeyreklik Veriler'!I87</f>
        <v>2111012000</v>
      </c>
      <c r="G87" s="6">
        <f>'Çeyreklik Veriler'!G87+'Çeyreklik Veriler'!H87+'Çeyreklik Veriler'!I87+'Çeyreklik Veriler'!J87</f>
        <v>965899000</v>
      </c>
      <c r="H87" s="6">
        <f>'Çeyreklik Veriler'!H87+'Çeyreklik Veriler'!I87+'Çeyreklik Veriler'!J87+'Çeyreklik Veriler'!K87</f>
        <v>1123498000</v>
      </c>
      <c r="I87" s="6">
        <f>'Çeyreklik Veriler'!I87+'Çeyreklik Veriler'!J87+'Çeyreklik Veriler'!K87+'Çeyreklik Veriler'!L87</f>
        <v>1018978000</v>
      </c>
      <c r="J87" s="6">
        <f>'Çeyreklik Veriler'!J87+'Çeyreklik Veriler'!K87+'Çeyreklik Veriler'!L87+'Çeyreklik Veriler'!M87</f>
        <v>854776000</v>
      </c>
      <c r="K87" s="6">
        <f>'Çeyreklik Veriler'!K87+'Çeyreklik Veriler'!L87+'Çeyreklik Veriler'!M87+'Çeyreklik Veriler'!N87</f>
        <v>941206000</v>
      </c>
      <c r="L87" s="6">
        <f>'Çeyreklik Veriler'!L87+'Çeyreklik Veriler'!M87+'Çeyreklik Veriler'!N87+'Çeyreklik Veriler'!O87</f>
        <v>627607000</v>
      </c>
      <c r="M87" s="6">
        <f>'Çeyreklik Veriler'!M87+'Çeyreklik Veriler'!N87+'Çeyreklik Veriler'!O87+'Çeyreklik Veriler'!P87</f>
        <v>688620000</v>
      </c>
      <c r="N87" s="6">
        <f>'Çeyreklik Veriler'!N87+'Çeyreklik Veriler'!O87+'Çeyreklik Veriler'!P87+'Çeyreklik Veriler'!Q87</f>
        <v>633778000</v>
      </c>
      <c r="O87" s="6">
        <f>'Çeyreklik Veriler'!O87+'Çeyreklik Veriler'!P87+'Çeyreklik Veriler'!Q87+'Çeyreklik Veriler'!R87</f>
        <v>305632000</v>
      </c>
      <c r="P87" s="6">
        <f>'Çeyreklik Veriler'!P87+'Çeyreklik Veriler'!Q87+'Çeyreklik Veriler'!R87+'Çeyreklik Veriler'!S87</f>
        <v>597556000</v>
      </c>
      <c r="Q87" s="6">
        <f>'Çeyreklik Veriler'!Q87+'Çeyreklik Veriler'!R87+'Çeyreklik Veriler'!S87+'Çeyreklik Veriler'!T87</f>
        <v>594772000</v>
      </c>
      <c r="R87" s="6">
        <f>'Çeyreklik Veriler'!R87+'Çeyreklik Veriler'!S87+'Çeyreklik Veriler'!T87+'Çeyreklik Veriler'!U87</f>
        <v>581129000</v>
      </c>
    </row>
    <row r="88" spans="1:18" x14ac:dyDescent="0.25">
      <c r="A88" t="str">
        <f>Froto!A88</f>
        <v>Diğer Faaliyet Giderleri (-)</v>
      </c>
      <c r="B88" s="6">
        <f>'Çeyreklik Veriler'!B88+'Çeyreklik Veriler'!C88+'Çeyreklik Veriler'!D88+'Çeyreklik Veriler'!E88</f>
        <v>-2104872000</v>
      </c>
      <c r="C88" s="6">
        <f>'Çeyreklik Veriler'!C88+'Çeyreklik Veriler'!D88+'Çeyreklik Veriler'!E88+'Çeyreklik Veriler'!F88</f>
        <v>-1715854000</v>
      </c>
      <c r="D88" s="6">
        <f>'Çeyreklik Veriler'!D88+'Çeyreklik Veriler'!E88+'Çeyreklik Veriler'!F88+'Çeyreklik Veriler'!G88</f>
        <v>-1494449000</v>
      </c>
      <c r="E88" s="6">
        <f>'Çeyreklik Veriler'!E88+'Çeyreklik Veriler'!F88+'Çeyreklik Veriler'!G88+'Çeyreklik Veriler'!H88</f>
        <v>-1225155000</v>
      </c>
      <c r="F88" s="6">
        <f>'Çeyreklik Veriler'!F88+'Çeyreklik Veriler'!G88+'Çeyreklik Veriler'!H88+'Çeyreklik Veriler'!I88</f>
        <v>-1082881000</v>
      </c>
      <c r="G88" s="6">
        <f>'Çeyreklik Veriler'!G88+'Çeyreklik Veriler'!H88+'Çeyreklik Veriler'!I88+'Çeyreklik Veriler'!J88</f>
        <v>-745550000</v>
      </c>
      <c r="H88" s="6">
        <f>'Çeyreklik Veriler'!H88+'Çeyreklik Veriler'!I88+'Çeyreklik Veriler'!J88+'Çeyreklik Veriler'!K88</f>
        <v>-624134000</v>
      </c>
      <c r="I88" s="6">
        <f>'Çeyreklik Veriler'!I88+'Çeyreklik Veriler'!J88+'Çeyreklik Veriler'!K88+'Çeyreklik Veriler'!L88</f>
        <v>-535151000</v>
      </c>
      <c r="J88" s="6">
        <f>'Çeyreklik Veriler'!J88+'Çeyreklik Veriler'!K88+'Çeyreklik Veriler'!L88+'Çeyreklik Veriler'!M88</f>
        <v>-415940000</v>
      </c>
      <c r="K88" s="6">
        <f>'Çeyreklik Veriler'!K88+'Çeyreklik Veriler'!L88+'Çeyreklik Veriler'!M88+'Çeyreklik Veriler'!N88</f>
        <v>-381171000</v>
      </c>
      <c r="L88" s="6">
        <f>'Çeyreklik Veriler'!L88+'Çeyreklik Veriler'!M88+'Çeyreklik Veriler'!N88+'Çeyreklik Veriler'!O88</f>
        <v>-605360000</v>
      </c>
      <c r="M88" s="6">
        <f>'Çeyreklik Veriler'!M88+'Çeyreklik Veriler'!N88+'Çeyreklik Veriler'!O88+'Çeyreklik Veriler'!P88</f>
        <v>-724479000</v>
      </c>
      <c r="N88" s="6">
        <f>'Çeyreklik Veriler'!N88+'Çeyreklik Veriler'!O88+'Çeyreklik Veriler'!P88+'Çeyreklik Veriler'!Q88</f>
        <v>-785389000</v>
      </c>
      <c r="O88" s="6">
        <f>'Çeyreklik Veriler'!O88+'Çeyreklik Veriler'!P88+'Çeyreklik Veriler'!Q88+'Çeyreklik Veriler'!R88</f>
        <v>-792930000</v>
      </c>
      <c r="P88" s="6">
        <f>'Çeyreklik Veriler'!P88+'Çeyreklik Veriler'!Q88+'Çeyreklik Veriler'!R88+'Çeyreklik Veriler'!S88</f>
        <v>-629259000</v>
      </c>
      <c r="Q88" s="6">
        <f>'Çeyreklik Veriler'!Q88+'Çeyreklik Veriler'!R88+'Çeyreklik Veriler'!S88+'Çeyreklik Veriler'!T88</f>
        <v>-627598000</v>
      </c>
      <c r="R88" s="6">
        <f>'Çeyreklik Veriler'!R88+'Çeyreklik Veriler'!S88+'Çeyreklik Veriler'!T88+'Çeyreklik Veriler'!U88</f>
        <v>-566898000</v>
      </c>
    </row>
    <row r="89" spans="1:18" x14ac:dyDescent="0.25">
      <c r="A89" t="str">
        <f>Froto!A89</f>
        <v>Faaliyet Karı Öncesi Diğer Gelir ve Giderler</v>
      </c>
      <c r="B89" s="6">
        <f>'Çeyreklik Veriler'!B89+'Çeyreklik Veriler'!C89+'Çeyreklik Veriler'!D89+'Çeyreklik Veriler'!E89</f>
        <v>0</v>
      </c>
      <c r="C89" s="6">
        <f>'Çeyreklik Veriler'!C89+'Çeyreklik Veriler'!D89+'Çeyreklik Veriler'!E89+'Çeyreklik Veriler'!F89</f>
        <v>0</v>
      </c>
      <c r="D89" s="6">
        <f>'Çeyreklik Veriler'!D89+'Çeyreklik Veriler'!E89+'Çeyreklik Veriler'!F89+'Çeyreklik Veriler'!G89</f>
        <v>0</v>
      </c>
      <c r="E89" s="6">
        <f>'Çeyreklik Veriler'!E89+'Çeyreklik Veriler'!F89+'Çeyreklik Veriler'!G89+'Çeyreklik Veriler'!H89</f>
        <v>0</v>
      </c>
      <c r="F89" s="6">
        <f>'Çeyreklik Veriler'!F89+'Çeyreklik Veriler'!G89+'Çeyreklik Veriler'!H89+'Çeyreklik Veriler'!I89</f>
        <v>0</v>
      </c>
      <c r="G89" s="6">
        <f>'Çeyreklik Veriler'!G89+'Çeyreklik Veriler'!H89+'Çeyreklik Veriler'!I89+'Çeyreklik Veriler'!J89</f>
        <v>0</v>
      </c>
      <c r="H89" s="6">
        <f>'Çeyreklik Veriler'!H89+'Çeyreklik Veriler'!I89+'Çeyreklik Veriler'!J89+'Çeyreklik Veriler'!K89</f>
        <v>0</v>
      </c>
      <c r="I89" s="6">
        <f>'Çeyreklik Veriler'!I89+'Çeyreklik Veriler'!J89+'Çeyreklik Veriler'!K89+'Çeyreklik Veriler'!L89</f>
        <v>0</v>
      </c>
      <c r="J89" s="6">
        <f>'Çeyreklik Veriler'!J89+'Çeyreklik Veriler'!K89+'Çeyreklik Veriler'!L89+'Çeyreklik Veriler'!M89</f>
        <v>0</v>
      </c>
      <c r="K89" s="6">
        <f>'Çeyreklik Veriler'!K89+'Çeyreklik Veriler'!L89+'Çeyreklik Veriler'!M89+'Çeyreklik Veriler'!N89</f>
        <v>0</v>
      </c>
      <c r="L89" s="6">
        <f>'Çeyreklik Veriler'!L89+'Çeyreklik Veriler'!M89+'Çeyreklik Veriler'!N89+'Çeyreklik Veriler'!O89</f>
        <v>0</v>
      </c>
      <c r="M89" s="6">
        <f>'Çeyreklik Veriler'!M89+'Çeyreklik Veriler'!N89+'Çeyreklik Veriler'!O89+'Çeyreklik Veriler'!P89</f>
        <v>0</v>
      </c>
      <c r="N89" s="6">
        <f>'Çeyreklik Veriler'!N89+'Çeyreklik Veriler'!O89+'Çeyreklik Veriler'!P89+'Çeyreklik Veriler'!Q89</f>
        <v>0</v>
      </c>
      <c r="O89" s="6">
        <f>'Çeyreklik Veriler'!O89+'Çeyreklik Veriler'!P89+'Çeyreklik Veriler'!Q89+'Çeyreklik Veriler'!R89</f>
        <v>0</v>
      </c>
      <c r="P89" s="6">
        <f>'Çeyreklik Veriler'!P89+'Çeyreklik Veriler'!Q89+'Çeyreklik Veriler'!R89+'Çeyreklik Veriler'!S89</f>
        <v>0</v>
      </c>
      <c r="Q89" s="6">
        <f>'Çeyreklik Veriler'!Q89+'Çeyreklik Veriler'!R89+'Çeyreklik Veriler'!S89+'Çeyreklik Veriler'!T89</f>
        <v>0</v>
      </c>
      <c r="R89" s="6">
        <f>'Çeyreklik Veriler'!R89+'Çeyreklik Veriler'!S89+'Çeyreklik Veriler'!T89+'Çeyreklik Veriler'!U89</f>
        <v>0</v>
      </c>
    </row>
    <row r="90" spans="1:18" x14ac:dyDescent="0.25">
      <c r="A90" t="str">
        <f>Froto!A90</f>
        <v>FAALİYET KARI (ZARARI)</v>
      </c>
      <c r="B90" s="6">
        <f>'Çeyreklik Veriler'!B90+'Çeyreklik Veriler'!C90+'Çeyreklik Veriler'!D90+'Çeyreklik Veriler'!E90</f>
        <v>19140343000</v>
      </c>
      <c r="C90" s="6">
        <f>'Çeyreklik Veriler'!C90+'Çeyreklik Veriler'!D90+'Çeyreklik Veriler'!E90+'Çeyreklik Veriler'!F90</f>
        <v>16264115000</v>
      </c>
      <c r="D90" s="6">
        <f>'Çeyreklik Veriler'!D90+'Çeyreklik Veriler'!E90+'Çeyreklik Veriler'!F90+'Çeyreklik Veriler'!G90</f>
        <v>13804713000</v>
      </c>
      <c r="E90" s="6">
        <f>'Çeyreklik Veriler'!E90+'Çeyreklik Veriler'!F90+'Çeyreklik Veriler'!G90+'Çeyreklik Veriler'!H90</f>
        <v>10839869000</v>
      </c>
      <c r="F90" s="6">
        <f>'Çeyreklik Veriler'!F90+'Çeyreklik Veriler'!G90+'Çeyreklik Veriler'!H90+'Çeyreklik Veriler'!I90</f>
        <v>9437743000</v>
      </c>
      <c r="G90" s="6">
        <f>'Çeyreklik Veriler'!G90+'Çeyreklik Veriler'!H90+'Çeyreklik Veriler'!I90+'Çeyreklik Veriler'!J90</f>
        <v>6633794000</v>
      </c>
      <c r="H90" s="6">
        <f>'Çeyreklik Veriler'!H90+'Çeyreklik Veriler'!I90+'Çeyreklik Veriler'!J90+'Çeyreklik Veriler'!K90</f>
        <v>6343383000</v>
      </c>
      <c r="I90" s="6">
        <f>'Çeyreklik Veriler'!I90+'Çeyreklik Veriler'!J90+'Çeyreklik Veriler'!K90+'Çeyreklik Veriler'!L90</f>
        <v>5732661000</v>
      </c>
      <c r="J90" s="6">
        <f>'Çeyreklik Veriler'!J90+'Çeyreklik Veriler'!K90+'Çeyreklik Veriler'!L90+'Çeyreklik Veriler'!M90</f>
        <v>4805661000</v>
      </c>
      <c r="K90" s="6">
        <f>'Çeyreklik Veriler'!K90+'Çeyreklik Veriler'!L90+'Çeyreklik Veriler'!M90+'Çeyreklik Veriler'!N90</f>
        <v>3608345000</v>
      </c>
      <c r="L90" s="6">
        <f>'Çeyreklik Veriler'!L90+'Çeyreklik Veriler'!M90+'Çeyreklik Veriler'!N90+'Çeyreklik Veriler'!O90</f>
        <v>2471823000</v>
      </c>
      <c r="M90" s="6">
        <f>'Çeyreklik Veriler'!M90+'Çeyreklik Veriler'!N90+'Çeyreklik Veriler'!O90+'Çeyreklik Veriler'!P90</f>
        <v>2612427000</v>
      </c>
      <c r="N90" s="6">
        <f>'Çeyreklik Veriler'!N90+'Çeyreklik Veriler'!O90+'Çeyreklik Veriler'!P90+'Çeyreklik Veriler'!Q90</f>
        <v>2422028000</v>
      </c>
      <c r="O90" s="6">
        <f>'Çeyreklik Veriler'!O90+'Çeyreklik Veriler'!P90+'Çeyreklik Veriler'!Q90+'Çeyreklik Veriler'!R90</f>
        <v>1991919000</v>
      </c>
      <c r="P90" s="6">
        <f>'Çeyreklik Veriler'!P90+'Çeyreklik Veriler'!Q90+'Çeyreklik Veriler'!R90+'Çeyreklik Veriler'!S90</f>
        <v>2361049000</v>
      </c>
      <c r="Q90" s="6">
        <f>'Çeyreklik Veriler'!Q90+'Çeyreklik Veriler'!R90+'Çeyreklik Veriler'!S90+'Çeyreklik Veriler'!T90</f>
        <v>2374768000</v>
      </c>
      <c r="R90" s="6">
        <f>'Çeyreklik Veriler'!R90+'Çeyreklik Veriler'!S90+'Çeyreklik Veriler'!T90+'Çeyreklik Veriler'!U90</f>
        <v>2284873000</v>
      </c>
    </row>
    <row r="91" spans="1:18" x14ac:dyDescent="0.25">
      <c r="A91" t="str">
        <f>Froto!A91</f>
        <v>Net Faaliyet Kar/Zararı</v>
      </c>
      <c r="B91" s="6">
        <f>'Çeyreklik Veriler'!B91+'Çeyreklik Veriler'!C91+'Çeyreklik Veriler'!D91+'Çeyreklik Veriler'!E91</f>
        <v>17832321000</v>
      </c>
      <c r="C91" s="6">
        <f>'Çeyreklik Veriler'!C91+'Çeyreklik Veriler'!D91+'Çeyreklik Veriler'!E91+'Çeyreklik Veriler'!F91</f>
        <v>14797739000</v>
      </c>
      <c r="D91" s="6">
        <f>'Çeyreklik Veriler'!D91+'Çeyreklik Veriler'!E91+'Çeyreklik Veriler'!F91+'Çeyreklik Veriler'!G91</f>
        <v>12385274000</v>
      </c>
      <c r="E91" s="6">
        <f>'Çeyreklik Veriler'!E91+'Çeyreklik Veriler'!F91+'Çeyreklik Veriler'!G91+'Çeyreklik Veriler'!H91</f>
        <v>9527002000</v>
      </c>
      <c r="F91" s="6">
        <f>'Çeyreklik Veriler'!F91+'Çeyreklik Veriler'!G91+'Çeyreklik Veriler'!H91+'Çeyreklik Veriler'!I91</f>
        <v>8409612000</v>
      </c>
      <c r="G91" s="6">
        <f>'Çeyreklik Veriler'!G91+'Çeyreklik Veriler'!H91+'Çeyreklik Veriler'!I91+'Çeyreklik Veriler'!J91</f>
        <v>6413445000</v>
      </c>
      <c r="H91" s="6">
        <f>'Çeyreklik Veriler'!H91+'Çeyreklik Veriler'!I91+'Çeyreklik Veriler'!J91+'Çeyreklik Veriler'!K91</f>
        <v>5844019000</v>
      </c>
      <c r="I91" s="6">
        <f>'Çeyreklik Veriler'!I91+'Çeyreklik Veriler'!J91+'Çeyreklik Veriler'!K91+'Çeyreklik Veriler'!L91</f>
        <v>5248834000</v>
      </c>
      <c r="J91" s="6">
        <f>'Çeyreklik Veriler'!J91+'Çeyreklik Veriler'!K91+'Çeyreklik Veriler'!L91+'Çeyreklik Veriler'!M91</f>
        <v>4366825000</v>
      </c>
      <c r="K91" s="6">
        <f>'Çeyreklik Veriler'!K91+'Çeyreklik Veriler'!L91+'Çeyreklik Veriler'!M91+'Çeyreklik Veriler'!N91</f>
        <v>3048310000</v>
      </c>
      <c r="L91" s="6">
        <f>'Çeyreklik Veriler'!L91+'Çeyreklik Veriler'!M91+'Çeyreklik Veriler'!N91+'Çeyreklik Veriler'!O91</f>
        <v>2449576000</v>
      </c>
      <c r="M91" s="6">
        <f>'Çeyreklik Veriler'!M91+'Çeyreklik Veriler'!N91+'Çeyreklik Veriler'!O91+'Çeyreklik Veriler'!P91</f>
        <v>2648286000</v>
      </c>
      <c r="N91" s="6">
        <f>'Çeyreklik Veriler'!N91+'Çeyreklik Veriler'!O91+'Çeyreklik Veriler'!P91+'Çeyreklik Veriler'!Q91</f>
        <v>2573639000</v>
      </c>
      <c r="O91" s="6">
        <f>'Çeyreklik Veriler'!O91+'Çeyreklik Veriler'!P91+'Çeyreklik Veriler'!Q91+'Çeyreklik Veriler'!R91</f>
        <v>2479217000</v>
      </c>
      <c r="P91" s="6">
        <f>'Çeyreklik Veriler'!P91+'Çeyreklik Veriler'!Q91+'Çeyreklik Veriler'!R91+'Çeyreklik Veriler'!S91</f>
        <v>2392752000</v>
      </c>
      <c r="Q91" s="6">
        <f>'Çeyreklik Veriler'!Q91+'Çeyreklik Veriler'!R91+'Çeyreklik Veriler'!S91+'Çeyreklik Veriler'!T91</f>
        <v>2407594000</v>
      </c>
      <c r="R91" s="6">
        <f>'Çeyreklik Veriler'!R91+'Çeyreklik Veriler'!S91+'Çeyreklik Veriler'!T91+'Çeyreklik Veriler'!U91</f>
        <v>2270642000</v>
      </c>
    </row>
    <row r="92" spans="1:18" x14ac:dyDescent="0.25">
      <c r="A92" t="str">
        <f>Froto!A92</f>
        <v xml:space="preserve">  Yatırım Faaliyetlerinden Gelirler</v>
      </c>
      <c r="B92" s="6">
        <f>'Çeyreklik Veriler'!B92+'Çeyreklik Veriler'!C92+'Çeyreklik Veriler'!D92+'Çeyreklik Veriler'!E92</f>
        <v>21013000</v>
      </c>
      <c r="C92" s="6">
        <f>'Çeyreklik Veriler'!C92+'Çeyreklik Veriler'!D92+'Çeyreklik Veriler'!E92+'Çeyreklik Veriler'!F92</f>
        <v>13030000</v>
      </c>
      <c r="D92" s="6">
        <f>'Çeyreklik Veriler'!D92+'Çeyreklik Veriler'!E92+'Çeyreklik Veriler'!F92+'Çeyreklik Veriler'!G92</f>
        <v>5197000</v>
      </c>
      <c r="E92" s="6">
        <f>'Çeyreklik Veriler'!E92+'Çeyreklik Veriler'!F92+'Çeyreklik Veriler'!G92+'Çeyreklik Veriler'!H92</f>
        <v>3601000</v>
      </c>
      <c r="F92" s="6">
        <f>'Çeyreklik Veriler'!F92+'Çeyreklik Veriler'!G92+'Çeyreklik Veriler'!H92+'Çeyreklik Veriler'!I92</f>
        <v>2464000</v>
      </c>
      <c r="G92" s="6">
        <f>'Çeyreklik Veriler'!G92+'Çeyreklik Veriler'!H92+'Çeyreklik Veriler'!I92+'Çeyreklik Veriler'!J92</f>
        <v>2464000</v>
      </c>
      <c r="H92" s="6">
        <f>'Çeyreklik Veriler'!H92+'Çeyreklik Veriler'!I92+'Çeyreklik Veriler'!J92+'Çeyreklik Veriler'!K92</f>
        <v>3841000</v>
      </c>
      <c r="I92" s="6">
        <f>'Çeyreklik Veriler'!I92+'Çeyreklik Veriler'!J92+'Çeyreklik Veriler'!K92+'Çeyreklik Veriler'!L92</f>
        <v>3841000</v>
      </c>
      <c r="J92" s="6">
        <f>'Çeyreklik Veriler'!J92+'Çeyreklik Veriler'!K92+'Çeyreklik Veriler'!L92+'Çeyreklik Veriler'!M92</f>
        <v>2549000</v>
      </c>
      <c r="K92" s="6">
        <f>'Çeyreklik Veriler'!K92+'Çeyreklik Veriler'!L92+'Çeyreklik Veriler'!M92+'Çeyreklik Veriler'!N92</f>
        <v>2549000</v>
      </c>
      <c r="L92" s="6">
        <f>'Çeyreklik Veriler'!L92+'Çeyreklik Veriler'!M92+'Çeyreklik Veriler'!N92+'Çeyreklik Veriler'!O92</f>
        <v>1172000</v>
      </c>
      <c r="M92" s="6">
        <f>'Çeyreklik Veriler'!M92+'Çeyreklik Veriler'!N92+'Çeyreklik Veriler'!O92+'Çeyreklik Veriler'!P92</f>
        <v>1172000</v>
      </c>
      <c r="N92" s="6">
        <f>'Çeyreklik Veriler'!N92+'Çeyreklik Veriler'!O92+'Çeyreklik Veriler'!P92+'Çeyreklik Veriler'!Q92</f>
        <v>422000</v>
      </c>
      <c r="O92" s="6">
        <f>'Çeyreklik Veriler'!O92+'Çeyreklik Veriler'!P92+'Çeyreklik Veriler'!Q92+'Çeyreklik Veriler'!R92</f>
        <v>422000</v>
      </c>
      <c r="P92" s="6">
        <f>'Çeyreklik Veriler'!P92+'Çeyreklik Veriler'!Q92+'Çeyreklik Veriler'!R92+'Çeyreklik Veriler'!S92</f>
        <v>422000</v>
      </c>
      <c r="Q92" s="6">
        <f>'Çeyreklik Veriler'!Q92+'Çeyreklik Veriler'!R92+'Çeyreklik Veriler'!S92+'Çeyreklik Veriler'!T92</f>
        <v>422000</v>
      </c>
      <c r="R92" s="6">
        <f>'Çeyreklik Veriler'!R92+'Çeyreklik Veriler'!S92+'Çeyreklik Veriler'!T92+'Çeyreklik Veriler'!U92</f>
        <v>410000</v>
      </c>
    </row>
    <row r="93" spans="1:18" x14ac:dyDescent="0.25">
      <c r="A93" t="str">
        <f>Froto!A93</f>
        <v xml:space="preserve">  Yatırım Faaliyetlerinden Giderler (-)</v>
      </c>
      <c r="B93" s="6">
        <f>'Çeyreklik Veriler'!B93+'Çeyreklik Veriler'!C93+'Çeyreklik Veriler'!D93+'Çeyreklik Veriler'!E93</f>
        <v>-34930000</v>
      </c>
      <c r="C93" s="6">
        <f>'Çeyreklik Veriler'!C93+'Çeyreklik Veriler'!D93+'Çeyreklik Veriler'!E93+'Çeyreklik Veriler'!F93</f>
        <v>-24889000</v>
      </c>
      <c r="D93" s="6">
        <f>'Çeyreklik Veriler'!D93+'Çeyreklik Veriler'!E93+'Çeyreklik Veriler'!F93+'Çeyreklik Veriler'!G93</f>
        <v>-53358000</v>
      </c>
      <c r="E93" s="6">
        <f>'Çeyreklik Veriler'!E93+'Çeyreklik Veriler'!F93+'Çeyreklik Veriler'!G93+'Çeyreklik Veriler'!H93</f>
        <v>-53787000</v>
      </c>
      <c r="F93" s="6">
        <f>'Çeyreklik Veriler'!F93+'Çeyreklik Veriler'!G93+'Çeyreklik Veriler'!H93+'Çeyreklik Veriler'!I93</f>
        <v>-37561000</v>
      </c>
      <c r="G93" s="6">
        <f>'Çeyreklik Veriler'!G93+'Çeyreklik Veriler'!H93+'Çeyreklik Veriler'!I93+'Çeyreklik Veriler'!J93</f>
        <v>-35345000</v>
      </c>
      <c r="H93" s="6">
        <f>'Çeyreklik Veriler'!H93+'Çeyreklik Veriler'!I93+'Çeyreklik Veriler'!J93+'Çeyreklik Veriler'!K93</f>
        <v>-2097000</v>
      </c>
      <c r="I93" s="6">
        <f>'Çeyreklik Veriler'!I93+'Çeyreklik Veriler'!J93+'Çeyreklik Veriler'!K93+'Çeyreklik Veriler'!L93</f>
        <v>-1073000</v>
      </c>
      <c r="J93" s="6">
        <f>'Çeyreklik Veriler'!J93+'Çeyreklik Veriler'!K93+'Çeyreklik Veriler'!L93+'Çeyreklik Veriler'!M93</f>
        <v>-1359000</v>
      </c>
      <c r="K93" s="6">
        <f>'Çeyreklik Veriler'!K93+'Çeyreklik Veriler'!L93+'Çeyreklik Veriler'!M93+'Çeyreklik Veriler'!N93</f>
        <v>-280000</v>
      </c>
      <c r="L93" s="6">
        <f>'Çeyreklik Veriler'!L93+'Çeyreklik Veriler'!M93+'Çeyreklik Veriler'!N93+'Çeyreklik Veriler'!O93</f>
        <v>-331000</v>
      </c>
      <c r="M93" s="6">
        <f>'Çeyreklik Veriler'!M93+'Çeyreklik Veriler'!N93+'Çeyreklik Veriler'!O93+'Çeyreklik Veriler'!P93</f>
        <v>-124000</v>
      </c>
      <c r="N93" s="6">
        <f>'Çeyreklik Veriler'!N93+'Çeyreklik Veriler'!O93+'Çeyreklik Veriler'!P93+'Çeyreklik Veriler'!Q93</f>
        <v>-714000</v>
      </c>
      <c r="O93" s="6">
        <f>'Çeyreklik Veriler'!O93+'Çeyreklik Veriler'!P93+'Çeyreklik Veriler'!Q93+'Çeyreklik Veriler'!R93</f>
        <v>-1401000</v>
      </c>
      <c r="P93" s="6">
        <f>'Çeyreklik Veriler'!P93+'Çeyreklik Veriler'!Q93+'Çeyreklik Veriler'!R93+'Çeyreklik Veriler'!S93</f>
        <v>-2796000</v>
      </c>
      <c r="Q93" s="6">
        <f>'Çeyreklik Veriler'!Q93+'Çeyreklik Veriler'!R93+'Çeyreklik Veriler'!S93+'Çeyreklik Veriler'!T93</f>
        <v>-3251000</v>
      </c>
      <c r="R93" s="6">
        <f>'Çeyreklik Veriler'!R93+'Çeyreklik Veriler'!S93+'Çeyreklik Veriler'!T93+'Çeyreklik Veriler'!U93</f>
        <v>-3855000</v>
      </c>
    </row>
    <row r="94" spans="1:18" x14ac:dyDescent="0.25">
      <c r="A94" t="str">
        <f>Froto!A94</f>
        <v xml:space="preserve">  Diğer Gelir ve Giderler</v>
      </c>
      <c r="B94" s="6">
        <f>'Çeyreklik Veriler'!B94+'Çeyreklik Veriler'!C94+'Çeyreklik Veriler'!D94+'Çeyreklik Veriler'!E94</f>
        <v>0</v>
      </c>
      <c r="C94" s="6">
        <f>'Çeyreklik Veriler'!C94+'Çeyreklik Veriler'!D94+'Çeyreklik Veriler'!E94+'Çeyreklik Veriler'!F94</f>
        <v>0</v>
      </c>
      <c r="D94" s="6">
        <f>'Çeyreklik Veriler'!D94+'Çeyreklik Veriler'!E94+'Çeyreklik Veriler'!F94+'Çeyreklik Veriler'!G94</f>
        <v>0</v>
      </c>
      <c r="E94" s="6">
        <f>'Çeyreklik Veriler'!E94+'Çeyreklik Veriler'!F94+'Çeyreklik Veriler'!G94+'Çeyreklik Veriler'!H94</f>
        <v>0</v>
      </c>
      <c r="F94" s="6">
        <f>'Çeyreklik Veriler'!F94+'Çeyreklik Veriler'!G94+'Çeyreklik Veriler'!H94+'Çeyreklik Veriler'!I94</f>
        <v>0</v>
      </c>
      <c r="G94" s="6">
        <f>'Çeyreklik Veriler'!G94+'Çeyreklik Veriler'!H94+'Çeyreklik Veriler'!I94+'Çeyreklik Veriler'!J94</f>
        <v>0</v>
      </c>
      <c r="H94" s="6">
        <f>'Çeyreklik Veriler'!H94+'Çeyreklik Veriler'!I94+'Çeyreklik Veriler'!J94+'Çeyreklik Veriler'!K94</f>
        <v>0</v>
      </c>
      <c r="I94" s="6">
        <f>'Çeyreklik Veriler'!I94+'Çeyreklik Veriler'!J94+'Çeyreklik Veriler'!K94+'Çeyreklik Veriler'!L94</f>
        <v>0</v>
      </c>
      <c r="J94" s="6">
        <f>'Çeyreklik Veriler'!J94+'Çeyreklik Veriler'!K94+'Çeyreklik Veriler'!L94+'Çeyreklik Veriler'!M94</f>
        <v>0</v>
      </c>
      <c r="K94" s="6">
        <f>'Çeyreklik Veriler'!K94+'Çeyreklik Veriler'!L94+'Çeyreklik Veriler'!M94+'Çeyreklik Veriler'!N94</f>
        <v>0</v>
      </c>
      <c r="L94" s="6">
        <f>'Çeyreklik Veriler'!L94+'Çeyreklik Veriler'!M94+'Çeyreklik Veriler'!N94+'Çeyreklik Veriler'!O94</f>
        <v>0</v>
      </c>
      <c r="M94" s="6">
        <f>'Çeyreklik Veriler'!M94+'Çeyreklik Veriler'!N94+'Çeyreklik Veriler'!O94+'Çeyreklik Veriler'!P94</f>
        <v>0</v>
      </c>
      <c r="N94" s="6">
        <f>'Çeyreklik Veriler'!N94+'Çeyreklik Veriler'!O94+'Çeyreklik Veriler'!P94+'Çeyreklik Veriler'!Q94</f>
        <v>0</v>
      </c>
      <c r="O94" s="6">
        <f>'Çeyreklik Veriler'!O94+'Çeyreklik Veriler'!P94+'Çeyreklik Veriler'!Q94+'Çeyreklik Veriler'!R94</f>
        <v>0</v>
      </c>
      <c r="P94" s="6">
        <f>'Çeyreklik Veriler'!P94+'Çeyreklik Veriler'!Q94+'Çeyreklik Veriler'!R94+'Çeyreklik Veriler'!S94</f>
        <v>0</v>
      </c>
      <c r="Q94" s="6">
        <f>'Çeyreklik Veriler'!Q94+'Çeyreklik Veriler'!R94+'Çeyreklik Veriler'!S94+'Çeyreklik Veriler'!T94</f>
        <v>0</v>
      </c>
      <c r="R94" s="6">
        <f>'Çeyreklik Veriler'!R94+'Çeyreklik Veriler'!S94+'Çeyreklik Veriler'!T94+'Çeyreklik Veriler'!U94</f>
        <v>0</v>
      </c>
    </row>
    <row r="95" spans="1:18" x14ac:dyDescent="0.25">
      <c r="A95" t="str">
        <f>Froto!A95</f>
        <v>Özkaynak Yöntemiyle Değerlenen Yatırımların Kar/Zararlarındaki Paylar</v>
      </c>
      <c r="B95" s="6">
        <f>'Çeyreklik Veriler'!B95+'Çeyreklik Veriler'!C95+'Çeyreklik Veriler'!D95+'Çeyreklik Veriler'!E95</f>
        <v>0</v>
      </c>
      <c r="C95" s="6">
        <f>'Çeyreklik Veriler'!C95+'Çeyreklik Veriler'!D95+'Çeyreklik Veriler'!E95+'Çeyreklik Veriler'!F95</f>
        <v>0</v>
      </c>
      <c r="D95" s="6">
        <f>'Çeyreklik Veriler'!D95+'Çeyreklik Veriler'!E95+'Çeyreklik Veriler'!F95+'Çeyreklik Veriler'!G95</f>
        <v>0</v>
      </c>
      <c r="E95" s="6">
        <f>'Çeyreklik Veriler'!E95+'Çeyreklik Veriler'!F95+'Çeyreklik Veriler'!G95+'Çeyreklik Veriler'!H95</f>
        <v>0</v>
      </c>
      <c r="F95" s="6">
        <f>'Çeyreklik Veriler'!F95+'Çeyreklik Veriler'!G95+'Çeyreklik Veriler'!H95+'Çeyreklik Veriler'!I95</f>
        <v>0</v>
      </c>
      <c r="G95" s="6">
        <f>'Çeyreklik Veriler'!G95+'Çeyreklik Veriler'!H95+'Çeyreklik Veriler'!I95+'Çeyreklik Veriler'!J95</f>
        <v>0</v>
      </c>
      <c r="H95" s="6">
        <f>'Çeyreklik Veriler'!H95+'Çeyreklik Veriler'!I95+'Çeyreklik Veriler'!J95+'Çeyreklik Veriler'!K95</f>
        <v>0</v>
      </c>
      <c r="I95" s="6">
        <f>'Çeyreklik Veriler'!I95+'Çeyreklik Veriler'!J95+'Çeyreklik Veriler'!K95+'Çeyreklik Veriler'!L95</f>
        <v>0</v>
      </c>
      <c r="J95" s="6">
        <f>'Çeyreklik Veriler'!J95+'Çeyreklik Veriler'!K95+'Çeyreklik Veriler'!L95+'Çeyreklik Veriler'!M95</f>
        <v>0</v>
      </c>
      <c r="K95" s="6">
        <f>'Çeyreklik Veriler'!K95+'Çeyreklik Veriler'!L95+'Çeyreklik Veriler'!M95+'Çeyreklik Veriler'!N95</f>
        <v>0</v>
      </c>
      <c r="L95" s="6">
        <f>'Çeyreklik Veriler'!L95+'Çeyreklik Veriler'!M95+'Çeyreklik Veriler'!N95+'Çeyreklik Veriler'!O95</f>
        <v>-783000</v>
      </c>
      <c r="M95" s="6">
        <f>'Çeyreklik Veriler'!M95+'Çeyreklik Veriler'!N95+'Çeyreklik Veriler'!O95+'Çeyreklik Veriler'!P95</f>
        <v>-901000</v>
      </c>
      <c r="N95" s="6">
        <f>'Çeyreklik Veriler'!N95+'Çeyreklik Veriler'!O95+'Çeyreklik Veriler'!P95+'Çeyreklik Veriler'!Q95</f>
        <v>-933000</v>
      </c>
      <c r="O95" s="6">
        <f>'Çeyreklik Veriler'!O95+'Çeyreklik Veriler'!P95+'Çeyreklik Veriler'!Q95+'Çeyreklik Veriler'!R95</f>
        <v>-1006000</v>
      </c>
      <c r="P95" s="6">
        <f>'Çeyreklik Veriler'!P95+'Çeyreklik Veriler'!Q95+'Çeyreklik Veriler'!R95+'Çeyreklik Veriler'!S95</f>
        <v>-244000</v>
      </c>
      <c r="Q95" s="6">
        <f>'Çeyreklik Veriler'!Q95+'Çeyreklik Veriler'!R95+'Çeyreklik Veriler'!S95+'Çeyreklik Veriler'!T95</f>
        <v>-126000</v>
      </c>
      <c r="R95" s="6">
        <f>'Çeyreklik Veriler'!R95+'Çeyreklik Veriler'!S95+'Çeyreklik Veriler'!T95+'Çeyreklik Veriler'!U95</f>
        <v>-94000</v>
      </c>
    </row>
    <row r="96" spans="1:18" x14ac:dyDescent="0.25">
      <c r="A96" t="str">
        <f>Froto!A96</f>
        <v>Finansman Gideri Öncesi Faaliyet Karı/Zararı</v>
      </c>
      <c r="B96" s="6">
        <f>'Çeyreklik Veriler'!B96+'Çeyreklik Veriler'!C96+'Çeyreklik Veriler'!D96+'Çeyreklik Veriler'!E96</f>
        <v>19126426000</v>
      </c>
      <c r="C96" s="6">
        <f>'Çeyreklik Veriler'!C96+'Çeyreklik Veriler'!D96+'Çeyreklik Veriler'!E96+'Çeyreklik Veriler'!F96</f>
        <v>16252256000</v>
      </c>
      <c r="D96" s="6">
        <f>'Çeyreklik Veriler'!D96+'Çeyreklik Veriler'!E96+'Çeyreklik Veriler'!F96+'Çeyreklik Veriler'!G96</f>
        <v>13756552000</v>
      </c>
      <c r="E96" s="6">
        <f>'Çeyreklik Veriler'!E96+'Çeyreklik Veriler'!F96+'Çeyreklik Veriler'!G96+'Çeyreklik Veriler'!H96</f>
        <v>10789683000</v>
      </c>
      <c r="F96" s="6">
        <f>'Çeyreklik Veriler'!F96+'Çeyreklik Veriler'!G96+'Çeyreklik Veriler'!H96+'Çeyreklik Veriler'!I96</f>
        <v>9402646000</v>
      </c>
      <c r="G96" s="6">
        <f>'Çeyreklik Veriler'!G96+'Çeyreklik Veriler'!H96+'Çeyreklik Veriler'!I96+'Çeyreklik Veriler'!J96</f>
        <v>6600913000</v>
      </c>
      <c r="H96" s="6">
        <f>'Çeyreklik Veriler'!H96+'Çeyreklik Veriler'!I96+'Çeyreklik Veriler'!J96+'Çeyreklik Veriler'!K96</f>
        <v>6345127000</v>
      </c>
      <c r="I96" s="6">
        <f>'Çeyreklik Veriler'!I96+'Çeyreklik Veriler'!J96+'Çeyreklik Veriler'!K96+'Çeyreklik Veriler'!L96</f>
        <v>5735429000</v>
      </c>
      <c r="J96" s="6">
        <f>'Çeyreklik Veriler'!J96+'Çeyreklik Veriler'!K96+'Çeyreklik Veriler'!L96+'Çeyreklik Veriler'!M96</f>
        <v>4806851000</v>
      </c>
      <c r="K96" s="6">
        <f>'Çeyreklik Veriler'!K96+'Çeyreklik Veriler'!L96+'Çeyreklik Veriler'!M96+'Çeyreklik Veriler'!N96</f>
        <v>3610614000</v>
      </c>
      <c r="L96" s="6">
        <f>'Çeyreklik Veriler'!L96+'Çeyreklik Veriler'!M96+'Çeyreklik Veriler'!N96+'Çeyreklik Veriler'!O96</f>
        <v>2471881000</v>
      </c>
      <c r="M96" s="6">
        <f>'Çeyreklik Veriler'!M96+'Çeyreklik Veriler'!N96+'Çeyreklik Veriler'!O96+'Çeyreklik Veriler'!P96</f>
        <v>2612574000</v>
      </c>
      <c r="N96" s="6">
        <f>'Çeyreklik Veriler'!N96+'Çeyreklik Veriler'!O96+'Çeyreklik Veriler'!P96+'Çeyreklik Veriler'!Q96</f>
        <v>2420803000</v>
      </c>
      <c r="O96" s="6">
        <f>'Çeyreklik Veriler'!O96+'Çeyreklik Veriler'!P96+'Çeyreklik Veriler'!Q96+'Çeyreklik Veriler'!R96</f>
        <v>1989934000</v>
      </c>
      <c r="P96" s="6">
        <f>'Çeyreklik Veriler'!P96+'Çeyreklik Veriler'!Q96+'Çeyreklik Veriler'!R96+'Çeyreklik Veriler'!S96</f>
        <v>2358431000</v>
      </c>
      <c r="Q96" s="6">
        <f>'Çeyreklik Veriler'!Q96+'Çeyreklik Veriler'!R96+'Çeyreklik Veriler'!S96+'Çeyreklik Veriler'!T96</f>
        <v>2371813000</v>
      </c>
      <c r="R96" s="6">
        <f>'Çeyreklik Veriler'!R96+'Çeyreklik Veriler'!S96+'Çeyreklik Veriler'!T96+'Çeyreklik Veriler'!U96</f>
        <v>2281334000</v>
      </c>
    </row>
    <row r="97" spans="1:18" x14ac:dyDescent="0.25">
      <c r="A97" t="str">
        <f>Froto!A97</f>
        <v>(Esas Faaliyet Dışı) Finansal Gelirler</v>
      </c>
      <c r="B97" s="6">
        <f>'Çeyreklik Veriler'!B97+'Çeyreklik Veriler'!C97+'Çeyreklik Veriler'!D97+'Çeyreklik Veriler'!E97</f>
        <v>6694430000</v>
      </c>
      <c r="C97" s="6">
        <f>'Çeyreklik Veriler'!C97+'Çeyreklik Veriler'!D97+'Çeyreklik Veriler'!E97+'Çeyreklik Veriler'!F97</f>
        <v>9340526000</v>
      </c>
      <c r="D97" s="6">
        <f>'Çeyreklik Veriler'!D97+'Çeyreklik Veriler'!E97+'Çeyreklik Veriler'!F97+'Çeyreklik Veriler'!G97</f>
        <v>9046636000</v>
      </c>
      <c r="E97" s="6">
        <f>'Çeyreklik Veriler'!E97+'Çeyreklik Veriler'!F97+'Çeyreklik Veriler'!G97+'Çeyreklik Veriler'!H97</f>
        <v>6568712000</v>
      </c>
      <c r="F97" s="6">
        <f>'Çeyreklik Veriler'!F97+'Çeyreklik Veriler'!G97+'Çeyreklik Veriler'!H97+'Çeyreklik Veriler'!I97</f>
        <v>5811748000</v>
      </c>
      <c r="G97" s="6">
        <f>'Çeyreklik Veriler'!G97+'Çeyreklik Veriler'!H97+'Çeyreklik Veriler'!I97+'Çeyreklik Veriler'!J97</f>
        <v>3312918000</v>
      </c>
      <c r="H97" s="6">
        <f>'Çeyreklik Veriler'!H97+'Çeyreklik Veriler'!I97+'Çeyreklik Veriler'!J97+'Çeyreklik Veriler'!K97</f>
        <v>2698509000</v>
      </c>
      <c r="I97" s="6">
        <f>'Çeyreklik Veriler'!I97+'Çeyreklik Veriler'!J97+'Çeyreklik Veriler'!K97+'Çeyreklik Veriler'!L97</f>
        <v>2424879000</v>
      </c>
      <c r="J97" s="6">
        <f>'Çeyreklik Veriler'!J97+'Çeyreklik Veriler'!K97+'Çeyreklik Veriler'!L97+'Çeyreklik Veriler'!M97</f>
        <v>1855354000</v>
      </c>
      <c r="K97" s="6">
        <f>'Çeyreklik Veriler'!K97+'Çeyreklik Veriler'!L97+'Çeyreklik Veriler'!M97+'Çeyreklik Veriler'!N97</f>
        <v>1174943000</v>
      </c>
      <c r="L97" s="6">
        <f>'Çeyreklik Veriler'!L97+'Çeyreklik Veriler'!M97+'Çeyreklik Veriler'!N97+'Çeyreklik Veriler'!O97</f>
        <v>1340551000</v>
      </c>
      <c r="M97" s="6">
        <f>'Çeyreklik Veriler'!M97+'Çeyreklik Veriler'!N97+'Çeyreklik Veriler'!O97+'Çeyreklik Veriler'!P97</f>
        <v>1277100000</v>
      </c>
      <c r="N97" s="6">
        <f>'Çeyreklik Veriler'!N97+'Çeyreklik Veriler'!O97+'Çeyreklik Veriler'!P97+'Çeyreklik Veriler'!Q97</f>
        <v>1185601000</v>
      </c>
      <c r="O97" s="6">
        <f>'Çeyreklik Veriler'!O97+'Çeyreklik Veriler'!P97+'Çeyreklik Veriler'!Q97+'Çeyreklik Veriler'!R97</f>
        <v>1876395000</v>
      </c>
      <c r="P97" s="6">
        <f>'Çeyreklik Veriler'!P97+'Çeyreklik Veriler'!Q97+'Çeyreklik Veriler'!R97+'Çeyreklik Veriler'!S97</f>
        <v>2051293000</v>
      </c>
      <c r="Q97" s="6">
        <f>'Çeyreklik Veriler'!Q97+'Çeyreklik Veriler'!R97+'Çeyreklik Veriler'!S97+'Çeyreklik Veriler'!T97</f>
        <v>1984868000</v>
      </c>
      <c r="R97" s="6">
        <f>'Çeyreklik Veriler'!R97+'Çeyreklik Veriler'!S97+'Çeyreklik Veriler'!T97+'Çeyreklik Veriler'!U97</f>
        <v>1981623000</v>
      </c>
    </row>
    <row r="98" spans="1:18" x14ac:dyDescent="0.25">
      <c r="A98" t="str">
        <f>Froto!A98</f>
        <v>(Esas Faaliyet Dışı) Finansal Giderler (-)</v>
      </c>
      <c r="B98" s="6">
        <f>'Çeyreklik Veriler'!B98+'Çeyreklik Veriler'!C98+'Çeyreklik Veriler'!D98+'Çeyreklik Veriler'!E98</f>
        <v>-10197649000</v>
      </c>
      <c r="C98" s="6">
        <f>'Çeyreklik Veriler'!C98+'Çeyreklik Veriler'!D98+'Çeyreklik Veriler'!E98+'Çeyreklik Veriler'!F98</f>
        <v>-12329764000</v>
      </c>
      <c r="D98" s="6">
        <f>'Çeyreklik Veriler'!D98+'Çeyreklik Veriler'!E98+'Çeyreklik Veriler'!F98+'Çeyreklik Veriler'!G98</f>
        <v>-11252802000</v>
      </c>
      <c r="E98" s="6">
        <f>'Çeyreklik Veriler'!E98+'Çeyreklik Veriler'!F98+'Çeyreklik Veriler'!G98+'Çeyreklik Veriler'!H98</f>
        <v>-8203594000</v>
      </c>
      <c r="F98" s="6">
        <f>'Çeyreklik Veriler'!F98+'Çeyreklik Veriler'!G98+'Çeyreklik Veriler'!H98+'Çeyreklik Veriler'!I98</f>
        <v>-6527635000</v>
      </c>
      <c r="G98" s="6">
        <f>'Çeyreklik Veriler'!G98+'Çeyreklik Veriler'!H98+'Çeyreklik Veriler'!I98+'Çeyreklik Veriler'!J98</f>
        <v>-3418454000</v>
      </c>
      <c r="H98" s="6">
        <f>'Çeyreklik Veriler'!H98+'Çeyreklik Veriler'!I98+'Çeyreklik Veriler'!J98+'Çeyreklik Veriler'!K98</f>
        <v>-3034573000</v>
      </c>
      <c r="I98" s="6">
        <f>'Çeyreklik Veriler'!I98+'Çeyreklik Veriler'!J98+'Çeyreklik Veriler'!K98+'Çeyreklik Veriler'!L98</f>
        <v>-2846648000</v>
      </c>
      <c r="J98" s="6">
        <f>'Çeyreklik Veriler'!J98+'Çeyreklik Veriler'!K98+'Çeyreklik Veriler'!L98+'Çeyreklik Veriler'!M98</f>
        <v>-2553875000</v>
      </c>
      <c r="K98" s="6">
        <f>'Çeyreklik Veriler'!K98+'Çeyreklik Veriler'!L98+'Çeyreklik Veriler'!M98+'Çeyreklik Veriler'!N98</f>
        <v>-1819233000</v>
      </c>
      <c r="L98" s="6">
        <f>'Çeyreklik Veriler'!L98+'Çeyreklik Veriler'!M98+'Çeyreklik Veriler'!N98+'Çeyreklik Veriler'!O98</f>
        <v>-1848602000</v>
      </c>
      <c r="M98" s="6">
        <f>'Çeyreklik Veriler'!M98+'Çeyreklik Veriler'!N98+'Çeyreklik Veriler'!O98+'Çeyreklik Veriler'!P98</f>
        <v>-1804311000</v>
      </c>
      <c r="N98" s="6">
        <f>'Çeyreklik Veriler'!N98+'Çeyreklik Veriler'!O98+'Çeyreklik Veriler'!P98+'Çeyreklik Veriler'!Q98</f>
        <v>-1656231000</v>
      </c>
      <c r="O98" s="6">
        <f>'Çeyreklik Veriler'!O98+'Çeyreklik Veriler'!P98+'Çeyreklik Veriler'!Q98+'Çeyreklik Veriler'!R98</f>
        <v>-2243327000</v>
      </c>
      <c r="P98" s="6">
        <f>'Çeyreklik Veriler'!P98+'Çeyreklik Veriler'!Q98+'Çeyreklik Veriler'!R98+'Çeyreklik Veriler'!S98</f>
        <v>-2710890000</v>
      </c>
      <c r="Q98" s="6">
        <f>'Çeyreklik Veriler'!Q98+'Çeyreklik Veriler'!R98+'Çeyreklik Veriler'!S98+'Çeyreklik Veriler'!T98</f>
        <v>-2560262000</v>
      </c>
      <c r="R98" s="6">
        <f>'Çeyreklik Veriler'!R98+'Çeyreklik Veriler'!S98+'Çeyreklik Veriler'!T98+'Çeyreklik Veriler'!U98</f>
        <v>-2501845000</v>
      </c>
    </row>
    <row r="99" spans="1:18" x14ac:dyDescent="0.25">
      <c r="A99" t="str">
        <f>Froto!A99</f>
        <v>Vergi Öncesi Diğer Gelir ve Giderler</v>
      </c>
      <c r="B99" s="6">
        <f>'Çeyreklik Veriler'!B99+'Çeyreklik Veriler'!C99+'Çeyreklik Veriler'!D99+'Çeyreklik Veriler'!E99</f>
        <v>-13917000</v>
      </c>
      <c r="C99" s="6">
        <f>'Çeyreklik Veriler'!C99+'Çeyreklik Veriler'!D99+'Çeyreklik Veriler'!E99+'Çeyreklik Veriler'!F99</f>
        <v>-11859000</v>
      </c>
      <c r="D99" s="6">
        <f>'Çeyreklik Veriler'!D99+'Çeyreklik Veriler'!E99+'Çeyreklik Veriler'!F99+'Çeyreklik Veriler'!G99</f>
        <v>-48161000</v>
      </c>
      <c r="E99" s="6">
        <f>'Çeyreklik Veriler'!E99+'Çeyreklik Veriler'!F99+'Çeyreklik Veriler'!G99+'Çeyreklik Veriler'!H99</f>
        <v>-50186000</v>
      </c>
      <c r="F99" s="6">
        <f>'Çeyreklik Veriler'!F99+'Çeyreklik Veriler'!G99+'Çeyreklik Veriler'!H99+'Çeyreklik Veriler'!I99</f>
        <v>-35097000</v>
      </c>
      <c r="G99" s="6">
        <f>'Çeyreklik Veriler'!G99+'Çeyreklik Veriler'!H99+'Çeyreklik Veriler'!I99+'Çeyreklik Veriler'!J99</f>
        <v>-32881000</v>
      </c>
      <c r="H99" s="6">
        <f>'Çeyreklik Veriler'!H99+'Çeyreklik Veriler'!I99+'Çeyreklik Veriler'!J99+'Çeyreklik Veriler'!K99</f>
        <v>1744000</v>
      </c>
      <c r="I99" s="6">
        <f>'Çeyreklik Veriler'!I99+'Çeyreklik Veriler'!J99+'Çeyreklik Veriler'!K99+'Çeyreklik Veriler'!L99</f>
        <v>2768000</v>
      </c>
      <c r="J99" s="6">
        <f>'Çeyreklik Veriler'!J99+'Çeyreklik Veriler'!K99+'Çeyreklik Veriler'!L99+'Çeyreklik Veriler'!M99</f>
        <v>1190000</v>
      </c>
      <c r="K99" s="6">
        <f>'Çeyreklik Veriler'!K99+'Çeyreklik Veriler'!L99+'Çeyreklik Veriler'!M99+'Çeyreklik Veriler'!N99</f>
        <v>2269000</v>
      </c>
      <c r="L99" s="6">
        <f>'Çeyreklik Veriler'!L99+'Çeyreklik Veriler'!M99+'Çeyreklik Veriler'!N99+'Çeyreklik Veriler'!O99</f>
        <v>841000</v>
      </c>
      <c r="M99" s="6">
        <f>'Çeyreklik Veriler'!M99+'Çeyreklik Veriler'!N99+'Çeyreklik Veriler'!O99+'Çeyreklik Veriler'!P99</f>
        <v>1048000</v>
      </c>
      <c r="N99" s="6">
        <f>'Çeyreklik Veriler'!N99+'Çeyreklik Veriler'!O99+'Çeyreklik Veriler'!P99+'Çeyreklik Veriler'!Q99</f>
        <v>-292000</v>
      </c>
      <c r="O99" s="6">
        <f>'Çeyreklik Veriler'!O99+'Çeyreklik Veriler'!P99+'Çeyreklik Veriler'!Q99+'Çeyreklik Veriler'!R99</f>
        <v>-979000</v>
      </c>
      <c r="P99" s="6">
        <f>'Çeyreklik Veriler'!P99+'Çeyreklik Veriler'!Q99+'Çeyreklik Veriler'!R99+'Çeyreklik Veriler'!S99</f>
        <v>-2374000</v>
      </c>
      <c r="Q99" s="6">
        <f>'Çeyreklik Veriler'!Q99+'Çeyreklik Veriler'!R99+'Çeyreklik Veriler'!S99+'Çeyreklik Veriler'!T99</f>
        <v>-2829000</v>
      </c>
      <c r="R99" s="6">
        <f>'Çeyreklik Veriler'!R99+'Çeyreklik Veriler'!S99+'Çeyreklik Veriler'!T99+'Çeyreklik Veriler'!U99</f>
        <v>-3445000</v>
      </c>
    </row>
    <row r="100" spans="1:18" x14ac:dyDescent="0.25">
      <c r="A100" t="str">
        <f>Froto!A100</f>
        <v>SÜRDÜRÜLEN FAALİYETLER VERGİ ÖNCESİ KARI (ZARARI)</v>
      </c>
      <c r="B100" s="6">
        <f>'Çeyreklik Veriler'!B100+'Çeyreklik Veriler'!C100+'Çeyreklik Veriler'!D100+'Çeyreklik Veriler'!E100</f>
        <v>15623207000</v>
      </c>
      <c r="C100" s="6">
        <f>'Çeyreklik Veriler'!C100+'Çeyreklik Veriler'!D100+'Çeyreklik Veriler'!E100+'Çeyreklik Veriler'!F100</f>
        <v>13263018000</v>
      </c>
      <c r="D100" s="6">
        <f>'Çeyreklik Veriler'!D100+'Çeyreklik Veriler'!E100+'Çeyreklik Veriler'!F100+'Çeyreklik Veriler'!G100</f>
        <v>11550386000</v>
      </c>
      <c r="E100" s="6">
        <f>'Çeyreklik Veriler'!E100+'Çeyreklik Veriler'!F100+'Çeyreklik Veriler'!G100+'Çeyreklik Veriler'!H100</f>
        <v>9154801000</v>
      </c>
      <c r="F100" s="6">
        <f>'Çeyreklik Veriler'!F100+'Çeyreklik Veriler'!G100+'Çeyreklik Veriler'!H100+'Çeyreklik Veriler'!I100</f>
        <v>8686759000</v>
      </c>
      <c r="G100" s="6">
        <f>'Çeyreklik Veriler'!G100+'Çeyreklik Veriler'!H100+'Çeyreklik Veriler'!I100+'Çeyreklik Veriler'!J100</f>
        <v>6495377000</v>
      </c>
      <c r="H100" s="6">
        <f>'Çeyreklik Veriler'!H100+'Çeyreklik Veriler'!I100+'Çeyreklik Veriler'!J100+'Çeyreklik Veriler'!K100</f>
        <v>6009063000</v>
      </c>
      <c r="I100" s="6">
        <f>'Çeyreklik Veriler'!I100+'Çeyreklik Veriler'!J100+'Çeyreklik Veriler'!K100+'Çeyreklik Veriler'!L100</f>
        <v>5313660000</v>
      </c>
      <c r="J100" s="6">
        <f>'Çeyreklik Veriler'!J100+'Çeyreklik Veriler'!K100+'Çeyreklik Veriler'!L100+'Çeyreklik Veriler'!M100</f>
        <v>4108330000</v>
      </c>
      <c r="K100" s="6">
        <f>'Çeyreklik Veriler'!K100+'Çeyreklik Veriler'!L100+'Çeyreklik Veriler'!M100+'Çeyreklik Veriler'!N100</f>
        <v>2966324000</v>
      </c>
      <c r="L100" s="6">
        <f>'Çeyreklik Veriler'!L100+'Çeyreklik Veriler'!M100+'Çeyreklik Veriler'!N100+'Çeyreklik Veriler'!O100</f>
        <v>1963830000</v>
      </c>
      <c r="M100" s="6">
        <f>'Çeyreklik Veriler'!M100+'Çeyreklik Veriler'!N100+'Çeyreklik Veriler'!O100+'Çeyreklik Veriler'!P100</f>
        <v>2085363000</v>
      </c>
      <c r="N100" s="6">
        <f>'Çeyreklik Veriler'!N100+'Çeyreklik Veriler'!O100+'Çeyreklik Veriler'!P100+'Çeyreklik Veriler'!Q100</f>
        <v>1950173000</v>
      </c>
      <c r="O100" s="6">
        <f>'Çeyreklik Veriler'!O100+'Çeyreklik Veriler'!P100+'Çeyreklik Veriler'!Q100+'Çeyreklik Veriler'!R100</f>
        <v>1623002000</v>
      </c>
      <c r="P100" s="6">
        <f>'Çeyreklik Veriler'!P100+'Çeyreklik Veriler'!Q100+'Çeyreklik Veriler'!R100+'Çeyreklik Veriler'!S100</f>
        <v>1698834000</v>
      </c>
      <c r="Q100" s="6">
        <f>'Çeyreklik Veriler'!Q100+'Çeyreklik Veriler'!R100+'Çeyreklik Veriler'!S100+'Çeyreklik Veriler'!T100</f>
        <v>1796419000</v>
      </c>
      <c r="R100" s="6">
        <f>'Çeyreklik Veriler'!R100+'Çeyreklik Veriler'!S100+'Çeyreklik Veriler'!T100+'Çeyreklik Veriler'!U100</f>
        <v>1761112000</v>
      </c>
    </row>
    <row r="101" spans="1:18" x14ac:dyDescent="0.25">
      <c r="A101" t="str">
        <f>Froto!A101</f>
        <v>Sürdürülen Faaliyetler Vergi Geliri (Gideri)</v>
      </c>
      <c r="B101" s="6">
        <f>'Çeyreklik Veriler'!B101+'Çeyreklik Veriler'!C101+'Çeyreklik Veriler'!D101+'Çeyreklik Veriler'!E101</f>
        <v>2990736000</v>
      </c>
      <c r="C101" s="6">
        <f>'Çeyreklik Veriler'!C101+'Çeyreklik Veriler'!D101+'Çeyreklik Veriler'!E101+'Çeyreklik Veriler'!F101</f>
        <v>1149397000</v>
      </c>
      <c r="D101" s="6">
        <f>'Çeyreklik Veriler'!D101+'Çeyreklik Veriler'!E101+'Çeyreklik Veriler'!F101+'Çeyreklik Veriler'!G101</f>
        <v>938023000</v>
      </c>
      <c r="E101" s="6">
        <f>'Çeyreklik Veriler'!E101+'Çeyreklik Veriler'!F101+'Çeyreklik Veriler'!G101+'Çeyreklik Veriler'!H101</f>
        <v>628609000</v>
      </c>
      <c r="F101" s="6">
        <f>'Çeyreklik Veriler'!F101+'Çeyreklik Veriler'!G101+'Çeyreklik Veriler'!H101+'Çeyreklik Veriler'!I101</f>
        <v>114246000</v>
      </c>
      <c r="G101" s="6">
        <f>'Çeyreklik Veriler'!G101+'Çeyreklik Veriler'!H101+'Çeyreklik Veriler'!I101+'Çeyreklik Veriler'!J101</f>
        <v>142591000</v>
      </c>
      <c r="H101" s="6">
        <f>'Çeyreklik Veriler'!H101+'Çeyreklik Veriler'!I101+'Çeyreklik Veriler'!J101+'Çeyreklik Veriler'!K101</f>
        <v>94990000</v>
      </c>
      <c r="I101" s="6">
        <f>'Çeyreklik Veriler'!I101+'Çeyreklik Veriler'!J101+'Çeyreklik Veriler'!K101+'Çeyreklik Veriler'!L101</f>
        <v>71198000</v>
      </c>
      <c r="J101" s="6">
        <f>'Çeyreklik Veriler'!J101+'Çeyreklik Veriler'!K101+'Çeyreklik Veriler'!L101+'Çeyreklik Veriler'!M101</f>
        <v>86583000</v>
      </c>
      <c r="K101" s="6">
        <f>'Çeyreklik Veriler'!K101+'Çeyreklik Veriler'!L101+'Çeyreklik Veriler'!M101+'Çeyreklik Veriler'!N101</f>
        <v>-81841000</v>
      </c>
      <c r="L101" s="6">
        <f>'Çeyreklik Veriler'!L101+'Çeyreklik Veriler'!M101+'Çeyreklik Veriler'!N101+'Çeyreklik Veriler'!O101</f>
        <v>16803000</v>
      </c>
      <c r="M101" s="6">
        <f>'Çeyreklik Veriler'!M101+'Çeyreklik Veriler'!N101+'Çeyreklik Veriler'!O101+'Çeyreklik Veriler'!P101</f>
        <v>25590000</v>
      </c>
      <c r="N101" s="6">
        <f>'Çeyreklik Veriler'!N101+'Çeyreklik Veriler'!O101+'Çeyreklik Veriler'!P101+'Çeyreklik Veriler'!Q101</f>
        <v>9311000</v>
      </c>
      <c r="O101" s="6">
        <f>'Çeyreklik Veriler'!O101+'Çeyreklik Veriler'!P101+'Çeyreklik Veriler'!Q101+'Çeyreklik Veriler'!R101</f>
        <v>130543000</v>
      </c>
      <c r="P101" s="6">
        <f>'Çeyreklik Veriler'!P101+'Çeyreklik Veriler'!Q101+'Çeyreklik Veriler'!R101+'Çeyreklik Veriler'!S101</f>
        <v>-45869000</v>
      </c>
      <c r="Q101" s="6">
        <f>'Çeyreklik Veriler'!Q101+'Çeyreklik Veriler'!R101+'Çeyreklik Veriler'!S101+'Çeyreklik Veriler'!T101</f>
        <v>-67528000</v>
      </c>
      <c r="R101" s="6">
        <f>'Çeyreklik Veriler'!R101+'Çeyreklik Veriler'!S101+'Çeyreklik Veriler'!T101+'Çeyreklik Veriler'!U101</f>
        <v>-77916000</v>
      </c>
    </row>
    <row r="102" spans="1:18" x14ac:dyDescent="0.25">
      <c r="A102" t="str">
        <f>Froto!A102</f>
        <v xml:space="preserve">  Dönem Vergi Geliri (Gideri)</v>
      </c>
      <c r="B102" s="6">
        <f>'Çeyreklik Veriler'!B102+'Çeyreklik Veriler'!C102+'Çeyreklik Veriler'!D102+'Çeyreklik Veriler'!E102</f>
        <v>-94210000</v>
      </c>
      <c r="C102" s="6">
        <f>'Çeyreklik Veriler'!C102+'Çeyreklik Veriler'!D102+'Çeyreklik Veriler'!E102+'Çeyreklik Veriler'!F102</f>
        <v>-105341000</v>
      </c>
      <c r="D102" s="6">
        <f>'Çeyreklik Veriler'!D102+'Çeyreklik Veriler'!E102+'Çeyreklik Veriler'!F102+'Çeyreklik Veriler'!G102</f>
        <v>-101782000</v>
      </c>
      <c r="E102" s="6">
        <f>'Çeyreklik Veriler'!E102+'Çeyreklik Veriler'!F102+'Çeyreklik Veriler'!G102+'Çeyreklik Veriler'!H102</f>
        <v>-96329000</v>
      </c>
      <c r="F102" s="6">
        <f>'Çeyreklik Veriler'!F102+'Çeyreklik Veriler'!G102+'Çeyreklik Veriler'!H102+'Çeyreklik Veriler'!I102</f>
        <v>-76950000</v>
      </c>
      <c r="G102" s="6">
        <f>'Çeyreklik Veriler'!G102+'Çeyreklik Veriler'!H102+'Çeyreklik Veriler'!I102+'Çeyreklik Veriler'!J102</f>
        <v>-65586000</v>
      </c>
      <c r="H102" s="6">
        <f>'Çeyreklik Veriler'!H102+'Çeyreklik Veriler'!I102+'Çeyreklik Veriler'!J102+'Çeyreklik Veriler'!K102</f>
        <v>-61703000</v>
      </c>
      <c r="I102" s="6">
        <f>'Çeyreklik Veriler'!I102+'Çeyreklik Veriler'!J102+'Çeyreklik Veriler'!K102+'Çeyreklik Veriler'!L102</f>
        <v>-48043000</v>
      </c>
      <c r="J102" s="6">
        <f>'Çeyreklik Veriler'!J102+'Çeyreklik Veriler'!K102+'Çeyreklik Veriler'!L102+'Çeyreklik Veriler'!M102</f>
        <v>-39799000</v>
      </c>
      <c r="K102" s="6">
        <f>'Çeyreklik Veriler'!K102+'Çeyreklik Veriler'!L102+'Çeyreklik Veriler'!M102+'Çeyreklik Veriler'!N102</f>
        <v>-22763000</v>
      </c>
      <c r="L102" s="6">
        <f>'Çeyreklik Veriler'!L102+'Çeyreklik Veriler'!M102+'Çeyreklik Veriler'!N102+'Çeyreklik Veriler'!O102</f>
        <v>-14156000</v>
      </c>
      <c r="M102" s="6">
        <f>'Çeyreklik Veriler'!M102+'Çeyreklik Veriler'!N102+'Çeyreklik Veriler'!O102+'Çeyreklik Veriler'!P102</f>
        <v>-19238000</v>
      </c>
      <c r="N102" s="6">
        <f>'Çeyreklik Veriler'!N102+'Çeyreklik Veriler'!O102+'Çeyreklik Veriler'!P102+'Çeyreklik Veriler'!Q102</f>
        <v>-21242000</v>
      </c>
      <c r="O102" s="6">
        <f>'Çeyreklik Veriler'!O102+'Çeyreklik Veriler'!P102+'Çeyreklik Veriler'!Q102+'Çeyreklik Veriler'!R102</f>
        <v>-26937000</v>
      </c>
      <c r="P102" s="6">
        <f>'Çeyreklik Veriler'!P102+'Çeyreklik Veriler'!Q102+'Çeyreklik Veriler'!R102+'Çeyreklik Veriler'!S102</f>
        <v>-17392000</v>
      </c>
      <c r="Q102" s="6">
        <f>'Çeyreklik Veriler'!Q102+'Çeyreklik Veriler'!R102+'Çeyreklik Veriler'!S102+'Çeyreklik Veriler'!T102</f>
        <v>-18249000</v>
      </c>
      <c r="R102" s="6">
        <f>'Çeyreklik Veriler'!R102+'Çeyreklik Veriler'!S102+'Çeyreklik Veriler'!T102+'Çeyreklik Veriler'!U102</f>
        <v>-16969000</v>
      </c>
    </row>
    <row r="103" spans="1:18" x14ac:dyDescent="0.25">
      <c r="A103" t="str">
        <f>Froto!A103</f>
        <v xml:space="preserve">  Ertelenmiş Vergi Geliri (Gideri)</v>
      </c>
      <c r="B103" s="6">
        <f>'Çeyreklik Veriler'!B103+'Çeyreklik Veriler'!C103+'Çeyreklik Veriler'!D103+'Çeyreklik Veriler'!E103</f>
        <v>3084946000</v>
      </c>
      <c r="C103" s="6">
        <f>'Çeyreklik Veriler'!C103+'Çeyreklik Veriler'!D103+'Çeyreklik Veriler'!E103+'Çeyreklik Veriler'!F103</f>
        <v>1254738000</v>
      </c>
      <c r="D103" s="6">
        <f>'Çeyreklik Veriler'!D103+'Çeyreklik Veriler'!E103+'Çeyreklik Veriler'!F103+'Çeyreklik Veriler'!G103</f>
        <v>1039805000</v>
      </c>
      <c r="E103" s="6">
        <f>'Çeyreklik Veriler'!E103+'Çeyreklik Veriler'!F103+'Çeyreklik Veriler'!G103+'Çeyreklik Veriler'!H103</f>
        <v>724938000</v>
      </c>
      <c r="F103" s="6">
        <f>'Çeyreklik Veriler'!F103+'Çeyreklik Veriler'!G103+'Çeyreklik Veriler'!H103+'Çeyreklik Veriler'!I103</f>
        <v>191196000</v>
      </c>
      <c r="G103" s="6">
        <f>'Çeyreklik Veriler'!G103+'Çeyreklik Veriler'!H103+'Çeyreklik Veriler'!I103+'Çeyreklik Veriler'!J103</f>
        <v>208177000</v>
      </c>
      <c r="H103" s="6">
        <f>'Çeyreklik Veriler'!H103+'Çeyreklik Veriler'!I103+'Çeyreklik Veriler'!J103+'Çeyreklik Veriler'!K103</f>
        <v>156693000</v>
      </c>
      <c r="I103" s="6">
        <f>'Çeyreklik Veriler'!I103+'Çeyreklik Veriler'!J103+'Çeyreklik Veriler'!K103+'Çeyreklik Veriler'!L103</f>
        <v>119241000</v>
      </c>
      <c r="J103" s="6">
        <f>'Çeyreklik Veriler'!J103+'Çeyreklik Veriler'!K103+'Çeyreklik Veriler'!L103+'Çeyreklik Veriler'!M103</f>
        <v>126382000</v>
      </c>
      <c r="K103" s="6">
        <f>'Çeyreklik Veriler'!K103+'Çeyreklik Veriler'!L103+'Çeyreklik Veriler'!M103+'Çeyreklik Veriler'!N103</f>
        <v>-59078000</v>
      </c>
      <c r="L103" s="6">
        <f>'Çeyreklik Veriler'!L103+'Çeyreklik Veriler'!M103+'Çeyreklik Veriler'!N103+'Çeyreklik Veriler'!O103</f>
        <v>30959000</v>
      </c>
      <c r="M103" s="6">
        <f>'Çeyreklik Veriler'!M103+'Çeyreklik Veriler'!N103+'Çeyreklik Veriler'!O103+'Çeyreklik Veriler'!P103</f>
        <v>44828000</v>
      </c>
      <c r="N103" s="6">
        <f>'Çeyreklik Veriler'!N103+'Çeyreklik Veriler'!O103+'Çeyreklik Veriler'!P103+'Çeyreklik Veriler'!Q103</f>
        <v>30553000</v>
      </c>
      <c r="O103" s="6">
        <f>'Çeyreklik Veriler'!O103+'Çeyreklik Veriler'!P103+'Çeyreklik Veriler'!Q103+'Çeyreklik Veriler'!R103</f>
        <v>157480000</v>
      </c>
      <c r="P103" s="6">
        <f>'Çeyreklik Veriler'!P103+'Çeyreklik Veriler'!Q103+'Çeyreklik Veriler'!R103+'Çeyreklik Veriler'!S103</f>
        <v>-28477000</v>
      </c>
      <c r="Q103" s="6">
        <f>'Çeyreklik Veriler'!Q103+'Çeyreklik Veriler'!R103+'Çeyreklik Veriler'!S103+'Çeyreklik Veriler'!T103</f>
        <v>-49279000</v>
      </c>
      <c r="R103" s="6">
        <f>'Çeyreklik Veriler'!R103+'Çeyreklik Veriler'!S103+'Çeyreklik Veriler'!T103+'Çeyreklik Veriler'!U103</f>
        <v>-60947000</v>
      </c>
    </row>
    <row r="104" spans="1:18" x14ac:dyDescent="0.25">
      <c r="A104" t="str">
        <f>Froto!A104</f>
        <v xml:space="preserve">  Diğer Vergi Geliri (Gideri)</v>
      </c>
      <c r="B104" s="6">
        <f>'Çeyreklik Veriler'!B104+'Çeyreklik Veriler'!C104+'Çeyreklik Veriler'!D104+'Çeyreklik Veriler'!E104</f>
        <v>0</v>
      </c>
      <c r="C104" s="6">
        <f>'Çeyreklik Veriler'!C104+'Çeyreklik Veriler'!D104+'Çeyreklik Veriler'!E104+'Çeyreklik Veriler'!F104</f>
        <v>0</v>
      </c>
      <c r="D104" s="6">
        <f>'Çeyreklik Veriler'!D104+'Çeyreklik Veriler'!E104+'Çeyreklik Veriler'!F104+'Çeyreklik Veriler'!G104</f>
        <v>0</v>
      </c>
      <c r="E104" s="6">
        <f>'Çeyreklik Veriler'!E104+'Çeyreklik Veriler'!F104+'Çeyreklik Veriler'!G104+'Çeyreklik Veriler'!H104</f>
        <v>0</v>
      </c>
      <c r="F104" s="6">
        <f>'Çeyreklik Veriler'!F104+'Çeyreklik Veriler'!G104+'Çeyreklik Veriler'!H104+'Çeyreklik Veriler'!I104</f>
        <v>0</v>
      </c>
      <c r="G104" s="6">
        <f>'Çeyreklik Veriler'!G104+'Çeyreklik Veriler'!H104+'Çeyreklik Veriler'!I104+'Çeyreklik Veriler'!J104</f>
        <v>0</v>
      </c>
      <c r="H104" s="6">
        <f>'Çeyreklik Veriler'!H104+'Çeyreklik Veriler'!I104+'Çeyreklik Veriler'!J104+'Çeyreklik Veriler'!K104</f>
        <v>0</v>
      </c>
      <c r="I104" s="6">
        <f>'Çeyreklik Veriler'!I104+'Çeyreklik Veriler'!J104+'Çeyreklik Veriler'!K104+'Çeyreklik Veriler'!L104</f>
        <v>0</v>
      </c>
      <c r="J104" s="6">
        <f>'Çeyreklik Veriler'!J104+'Çeyreklik Veriler'!K104+'Çeyreklik Veriler'!L104+'Çeyreklik Veriler'!M104</f>
        <v>0</v>
      </c>
      <c r="K104" s="6">
        <f>'Çeyreklik Veriler'!K104+'Çeyreklik Veriler'!L104+'Çeyreklik Veriler'!M104+'Çeyreklik Veriler'!N104</f>
        <v>0</v>
      </c>
      <c r="L104" s="6">
        <f>'Çeyreklik Veriler'!L104+'Çeyreklik Veriler'!M104+'Çeyreklik Veriler'!N104+'Çeyreklik Veriler'!O104</f>
        <v>0</v>
      </c>
      <c r="M104" s="6">
        <f>'Çeyreklik Veriler'!M104+'Çeyreklik Veriler'!N104+'Çeyreklik Veriler'!O104+'Çeyreklik Veriler'!P104</f>
        <v>0</v>
      </c>
      <c r="N104" s="6">
        <f>'Çeyreklik Veriler'!N104+'Çeyreklik Veriler'!O104+'Çeyreklik Veriler'!P104+'Çeyreklik Veriler'!Q104</f>
        <v>0</v>
      </c>
      <c r="O104" s="6">
        <f>'Çeyreklik Veriler'!O104+'Çeyreklik Veriler'!P104+'Çeyreklik Veriler'!Q104+'Çeyreklik Veriler'!R104</f>
        <v>0</v>
      </c>
      <c r="P104" s="6">
        <f>'Çeyreklik Veriler'!P104+'Çeyreklik Veriler'!Q104+'Çeyreklik Veriler'!R104+'Çeyreklik Veriler'!S104</f>
        <v>0</v>
      </c>
      <c r="Q104" s="6">
        <f>'Çeyreklik Veriler'!Q104+'Çeyreklik Veriler'!R104+'Çeyreklik Veriler'!S104+'Çeyreklik Veriler'!T104</f>
        <v>0</v>
      </c>
      <c r="R104" s="6">
        <f>'Çeyreklik Veriler'!R104+'Çeyreklik Veriler'!S104+'Çeyreklik Veriler'!T104+'Çeyreklik Veriler'!U104</f>
        <v>0</v>
      </c>
    </row>
    <row r="105" spans="1:18" x14ac:dyDescent="0.25">
      <c r="A105" t="str">
        <f>Froto!A105</f>
        <v>SÜRDÜRÜLEN FAALİYETLER DÖNEM KARI/ZARARI</v>
      </c>
      <c r="B105" s="6">
        <f>'Çeyreklik Veriler'!B105+'Çeyreklik Veriler'!C105+'Çeyreklik Veriler'!D105+'Çeyreklik Veriler'!E105</f>
        <v>18613943000</v>
      </c>
      <c r="C105" s="6">
        <f>'Çeyreklik Veriler'!C105+'Çeyreklik Veriler'!D105+'Çeyreklik Veriler'!E105+'Çeyreklik Veriler'!F105</f>
        <v>14412415000</v>
      </c>
      <c r="D105" s="6">
        <f>'Çeyreklik Veriler'!D105+'Çeyreklik Veriler'!E105+'Çeyreklik Veriler'!F105+'Çeyreklik Veriler'!G105</f>
        <v>12488409000</v>
      </c>
      <c r="E105" s="6">
        <f>'Çeyreklik Veriler'!E105+'Çeyreklik Veriler'!F105+'Çeyreklik Veriler'!G105+'Çeyreklik Veriler'!H105</f>
        <v>9783410000</v>
      </c>
      <c r="F105" s="6">
        <f>'Çeyreklik Veriler'!F105+'Çeyreklik Veriler'!G105+'Çeyreklik Veriler'!H105+'Çeyreklik Veriler'!I105</f>
        <v>8801005000</v>
      </c>
      <c r="G105" s="6">
        <f>'Çeyreklik Veriler'!G105+'Çeyreklik Veriler'!H105+'Çeyreklik Veriler'!I105+'Çeyreklik Veriler'!J105</f>
        <v>6637968000</v>
      </c>
      <c r="H105" s="6">
        <f>'Çeyreklik Veriler'!H105+'Çeyreklik Veriler'!I105+'Çeyreklik Veriler'!J105+'Çeyreklik Veriler'!K105</f>
        <v>6104053000</v>
      </c>
      <c r="I105" s="6">
        <f>'Çeyreklik Veriler'!I105+'Çeyreklik Veriler'!J105+'Çeyreklik Veriler'!K105+'Çeyreklik Veriler'!L105</f>
        <v>5384858000</v>
      </c>
      <c r="J105" s="6">
        <f>'Çeyreklik Veriler'!J105+'Çeyreklik Veriler'!K105+'Çeyreklik Veriler'!L105+'Çeyreklik Veriler'!M105</f>
        <v>4194913000</v>
      </c>
      <c r="K105" s="6">
        <f>'Çeyreklik Veriler'!K105+'Çeyreklik Veriler'!L105+'Çeyreklik Veriler'!M105+'Çeyreklik Veriler'!N105</f>
        <v>2884483000</v>
      </c>
      <c r="L105" s="6">
        <f>'Çeyreklik Veriler'!L105+'Çeyreklik Veriler'!M105+'Çeyreklik Veriler'!N105+'Çeyreklik Veriler'!O105</f>
        <v>1980633000</v>
      </c>
      <c r="M105" s="6">
        <f>'Çeyreklik Veriler'!M105+'Çeyreklik Veriler'!N105+'Çeyreklik Veriler'!O105+'Çeyreklik Veriler'!P105</f>
        <v>2110953000</v>
      </c>
      <c r="N105" s="6">
        <f>'Çeyreklik Veriler'!N105+'Çeyreklik Veriler'!O105+'Çeyreklik Veriler'!P105+'Çeyreklik Veriler'!Q105</f>
        <v>1959484000</v>
      </c>
      <c r="O105" s="6">
        <f>'Çeyreklik Veriler'!O105+'Çeyreklik Veriler'!P105+'Çeyreklik Veriler'!Q105+'Çeyreklik Veriler'!R105</f>
        <v>1753545000</v>
      </c>
      <c r="P105" s="6">
        <f>'Çeyreklik Veriler'!P105+'Çeyreklik Veriler'!Q105+'Çeyreklik Veriler'!R105+'Çeyreklik Veriler'!S105</f>
        <v>1652965000</v>
      </c>
      <c r="Q105" s="6">
        <f>'Çeyreklik Veriler'!Q105+'Çeyreklik Veriler'!R105+'Çeyreklik Veriler'!S105+'Çeyreklik Veriler'!T105</f>
        <v>1728891000</v>
      </c>
      <c r="R105" s="6">
        <f>'Çeyreklik Veriler'!R105+'Çeyreklik Veriler'!S105+'Çeyreklik Veriler'!T105+'Çeyreklik Veriler'!U105</f>
        <v>1683196000</v>
      </c>
    </row>
    <row r="106" spans="1:18" x14ac:dyDescent="0.25">
      <c r="A106" t="str">
        <f>Froto!A106</f>
        <v>DURDURULAN FAALİYETLER</v>
      </c>
      <c r="B106" s="6">
        <f>'Çeyreklik Veriler'!B106+'Çeyreklik Veriler'!C106+'Çeyreklik Veriler'!D106+'Çeyreklik Veriler'!E106</f>
        <v>0</v>
      </c>
      <c r="C106" s="6">
        <f>'Çeyreklik Veriler'!C106+'Çeyreklik Veriler'!D106+'Çeyreklik Veriler'!E106+'Çeyreklik Veriler'!F106</f>
        <v>0</v>
      </c>
      <c r="D106" s="6">
        <f>'Çeyreklik Veriler'!D106+'Çeyreklik Veriler'!E106+'Çeyreklik Veriler'!F106+'Çeyreklik Veriler'!G106</f>
        <v>0</v>
      </c>
      <c r="E106" s="6">
        <f>'Çeyreklik Veriler'!E106+'Çeyreklik Veriler'!F106+'Çeyreklik Veriler'!G106+'Çeyreklik Veriler'!H106</f>
        <v>0</v>
      </c>
      <c r="F106" s="6">
        <f>'Çeyreklik Veriler'!F106+'Çeyreklik Veriler'!G106+'Çeyreklik Veriler'!H106+'Çeyreklik Veriler'!I106</f>
        <v>0</v>
      </c>
      <c r="G106" s="6">
        <f>'Çeyreklik Veriler'!G106+'Çeyreklik Veriler'!H106+'Çeyreklik Veriler'!I106+'Çeyreklik Veriler'!J106</f>
        <v>0</v>
      </c>
      <c r="H106" s="6">
        <f>'Çeyreklik Veriler'!H106+'Çeyreklik Veriler'!I106+'Çeyreklik Veriler'!J106+'Çeyreklik Veriler'!K106</f>
        <v>0</v>
      </c>
      <c r="I106" s="6">
        <f>'Çeyreklik Veriler'!I106+'Çeyreklik Veriler'!J106+'Çeyreklik Veriler'!K106+'Çeyreklik Veriler'!L106</f>
        <v>0</v>
      </c>
      <c r="J106" s="6">
        <f>'Çeyreklik Veriler'!J106+'Çeyreklik Veriler'!K106+'Çeyreklik Veriler'!L106+'Çeyreklik Veriler'!M106</f>
        <v>0</v>
      </c>
      <c r="K106" s="6">
        <f>'Çeyreklik Veriler'!K106+'Çeyreklik Veriler'!L106+'Çeyreklik Veriler'!M106+'Çeyreklik Veriler'!N106</f>
        <v>0</v>
      </c>
      <c r="L106" s="6">
        <f>'Çeyreklik Veriler'!L106+'Çeyreklik Veriler'!M106+'Çeyreklik Veriler'!N106+'Çeyreklik Veriler'!O106</f>
        <v>0</v>
      </c>
      <c r="M106" s="6">
        <f>'Çeyreklik Veriler'!M106+'Çeyreklik Veriler'!N106+'Çeyreklik Veriler'!O106+'Çeyreklik Veriler'!P106</f>
        <v>0</v>
      </c>
      <c r="N106" s="6">
        <f>'Çeyreklik Veriler'!N106+'Çeyreklik Veriler'!O106+'Çeyreklik Veriler'!P106+'Çeyreklik Veriler'!Q106</f>
        <v>0</v>
      </c>
      <c r="O106" s="6">
        <f>'Çeyreklik Veriler'!O106+'Çeyreklik Veriler'!P106+'Çeyreklik Veriler'!Q106+'Çeyreklik Veriler'!R106</f>
        <v>0</v>
      </c>
      <c r="P106" s="6">
        <f>'Çeyreklik Veriler'!P106+'Çeyreklik Veriler'!Q106+'Çeyreklik Veriler'!R106+'Çeyreklik Veriler'!S106</f>
        <v>0</v>
      </c>
      <c r="Q106" s="6">
        <f>'Çeyreklik Veriler'!Q106+'Çeyreklik Veriler'!R106+'Çeyreklik Veriler'!S106+'Çeyreklik Veriler'!T106</f>
        <v>0</v>
      </c>
      <c r="R106" s="6">
        <f>'Çeyreklik Veriler'!R106+'Çeyreklik Veriler'!S106+'Çeyreklik Veriler'!T106+'Çeyreklik Veriler'!U106</f>
        <v>0</v>
      </c>
    </row>
    <row r="107" spans="1:18" x14ac:dyDescent="0.25">
      <c r="A107" t="str">
        <f>Froto!A107</f>
        <v>Durdurulan Faaliyetler Vergi Sonrası Dönem Karı (Zararı)</v>
      </c>
      <c r="B107" s="6">
        <f>'Çeyreklik Veriler'!B107+'Çeyreklik Veriler'!C107+'Çeyreklik Veriler'!D107+'Çeyreklik Veriler'!E107</f>
        <v>0</v>
      </c>
      <c r="C107" s="6">
        <f>'Çeyreklik Veriler'!C107+'Çeyreklik Veriler'!D107+'Çeyreklik Veriler'!E107+'Çeyreklik Veriler'!F107</f>
        <v>0</v>
      </c>
      <c r="D107" s="6">
        <f>'Çeyreklik Veriler'!D107+'Çeyreklik Veriler'!E107+'Çeyreklik Veriler'!F107+'Çeyreklik Veriler'!G107</f>
        <v>0</v>
      </c>
      <c r="E107" s="6">
        <f>'Çeyreklik Veriler'!E107+'Çeyreklik Veriler'!F107+'Çeyreklik Veriler'!G107+'Çeyreklik Veriler'!H107</f>
        <v>0</v>
      </c>
      <c r="F107" s="6">
        <f>'Çeyreklik Veriler'!F107+'Çeyreklik Veriler'!G107+'Çeyreklik Veriler'!H107+'Çeyreklik Veriler'!I107</f>
        <v>0</v>
      </c>
      <c r="G107" s="6">
        <f>'Çeyreklik Veriler'!G107+'Çeyreklik Veriler'!H107+'Çeyreklik Veriler'!I107+'Çeyreklik Veriler'!J107</f>
        <v>0</v>
      </c>
      <c r="H107" s="6">
        <f>'Çeyreklik Veriler'!H107+'Çeyreklik Veriler'!I107+'Çeyreklik Veriler'!J107+'Çeyreklik Veriler'!K107</f>
        <v>0</v>
      </c>
      <c r="I107" s="6">
        <f>'Çeyreklik Veriler'!I107+'Çeyreklik Veriler'!J107+'Çeyreklik Veriler'!K107+'Çeyreklik Veriler'!L107</f>
        <v>0</v>
      </c>
      <c r="J107" s="6">
        <f>'Çeyreklik Veriler'!J107+'Çeyreklik Veriler'!K107+'Çeyreklik Veriler'!L107+'Çeyreklik Veriler'!M107</f>
        <v>0</v>
      </c>
      <c r="K107" s="6">
        <f>'Çeyreklik Veriler'!K107+'Çeyreklik Veriler'!L107+'Çeyreklik Veriler'!M107+'Çeyreklik Veriler'!N107</f>
        <v>0</v>
      </c>
      <c r="L107" s="6">
        <f>'Çeyreklik Veriler'!L107+'Çeyreklik Veriler'!M107+'Çeyreklik Veriler'!N107+'Çeyreklik Veriler'!O107</f>
        <v>0</v>
      </c>
      <c r="M107" s="6">
        <f>'Çeyreklik Veriler'!M107+'Çeyreklik Veriler'!N107+'Çeyreklik Veriler'!O107+'Çeyreklik Veriler'!P107</f>
        <v>0</v>
      </c>
      <c r="N107" s="6">
        <f>'Çeyreklik Veriler'!N107+'Çeyreklik Veriler'!O107+'Çeyreklik Veriler'!P107+'Çeyreklik Veriler'!Q107</f>
        <v>0</v>
      </c>
      <c r="O107" s="6">
        <f>'Çeyreklik Veriler'!O107+'Çeyreklik Veriler'!P107+'Çeyreklik Veriler'!Q107+'Çeyreklik Veriler'!R107</f>
        <v>0</v>
      </c>
      <c r="P107" s="6">
        <f>'Çeyreklik Veriler'!P107+'Çeyreklik Veriler'!Q107+'Çeyreklik Veriler'!R107+'Çeyreklik Veriler'!S107</f>
        <v>0</v>
      </c>
      <c r="Q107" s="6">
        <f>'Çeyreklik Veriler'!Q107+'Çeyreklik Veriler'!R107+'Çeyreklik Veriler'!S107+'Çeyreklik Veriler'!T107</f>
        <v>0</v>
      </c>
      <c r="R107" s="6">
        <f>'Çeyreklik Veriler'!R107+'Çeyreklik Veriler'!S107+'Çeyreklik Veriler'!T107+'Çeyreklik Veriler'!U107</f>
        <v>0</v>
      </c>
    </row>
    <row r="108" spans="1:18" x14ac:dyDescent="0.25">
      <c r="A108" t="str">
        <f>Froto!A108</f>
        <v>DÖNEM KARI (ZARARI)</v>
      </c>
      <c r="B108" s="6">
        <f>'Çeyreklik Veriler'!B108+'Çeyreklik Veriler'!C108+'Çeyreklik Veriler'!D108+'Çeyreklik Veriler'!E108</f>
        <v>18613943000</v>
      </c>
      <c r="C108" s="6">
        <f>'Çeyreklik Veriler'!C108+'Çeyreklik Veriler'!D108+'Çeyreklik Veriler'!E108+'Çeyreklik Veriler'!F108</f>
        <v>14412415000</v>
      </c>
      <c r="D108" s="6">
        <f>'Çeyreklik Veriler'!D108+'Çeyreklik Veriler'!E108+'Çeyreklik Veriler'!F108+'Çeyreklik Veriler'!G108</f>
        <v>12488409000</v>
      </c>
      <c r="E108" s="6">
        <f>'Çeyreklik Veriler'!E108+'Çeyreklik Veriler'!F108+'Çeyreklik Veriler'!G108+'Çeyreklik Veriler'!H108</f>
        <v>9783410000</v>
      </c>
      <c r="F108" s="6">
        <f>'Çeyreklik Veriler'!F108+'Çeyreklik Veriler'!G108+'Çeyreklik Veriler'!H108+'Çeyreklik Veriler'!I108</f>
        <v>8801005000</v>
      </c>
      <c r="G108" s="6">
        <f>'Çeyreklik Veriler'!G108+'Çeyreklik Veriler'!H108+'Çeyreklik Veriler'!I108+'Çeyreklik Veriler'!J108</f>
        <v>6637968000</v>
      </c>
      <c r="H108" s="6">
        <f>'Çeyreklik Veriler'!H108+'Çeyreklik Veriler'!I108+'Çeyreklik Veriler'!J108+'Çeyreklik Veriler'!K108</f>
        <v>6104053000</v>
      </c>
      <c r="I108" s="6">
        <f>'Çeyreklik Veriler'!I108+'Çeyreklik Veriler'!J108+'Çeyreklik Veriler'!K108+'Çeyreklik Veriler'!L108</f>
        <v>5384858000</v>
      </c>
      <c r="J108" s="6">
        <f>'Çeyreklik Veriler'!J108+'Çeyreklik Veriler'!K108+'Çeyreklik Veriler'!L108+'Çeyreklik Veriler'!M108</f>
        <v>4194913000</v>
      </c>
      <c r="K108" s="6">
        <f>'Çeyreklik Veriler'!K108+'Çeyreklik Veriler'!L108+'Çeyreklik Veriler'!M108+'Çeyreklik Veriler'!N108</f>
        <v>2884483000</v>
      </c>
      <c r="L108" s="6">
        <f>'Çeyreklik Veriler'!L108+'Çeyreklik Veriler'!M108+'Çeyreklik Veriler'!N108+'Çeyreklik Veriler'!O108</f>
        <v>1980633000</v>
      </c>
      <c r="M108" s="6">
        <f>'Çeyreklik Veriler'!M108+'Çeyreklik Veriler'!N108+'Çeyreklik Veriler'!O108+'Çeyreklik Veriler'!P108</f>
        <v>2110953000</v>
      </c>
      <c r="N108" s="6">
        <f>'Çeyreklik Veriler'!N108+'Çeyreklik Veriler'!O108+'Çeyreklik Veriler'!P108+'Çeyreklik Veriler'!Q108</f>
        <v>1959484000</v>
      </c>
      <c r="O108" s="6">
        <f>'Çeyreklik Veriler'!O108+'Çeyreklik Veriler'!P108+'Çeyreklik Veriler'!Q108+'Çeyreklik Veriler'!R108</f>
        <v>1753545000</v>
      </c>
      <c r="P108" s="6">
        <f>'Çeyreklik Veriler'!P108+'Çeyreklik Veriler'!Q108+'Çeyreklik Veriler'!R108+'Çeyreklik Veriler'!S108</f>
        <v>1652965000</v>
      </c>
      <c r="Q108" s="6">
        <f>'Çeyreklik Veriler'!Q108+'Çeyreklik Veriler'!R108+'Çeyreklik Veriler'!S108+'Çeyreklik Veriler'!T108</f>
        <v>1728891000</v>
      </c>
      <c r="R108" s="6">
        <f>'Çeyreklik Veriler'!R108+'Çeyreklik Veriler'!S108+'Çeyreklik Veriler'!T108+'Çeyreklik Veriler'!U108</f>
        <v>1683196000</v>
      </c>
    </row>
    <row r="109" spans="1:18" x14ac:dyDescent="0.25">
      <c r="A109" t="str">
        <f>Froto!A109</f>
        <v>Dönem Kar/Zararının Dağılımı</v>
      </c>
      <c r="B109" s="6">
        <f>'Çeyreklik Veriler'!B109+'Çeyreklik Veriler'!C109+'Çeyreklik Veriler'!D109+'Çeyreklik Veriler'!E109</f>
        <v>0</v>
      </c>
      <c r="C109" s="6">
        <f>'Çeyreklik Veriler'!C109+'Çeyreklik Veriler'!D109+'Çeyreklik Veriler'!E109+'Çeyreklik Veriler'!F109</f>
        <v>0</v>
      </c>
      <c r="D109" s="6">
        <f>'Çeyreklik Veriler'!D109+'Çeyreklik Veriler'!E109+'Çeyreklik Veriler'!F109+'Çeyreklik Veriler'!G109</f>
        <v>0</v>
      </c>
      <c r="E109" s="6">
        <f>'Çeyreklik Veriler'!E109+'Çeyreklik Veriler'!F109+'Çeyreklik Veriler'!G109+'Çeyreklik Veriler'!H109</f>
        <v>0</v>
      </c>
      <c r="F109" s="6">
        <f>'Çeyreklik Veriler'!F109+'Çeyreklik Veriler'!G109+'Çeyreklik Veriler'!H109+'Çeyreklik Veriler'!I109</f>
        <v>0</v>
      </c>
      <c r="G109" s="6">
        <f>'Çeyreklik Veriler'!G109+'Çeyreklik Veriler'!H109+'Çeyreklik Veriler'!I109+'Çeyreklik Veriler'!J109</f>
        <v>0</v>
      </c>
      <c r="H109" s="6">
        <f>'Çeyreklik Veriler'!H109+'Çeyreklik Veriler'!I109+'Çeyreklik Veriler'!J109+'Çeyreklik Veriler'!K109</f>
        <v>0</v>
      </c>
      <c r="I109" s="6">
        <f>'Çeyreklik Veriler'!I109+'Çeyreklik Veriler'!J109+'Çeyreklik Veriler'!K109+'Çeyreklik Veriler'!L109</f>
        <v>0</v>
      </c>
      <c r="J109" s="6">
        <f>'Çeyreklik Veriler'!J109+'Çeyreklik Veriler'!K109+'Çeyreklik Veriler'!L109+'Çeyreklik Veriler'!M109</f>
        <v>0</v>
      </c>
      <c r="K109" s="6">
        <f>'Çeyreklik Veriler'!K109+'Çeyreklik Veriler'!L109+'Çeyreklik Veriler'!M109+'Çeyreklik Veriler'!N109</f>
        <v>0</v>
      </c>
      <c r="L109" s="6">
        <f>'Çeyreklik Veriler'!L109+'Çeyreklik Veriler'!M109+'Çeyreklik Veriler'!N109+'Çeyreklik Veriler'!O109</f>
        <v>0</v>
      </c>
      <c r="M109" s="6">
        <f>'Çeyreklik Veriler'!M109+'Çeyreklik Veriler'!N109+'Çeyreklik Veriler'!O109+'Çeyreklik Veriler'!P109</f>
        <v>0</v>
      </c>
      <c r="N109" s="6">
        <f>'Çeyreklik Veriler'!N109+'Çeyreklik Veriler'!O109+'Çeyreklik Veriler'!P109+'Çeyreklik Veriler'!Q109</f>
        <v>0</v>
      </c>
      <c r="O109" s="6">
        <f>'Çeyreklik Veriler'!O109+'Çeyreklik Veriler'!P109+'Çeyreklik Veriler'!Q109+'Çeyreklik Veriler'!R109</f>
        <v>0</v>
      </c>
      <c r="P109" s="6">
        <f>'Çeyreklik Veriler'!P109+'Çeyreklik Veriler'!Q109+'Çeyreklik Veriler'!R109+'Çeyreklik Veriler'!S109</f>
        <v>0</v>
      </c>
      <c r="Q109" s="6">
        <f>'Çeyreklik Veriler'!Q109+'Çeyreklik Veriler'!R109+'Çeyreklik Veriler'!S109+'Çeyreklik Veriler'!T109</f>
        <v>0</v>
      </c>
      <c r="R109" s="6">
        <f>'Çeyreklik Veriler'!R109+'Çeyreklik Veriler'!S109+'Çeyreklik Veriler'!T109+'Çeyreklik Veriler'!U109</f>
        <v>0</v>
      </c>
    </row>
    <row r="110" spans="1:18" x14ac:dyDescent="0.25">
      <c r="A110" t="str">
        <f>Froto!A110</f>
        <v>Azınlık Payları</v>
      </c>
      <c r="B110" s="6">
        <f>'Çeyreklik Veriler'!B110+'Çeyreklik Veriler'!C110+'Çeyreklik Veriler'!D110+'Çeyreklik Veriler'!E110</f>
        <v>0</v>
      </c>
      <c r="C110" s="6">
        <f>'Çeyreklik Veriler'!C110+'Çeyreklik Veriler'!D110+'Çeyreklik Veriler'!E110+'Çeyreklik Veriler'!F110</f>
        <v>0</v>
      </c>
      <c r="D110" s="6">
        <f>'Çeyreklik Veriler'!D110+'Çeyreklik Veriler'!E110+'Çeyreklik Veriler'!F110+'Çeyreklik Veriler'!G110</f>
        <v>0</v>
      </c>
      <c r="E110" s="6">
        <f>'Çeyreklik Veriler'!E110+'Çeyreklik Veriler'!F110+'Çeyreklik Veriler'!G110+'Çeyreklik Veriler'!H110</f>
        <v>0</v>
      </c>
      <c r="F110" s="6">
        <f>'Çeyreklik Veriler'!F110+'Çeyreklik Veriler'!G110+'Çeyreklik Veriler'!H110+'Çeyreklik Veriler'!I110</f>
        <v>0</v>
      </c>
      <c r="G110" s="6">
        <f>'Çeyreklik Veriler'!G110+'Çeyreklik Veriler'!H110+'Çeyreklik Veriler'!I110+'Çeyreklik Veriler'!J110</f>
        <v>0</v>
      </c>
      <c r="H110" s="6">
        <f>'Çeyreklik Veriler'!H110+'Çeyreklik Veriler'!I110+'Çeyreklik Veriler'!J110+'Çeyreklik Veriler'!K110</f>
        <v>0</v>
      </c>
      <c r="I110" s="6">
        <f>'Çeyreklik Veriler'!I110+'Çeyreklik Veriler'!J110+'Çeyreklik Veriler'!K110+'Çeyreklik Veriler'!L110</f>
        <v>0</v>
      </c>
      <c r="J110" s="6">
        <f>'Çeyreklik Veriler'!J110+'Çeyreklik Veriler'!K110+'Çeyreklik Veriler'!L110+'Çeyreklik Veriler'!M110</f>
        <v>0</v>
      </c>
      <c r="K110" s="6">
        <f>'Çeyreklik Veriler'!K110+'Çeyreklik Veriler'!L110+'Çeyreklik Veriler'!M110+'Çeyreklik Veriler'!N110</f>
        <v>0</v>
      </c>
      <c r="L110" s="6">
        <f>'Çeyreklik Veriler'!L110+'Çeyreklik Veriler'!M110+'Çeyreklik Veriler'!N110+'Çeyreklik Veriler'!O110</f>
        <v>0</v>
      </c>
      <c r="M110" s="6">
        <f>'Çeyreklik Veriler'!M110+'Çeyreklik Veriler'!N110+'Çeyreklik Veriler'!O110+'Çeyreklik Veriler'!P110</f>
        <v>0</v>
      </c>
      <c r="N110" s="6">
        <f>'Çeyreklik Veriler'!N110+'Çeyreklik Veriler'!O110+'Çeyreklik Veriler'!P110+'Çeyreklik Veriler'!Q110</f>
        <v>0</v>
      </c>
      <c r="O110" s="6">
        <f>'Çeyreklik Veriler'!O110+'Çeyreklik Veriler'!P110+'Çeyreklik Veriler'!Q110+'Çeyreklik Veriler'!R110</f>
        <v>0</v>
      </c>
      <c r="P110" s="6">
        <f>'Çeyreklik Veriler'!P110+'Çeyreklik Veriler'!Q110+'Çeyreklik Veriler'!R110+'Çeyreklik Veriler'!S110</f>
        <v>0</v>
      </c>
      <c r="Q110" s="6">
        <f>'Çeyreklik Veriler'!Q110+'Çeyreklik Veriler'!R110+'Çeyreklik Veriler'!S110+'Çeyreklik Veriler'!T110</f>
        <v>0</v>
      </c>
      <c r="R110" s="6">
        <f>'Çeyreklik Veriler'!R110+'Çeyreklik Veriler'!S110+'Çeyreklik Veriler'!T110+'Çeyreklik Veriler'!U110</f>
        <v>0</v>
      </c>
    </row>
    <row r="111" spans="1:18" x14ac:dyDescent="0.25">
      <c r="A111" t="str">
        <f>Froto!A111</f>
        <v>Ana Ortaklık Payları</v>
      </c>
      <c r="B111" s="6">
        <f>'Çeyreklik Veriler'!B111+'Çeyreklik Veriler'!C111+'Çeyreklik Veriler'!D111+'Çeyreklik Veriler'!E111</f>
        <v>18613943000</v>
      </c>
      <c r="C111" s="6">
        <f>'Çeyreklik Veriler'!C111+'Çeyreklik Veriler'!D111+'Çeyreklik Veriler'!E111+'Çeyreklik Veriler'!F111</f>
        <v>14412415000</v>
      </c>
      <c r="D111" s="6">
        <f>'Çeyreklik Veriler'!D111+'Çeyreklik Veriler'!E111+'Çeyreklik Veriler'!F111+'Çeyreklik Veriler'!G111</f>
        <v>12488409000</v>
      </c>
      <c r="E111" s="6">
        <f>'Çeyreklik Veriler'!E111+'Çeyreklik Veriler'!F111+'Çeyreklik Veriler'!G111+'Çeyreklik Veriler'!H111</f>
        <v>9783410000</v>
      </c>
      <c r="F111" s="6">
        <f>'Çeyreklik Veriler'!F111+'Çeyreklik Veriler'!G111+'Çeyreklik Veriler'!H111+'Çeyreklik Veriler'!I111</f>
        <v>8801005000</v>
      </c>
      <c r="G111" s="6">
        <f>'Çeyreklik Veriler'!G111+'Çeyreklik Veriler'!H111+'Çeyreklik Veriler'!I111+'Çeyreklik Veriler'!J111</f>
        <v>6637968000</v>
      </c>
      <c r="H111" s="6">
        <f>'Çeyreklik Veriler'!H111+'Çeyreklik Veriler'!I111+'Çeyreklik Veriler'!J111+'Çeyreklik Veriler'!K111</f>
        <v>6104053000</v>
      </c>
      <c r="I111" s="6">
        <f>'Çeyreklik Veriler'!I111+'Çeyreklik Veriler'!J111+'Çeyreklik Veriler'!K111+'Çeyreklik Veriler'!L111</f>
        <v>5384858000</v>
      </c>
      <c r="J111" s="6">
        <f>'Çeyreklik Veriler'!J111+'Çeyreklik Veriler'!K111+'Çeyreklik Veriler'!L111+'Çeyreklik Veriler'!M111</f>
        <v>4194913000</v>
      </c>
      <c r="K111" s="6">
        <f>'Çeyreklik Veriler'!K111+'Çeyreklik Veriler'!L111+'Çeyreklik Veriler'!M111+'Çeyreklik Veriler'!N111</f>
        <v>2884483000</v>
      </c>
      <c r="L111" s="6">
        <f>'Çeyreklik Veriler'!L111+'Çeyreklik Veriler'!M111+'Çeyreklik Veriler'!N111+'Çeyreklik Veriler'!O111</f>
        <v>1980633000</v>
      </c>
      <c r="M111" s="6">
        <f>'Çeyreklik Veriler'!M111+'Çeyreklik Veriler'!N111+'Çeyreklik Veriler'!O111+'Çeyreklik Veriler'!P111</f>
        <v>2110953000</v>
      </c>
      <c r="N111" s="6">
        <f>'Çeyreklik Veriler'!N111+'Çeyreklik Veriler'!O111+'Çeyreklik Veriler'!P111+'Çeyreklik Veriler'!Q111</f>
        <v>1959484000</v>
      </c>
      <c r="O111" s="6">
        <f>'Çeyreklik Veriler'!O111+'Çeyreklik Veriler'!P111+'Çeyreklik Veriler'!Q111+'Çeyreklik Veriler'!R111</f>
        <v>1753545000</v>
      </c>
      <c r="P111" s="6">
        <f>'Çeyreklik Veriler'!P111+'Çeyreklik Veriler'!Q111+'Çeyreklik Veriler'!R111+'Çeyreklik Veriler'!S111</f>
        <v>1652965000</v>
      </c>
      <c r="Q111" s="6">
        <f>'Çeyreklik Veriler'!Q111+'Çeyreklik Veriler'!R111+'Çeyreklik Veriler'!S111+'Çeyreklik Veriler'!T111</f>
        <v>1728891000</v>
      </c>
      <c r="R111" s="6">
        <f>'Çeyreklik Veriler'!R111+'Çeyreklik Veriler'!S111+'Çeyreklik Veriler'!T111+'Çeyreklik Veriler'!U111</f>
        <v>1683196000</v>
      </c>
    </row>
    <row r="112" spans="1:18" x14ac:dyDescent="0.25">
      <c r="A112" t="str">
        <f>Froto!A112</f>
        <v>Hisse Başına Kazanç</v>
      </c>
      <c r="B112" s="6">
        <f>'Çeyreklik Veriler'!B112+'Çeyreklik Veriler'!C112+'Çeyreklik Veriler'!D112+'Çeyreklik Veriler'!E112</f>
        <v>53</v>
      </c>
      <c r="C112" s="6">
        <f>'Çeyreklik Veriler'!C112+'Çeyreklik Veriler'!D112+'Çeyreklik Veriler'!E112+'Çeyreklik Veriler'!F112</f>
        <v>41</v>
      </c>
      <c r="D112" s="6">
        <f>'Çeyreklik Veriler'!D112+'Çeyreklik Veriler'!E112+'Çeyreklik Veriler'!F112+'Çeyreklik Veriler'!G112</f>
        <v>36</v>
      </c>
      <c r="E112" s="6">
        <f>'Çeyreklik Veriler'!E112+'Çeyreklik Veriler'!F112+'Çeyreklik Veriler'!G112+'Çeyreklik Veriler'!H112</f>
        <v>28</v>
      </c>
      <c r="F112" s="6">
        <f>'Çeyreklik Veriler'!F112+'Çeyreklik Veriler'!G112+'Çeyreklik Veriler'!H112+'Çeyreklik Veriler'!I112</f>
        <v>25</v>
      </c>
      <c r="G112" s="6">
        <f>'Çeyreklik Veriler'!G112+'Çeyreklik Veriler'!H112+'Çeyreklik Veriler'!I112+'Çeyreklik Veriler'!J112</f>
        <v>19</v>
      </c>
      <c r="H112" s="6">
        <f>'Çeyreklik Veriler'!H112+'Çeyreklik Veriler'!I112+'Çeyreklik Veriler'!J112+'Çeyreklik Veriler'!K112</f>
        <v>17</v>
      </c>
      <c r="I112" s="6">
        <f>'Çeyreklik Veriler'!I112+'Çeyreklik Veriler'!J112+'Çeyreklik Veriler'!K112+'Çeyreklik Veriler'!L112</f>
        <v>15</v>
      </c>
      <c r="J112" s="6">
        <f>'Çeyreklik Veriler'!J112+'Çeyreklik Veriler'!K112+'Çeyreklik Veriler'!L112+'Çeyreklik Veriler'!M112</f>
        <v>12</v>
      </c>
      <c r="K112" s="6">
        <f>'Çeyreklik Veriler'!K112+'Çeyreklik Veriler'!L112+'Çeyreklik Veriler'!M112+'Çeyreklik Veriler'!N112</f>
        <v>8</v>
      </c>
      <c r="L112" s="6">
        <f>'Çeyreklik Veriler'!L112+'Çeyreklik Veriler'!M112+'Çeyreklik Veriler'!N112+'Çeyreklik Veriler'!O112</f>
        <v>6</v>
      </c>
      <c r="M112" s="6">
        <f>'Çeyreklik Veriler'!M112+'Çeyreklik Veriler'!N112+'Çeyreklik Veriler'!O112+'Çeyreklik Veriler'!P112</f>
        <v>7</v>
      </c>
      <c r="N112" s="6">
        <f>'Çeyreklik Veriler'!N112+'Çeyreklik Veriler'!O112+'Çeyreklik Veriler'!P112+'Çeyreklik Veriler'!Q112</f>
        <v>6</v>
      </c>
      <c r="O112" s="6">
        <f>'Çeyreklik Veriler'!O112+'Çeyreklik Veriler'!P112+'Çeyreklik Veriler'!Q112+'Çeyreklik Veriler'!R112</f>
        <v>5</v>
      </c>
      <c r="P112" s="6">
        <f>'Çeyreklik Veriler'!P112+'Çeyreklik Veriler'!Q112+'Çeyreklik Veriler'!R112+'Çeyreklik Veriler'!S112</f>
        <v>7</v>
      </c>
      <c r="Q112" s="6">
        <f>'Çeyreklik Veriler'!Q112+'Çeyreklik Veriler'!R112+'Çeyreklik Veriler'!S112+'Çeyreklik Veriler'!T112</f>
        <v>5</v>
      </c>
      <c r="R112" s="6">
        <f>'Çeyreklik Veriler'!R112+'Çeyreklik Veriler'!S112+'Çeyreklik Veriler'!T112+'Çeyreklik Veriler'!U112</f>
        <v>5</v>
      </c>
    </row>
    <row r="113" spans="1:18" x14ac:dyDescent="0.25">
      <c r="A113" t="str">
        <f>Froto!A113</f>
        <v>Seyreltilmiş Hisse Başına Kazanç</v>
      </c>
      <c r="B113" s="6">
        <f>'Çeyreklik Veriler'!B113+'Çeyreklik Veriler'!C113+'Çeyreklik Veriler'!D113+'Çeyreklik Veriler'!E113</f>
        <v>0</v>
      </c>
      <c r="C113" s="6">
        <f>'Çeyreklik Veriler'!C113+'Çeyreklik Veriler'!D113+'Çeyreklik Veriler'!E113+'Çeyreklik Veriler'!F113</f>
        <v>0</v>
      </c>
      <c r="D113" s="6">
        <f>'Çeyreklik Veriler'!D113+'Çeyreklik Veriler'!E113+'Çeyreklik Veriler'!F113+'Çeyreklik Veriler'!G113</f>
        <v>0</v>
      </c>
      <c r="E113" s="6">
        <f>'Çeyreklik Veriler'!E113+'Çeyreklik Veriler'!F113+'Çeyreklik Veriler'!G113+'Çeyreklik Veriler'!H113</f>
        <v>0</v>
      </c>
      <c r="F113" s="6">
        <f>'Çeyreklik Veriler'!F113+'Çeyreklik Veriler'!G113+'Çeyreklik Veriler'!H113+'Çeyreklik Veriler'!I113</f>
        <v>0</v>
      </c>
      <c r="G113" s="6">
        <f>'Çeyreklik Veriler'!G113+'Çeyreklik Veriler'!H113+'Çeyreklik Veriler'!I113+'Çeyreklik Veriler'!J113</f>
        <v>0</v>
      </c>
      <c r="H113" s="6">
        <f>'Çeyreklik Veriler'!H113+'Çeyreklik Veriler'!I113+'Çeyreklik Veriler'!J113+'Çeyreklik Veriler'!K113</f>
        <v>-3</v>
      </c>
      <c r="I113" s="6">
        <f>'Çeyreklik Veriler'!I113+'Çeyreklik Veriler'!J113+'Çeyreklik Veriler'!K113+'Çeyreklik Veriler'!L113</f>
        <v>0</v>
      </c>
      <c r="J113" s="6">
        <f>'Çeyreklik Veriler'!J113+'Çeyreklik Veriler'!K113+'Çeyreklik Veriler'!L113+'Çeyreklik Veriler'!M113</f>
        <v>0</v>
      </c>
      <c r="K113" s="6">
        <f>'Çeyreklik Veriler'!K113+'Çeyreklik Veriler'!L113+'Çeyreklik Veriler'!M113+'Çeyreklik Veriler'!N113</f>
        <v>0</v>
      </c>
      <c r="L113" s="6">
        <f>'Çeyreklik Veriler'!L113+'Çeyreklik Veriler'!M113+'Çeyreklik Veriler'!N113+'Çeyreklik Veriler'!O113</f>
        <v>0</v>
      </c>
      <c r="M113" s="6">
        <f>'Çeyreklik Veriler'!M113+'Çeyreklik Veriler'!N113+'Çeyreklik Veriler'!O113+'Çeyreklik Veriler'!P113</f>
        <v>0</v>
      </c>
      <c r="N113" s="6">
        <f>'Çeyreklik Veriler'!N113+'Çeyreklik Veriler'!O113+'Çeyreklik Veriler'!P113+'Çeyreklik Veriler'!Q113</f>
        <v>0</v>
      </c>
      <c r="O113" s="6">
        <f>'Çeyreklik Veriler'!O113+'Çeyreklik Veriler'!P113+'Çeyreklik Veriler'!Q113+'Çeyreklik Veriler'!R113</f>
        <v>0</v>
      </c>
      <c r="P113" s="6">
        <f>'Çeyreklik Veriler'!P113+'Çeyreklik Veriler'!Q113+'Çeyreklik Veriler'!R113+'Çeyreklik Veriler'!S113</f>
        <v>3</v>
      </c>
      <c r="Q113" s="6">
        <f>'Çeyreklik Veriler'!Q113+'Çeyreklik Veriler'!R113+'Çeyreklik Veriler'!S113+'Çeyreklik Veriler'!T113</f>
        <v>0</v>
      </c>
      <c r="R113" s="6">
        <f>'Çeyreklik Veriler'!R113+'Çeyreklik Veriler'!S113+'Çeyreklik Veriler'!T113+'Çeyreklik Veriler'!U113</f>
        <v>0</v>
      </c>
    </row>
    <row r="114" spans="1:18" x14ac:dyDescent="0.25">
      <c r="A114" t="str">
        <f>Froto!A114</f>
        <v>Sürdürülen Faaliyetlerden Hisse Başına Kazanç</v>
      </c>
      <c r="B114" s="6">
        <f>'Çeyreklik Veriler'!B114+'Çeyreklik Veriler'!C114+'Çeyreklik Veriler'!D114+'Çeyreklik Veriler'!E114</f>
        <v>0</v>
      </c>
      <c r="C114" s="6">
        <f>'Çeyreklik Veriler'!C114+'Çeyreklik Veriler'!D114+'Çeyreklik Veriler'!E114+'Çeyreklik Veriler'!F114</f>
        <v>0</v>
      </c>
      <c r="D114" s="6">
        <f>'Çeyreklik Veriler'!D114+'Çeyreklik Veriler'!E114+'Çeyreklik Veriler'!F114+'Çeyreklik Veriler'!G114</f>
        <v>0</v>
      </c>
      <c r="E114" s="6">
        <f>'Çeyreklik Veriler'!E114+'Çeyreklik Veriler'!F114+'Çeyreklik Veriler'!G114+'Çeyreklik Veriler'!H114</f>
        <v>0</v>
      </c>
      <c r="F114" s="6">
        <f>'Çeyreklik Veriler'!F114+'Çeyreklik Veriler'!G114+'Çeyreklik Veriler'!H114+'Çeyreklik Veriler'!I114</f>
        <v>0</v>
      </c>
      <c r="G114" s="6">
        <f>'Çeyreklik Veriler'!G114+'Çeyreklik Veriler'!H114+'Çeyreklik Veriler'!I114+'Çeyreklik Veriler'!J114</f>
        <v>0</v>
      </c>
      <c r="H114" s="6">
        <f>'Çeyreklik Veriler'!H114+'Çeyreklik Veriler'!I114+'Çeyreklik Veriler'!J114+'Çeyreklik Veriler'!K114</f>
        <v>-3</v>
      </c>
      <c r="I114" s="6">
        <f>'Çeyreklik Veriler'!I114+'Çeyreklik Veriler'!J114+'Çeyreklik Veriler'!K114+'Çeyreklik Veriler'!L114</f>
        <v>0</v>
      </c>
      <c r="J114" s="6">
        <f>'Çeyreklik Veriler'!J114+'Çeyreklik Veriler'!K114+'Çeyreklik Veriler'!L114+'Çeyreklik Veriler'!M114</f>
        <v>0</v>
      </c>
      <c r="K114" s="6">
        <f>'Çeyreklik Veriler'!K114+'Çeyreklik Veriler'!L114+'Çeyreklik Veriler'!M114+'Çeyreklik Veriler'!N114</f>
        <v>0</v>
      </c>
      <c r="L114" s="6">
        <f>'Çeyreklik Veriler'!L114+'Çeyreklik Veriler'!M114+'Çeyreklik Veriler'!N114+'Çeyreklik Veriler'!O114</f>
        <v>0</v>
      </c>
      <c r="M114" s="6">
        <f>'Çeyreklik Veriler'!M114+'Çeyreklik Veriler'!N114+'Çeyreklik Veriler'!O114+'Çeyreklik Veriler'!P114</f>
        <v>0</v>
      </c>
      <c r="N114" s="6">
        <f>'Çeyreklik Veriler'!N114+'Çeyreklik Veriler'!O114+'Çeyreklik Veriler'!P114+'Çeyreklik Veriler'!Q114</f>
        <v>0</v>
      </c>
      <c r="O114" s="6">
        <f>'Çeyreklik Veriler'!O114+'Çeyreklik Veriler'!P114+'Çeyreklik Veriler'!Q114+'Çeyreklik Veriler'!R114</f>
        <v>0</v>
      </c>
      <c r="P114" s="6">
        <f>'Çeyreklik Veriler'!P114+'Çeyreklik Veriler'!Q114+'Çeyreklik Veriler'!R114+'Çeyreklik Veriler'!S114</f>
        <v>3</v>
      </c>
      <c r="Q114" s="6">
        <f>'Çeyreklik Veriler'!Q114+'Çeyreklik Veriler'!R114+'Çeyreklik Veriler'!S114+'Çeyreklik Veriler'!T114</f>
        <v>0</v>
      </c>
      <c r="R114" s="6">
        <f>'Çeyreklik Veriler'!R114+'Çeyreklik Veriler'!S114+'Çeyreklik Veriler'!T114+'Çeyreklik Veriler'!U114</f>
        <v>0</v>
      </c>
    </row>
    <row r="115" spans="1:18" x14ac:dyDescent="0.25">
      <c r="A115" t="str">
        <f>Froto!A115</f>
        <v>Sürdürülen Faaliyetlerden Seyreltilmiş Hisse Başına Kazanç</v>
      </c>
      <c r="B115" s="6">
        <f>'Çeyreklik Veriler'!B115+'Çeyreklik Veriler'!C115+'Çeyreklik Veriler'!D115+'Çeyreklik Veriler'!E115</f>
        <v>0</v>
      </c>
      <c r="C115" s="6">
        <f>'Çeyreklik Veriler'!C115+'Çeyreklik Veriler'!D115+'Çeyreklik Veriler'!E115+'Çeyreklik Veriler'!F115</f>
        <v>0</v>
      </c>
      <c r="D115" s="6">
        <f>'Çeyreklik Veriler'!D115+'Çeyreklik Veriler'!E115+'Çeyreklik Veriler'!F115+'Çeyreklik Veriler'!G115</f>
        <v>0</v>
      </c>
      <c r="E115" s="6">
        <f>'Çeyreklik Veriler'!E115+'Çeyreklik Veriler'!F115+'Çeyreklik Veriler'!G115+'Çeyreklik Veriler'!H115</f>
        <v>0</v>
      </c>
      <c r="F115" s="6">
        <f>'Çeyreklik Veriler'!F115+'Çeyreklik Veriler'!G115+'Çeyreklik Veriler'!H115+'Çeyreklik Veriler'!I115</f>
        <v>0</v>
      </c>
      <c r="G115" s="6">
        <f>'Çeyreklik Veriler'!G115+'Çeyreklik Veriler'!H115+'Çeyreklik Veriler'!I115+'Çeyreklik Veriler'!J115</f>
        <v>0</v>
      </c>
      <c r="H115" s="6">
        <f>'Çeyreklik Veriler'!H115+'Çeyreklik Veriler'!I115+'Çeyreklik Veriler'!J115+'Çeyreklik Veriler'!K115</f>
        <v>-3</v>
      </c>
      <c r="I115" s="6">
        <f>'Çeyreklik Veriler'!I115+'Çeyreklik Veriler'!J115+'Çeyreklik Veriler'!K115+'Çeyreklik Veriler'!L115</f>
        <v>0</v>
      </c>
      <c r="J115" s="6">
        <f>'Çeyreklik Veriler'!J115+'Çeyreklik Veriler'!K115+'Çeyreklik Veriler'!L115+'Çeyreklik Veriler'!M115</f>
        <v>0</v>
      </c>
      <c r="K115" s="6">
        <f>'Çeyreklik Veriler'!K115+'Çeyreklik Veriler'!L115+'Çeyreklik Veriler'!M115+'Çeyreklik Veriler'!N115</f>
        <v>0</v>
      </c>
      <c r="L115" s="6">
        <f>'Çeyreklik Veriler'!L115+'Çeyreklik Veriler'!M115+'Çeyreklik Veriler'!N115+'Çeyreklik Veriler'!O115</f>
        <v>0</v>
      </c>
      <c r="M115" s="6">
        <f>'Çeyreklik Veriler'!M115+'Çeyreklik Veriler'!N115+'Çeyreklik Veriler'!O115+'Çeyreklik Veriler'!P115</f>
        <v>0</v>
      </c>
      <c r="N115" s="6">
        <f>'Çeyreklik Veriler'!N115+'Çeyreklik Veriler'!O115+'Çeyreklik Veriler'!P115+'Çeyreklik Veriler'!Q115</f>
        <v>0</v>
      </c>
      <c r="O115" s="6">
        <f>'Çeyreklik Veriler'!O115+'Çeyreklik Veriler'!P115+'Çeyreklik Veriler'!Q115+'Çeyreklik Veriler'!R115</f>
        <v>0</v>
      </c>
      <c r="P115" s="6">
        <f>'Çeyreklik Veriler'!P115+'Çeyreklik Veriler'!Q115+'Çeyreklik Veriler'!R115+'Çeyreklik Veriler'!S115</f>
        <v>3</v>
      </c>
      <c r="Q115" s="6">
        <f>'Çeyreklik Veriler'!Q115+'Çeyreklik Veriler'!R115+'Çeyreklik Veriler'!S115+'Çeyreklik Veriler'!T115</f>
        <v>0</v>
      </c>
      <c r="R115" s="6">
        <f>'Çeyreklik Veriler'!R115+'Çeyreklik Veriler'!S115+'Çeyreklik Veriler'!T115+'Çeyreklik Veriler'!U115</f>
        <v>0</v>
      </c>
    </row>
    <row r="116" spans="1:18" x14ac:dyDescent="0.25">
      <c r="A116" t="str">
        <f>Froto!A116</f>
        <v>Amortisman Giderleri</v>
      </c>
      <c r="B116" s="6">
        <f>'Çeyreklik Veriler'!B116+'Çeyreklik Veriler'!C116+'Çeyreklik Veriler'!D116+'Çeyreklik Veriler'!E116</f>
        <v>1894948000</v>
      </c>
      <c r="C116" s="6">
        <f>'Çeyreklik Veriler'!C116+'Çeyreklik Veriler'!D116+'Çeyreklik Veriler'!E116+'Çeyreklik Veriler'!F116</f>
        <v>1532892000</v>
      </c>
      <c r="D116" s="6">
        <f>'Çeyreklik Veriler'!D116+'Çeyreklik Veriler'!E116+'Çeyreklik Veriler'!F116+'Çeyreklik Veriler'!G116</f>
        <v>1128573000</v>
      </c>
      <c r="E116" s="6">
        <f>'Çeyreklik Veriler'!E116+'Çeyreklik Veriler'!F116+'Çeyreklik Veriler'!G116+'Çeyreklik Veriler'!H116</f>
        <v>1096186000</v>
      </c>
      <c r="F116" s="6">
        <f>'Çeyreklik Veriler'!F116+'Çeyreklik Veriler'!G116+'Çeyreklik Veriler'!H116+'Çeyreklik Veriler'!I116</f>
        <v>1054264000</v>
      </c>
      <c r="G116" s="6">
        <f>'Çeyreklik Veriler'!G116+'Çeyreklik Veriler'!H116+'Çeyreklik Veriler'!I116+'Çeyreklik Veriler'!J116</f>
        <v>1014932000</v>
      </c>
      <c r="H116" s="6">
        <f>'Çeyreklik Veriler'!H116+'Çeyreklik Veriler'!I116+'Çeyreklik Veriler'!J116+'Çeyreklik Veriler'!K116</f>
        <v>982902000</v>
      </c>
      <c r="I116" s="6">
        <f>'Çeyreklik Veriler'!I116+'Çeyreklik Veriler'!J116+'Çeyreklik Veriler'!K116+'Çeyreklik Veriler'!L116</f>
        <v>950236000</v>
      </c>
      <c r="J116" s="6">
        <f>'Çeyreklik Veriler'!J116+'Çeyreklik Veriler'!K116+'Çeyreklik Veriler'!L116+'Çeyreklik Veriler'!M116</f>
        <v>916575000</v>
      </c>
      <c r="K116" s="6">
        <f>'Çeyreklik Veriler'!K116+'Çeyreklik Veriler'!L116+'Çeyreklik Veriler'!M116+'Çeyreklik Veriler'!N116</f>
        <v>888179000</v>
      </c>
      <c r="L116" s="6">
        <f>'Çeyreklik Veriler'!L116+'Çeyreklik Veriler'!M116+'Çeyreklik Veriler'!N116+'Çeyreklik Veriler'!O116</f>
        <v>858789000</v>
      </c>
      <c r="M116" s="6">
        <f>'Çeyreklik Veriler'!M116+'Çeyreklik Veriler'!N116+'Çeyreklik Veriler'!O116+'Çeyreklik Veriler'!P116</f>
        <v>816631000</v>
      </c>
      <c r="N116" s="6">
        <f>'Çeyreklik Veriler'!N116+'Çeyreklik Veriler'!O116+'Çeyreklik Veriler'!P116+'Çeyreklik Veriler'!Q116</f>
        <v>775988000</v>
      </c>
      <c r="O116" s="6">
        <f>'Çeyreklik Veriler'!O116+'Çeyreklik Veriler'!P116+'Çeyreklik Veriler'!Q116+'Çeyreklik Veriler'!R116</f>
        <v>713188000</v>
      </c>
      <c r="P116" s="6">
        <f>'Çeyreklik Veriler'!P116+'Çeyreklik Veriler'!Q116+'Çeyreklik Veriler'!R116+'Çeyreklik Veriler'!S116</f>
        <v>660091000</v>
      </c>
      <c r="Q116" s="6">
        <f>'Çeyreklik Veriler'!Q116+'Çeyreklik Veriler'!R116+'Çeyreklik Veriler'!S116+'Çeyreklik Veriler'!T116</f>
        <v>619094000</v>
      </c>
      <c r="R116" s="6">
        <f>'Çeyreklik Veriler'!R116+'Çeyreklik Veriler'!S116+'Çeyreklik Veriler'!T116+'Çeyreklik Veriler'!U116</f>
        <v>569203000</v>
      </c>
    </row>
    <row r="117" spans="1:18" x14ac:dyDescent="0.25">
      <c r="A117" t="str">
        <f>Froto!A117</f>
        <v>Kıdem Tazminatı</v>
      </c>
      <c r="B117" s="6">
        <f>'Çeyreklik Veriler'!B117+'Çeyreklik Veriler'!C117+'Çeyreklik Veriler'!D117+'Çeyreklik Veriler'!E117</f>
        <v>40651000</v>
      </c>
      <c r="C117" s="6">
        <f>'Çeyreklik Veriler'!C117+'Çeyreklik Veriler'!D117+'Çeyreklik Veriler'!E117+'Çeyreklik Veriler'!F117</f>
        <v>5893000</v>
      </c>
      <c r="D117" s="6">
        <f>'Çeyreklik Veriler'!D117+'Çeyreklik Veriler'!E117+'Çeyreklik Veriler'!F117+'Çeyreklik Veriler'!G117</f>
        <v>31588000</v>
      </c>
      <c r="E117" s="6">
        <f>'Çeyreklik Veriler'!E117+'Çeyreklik Veriler'!F117+'Çeyreklik Veriler'!G117+'Çeyreklik Veriler'!H117</f>
        <v>27581000</v>
      </c>
      <c r="F117" s="6">
        <f>'Çeyreklik Veriler'!F117+'Çeyreklik Veriler'!G117+'Çeyreklik Veriler'!H117+'Çeyreklik Veriler'!I117</f>
        <v>23573000</v>
      </c>
      <c r="G117" s="6">
        <f>'Çeyreklik Veriler'!G117+'Çeyreklik Veriler'!H117+'Çeyreklik Veriler'!I117+'Çeyreklik Veriler'!J117</f>
        <v>22647000</v>
      </c>
      <c r="H117" s="6">
        <f>'Çeyreklik Veriler'!H117+'Çeyreklik Veriler'!I117+'Çeyreklik Veriler'!J117+'Çeyreklik Veriler'!K117</f>
        <v>21721000</v>
      </c>
      <c r="I117" s="6">
        <f>'Çeyreklik Veriler'!I117+'Çeyreklik Veriler'!J117+'Çeyreklik Veriler'!K117+'Çeyreklik Veriler'!L117</f>
        <v>20794000</v>
      </c>
      <c r="J117" s="6">
        <f>'Çeyreklik Veriler'!J117+'Çeyreklik Veriler'!K117+'Çeyreklik Veriler'!L117+'Çeyreklik Veriler'!M117</f>
        <v>19868000</v>
      </c>
      <c r="K117" s="6">
        <f>'Çeyreklik Veriler'!K117+'Çeyreklik Veriler'!L117+'Çeyreklik Veriler'!M117+'Çeyreklik Veriler'!N117</f>
        <v>32701000</v>
      </c>
      <c r="L117" s="6">
        <f>'Çeyreklik Veriler'!L117+'Çeyreklik Veriler'!M117+'Çeyreklik Veriler'!N117+'Çeyreklik Veriler'!O117</f>
        <v>45535000</v>
      </c>
      <c r="M117" s="6">
        <f>'Çeyreklik Veriler'!M117+'Çeyreklik Veriler'!N117+'Çeyreklik Veriler'!O117+'Çeyreklik Veriler'!P117</f>
        <v>58368000</v>
      </c>
      <c r="N117" s="6">
        <f>'Çeyreklik Veriler'!N117+'Çeyreklik Veriler'!O117+'Çeyreklik Veriler'!P117+'Çeyreklik Veriler'!Q117</f>
        <v>71201000</v>
      </c>
      <c r="O117" s="6">
        <f>'Çeyreklik Veriler'!O117+'Çeyreklik Veriler'!P117+'Çeyreklik Veriler'!Q117+'Çeyreklik Veriler'!R117</f>
        <v>67428000</v>
      </c>
      <c r="P117" s="6">
        <f>'Çeyreklik Veriler'!P117+'Çeyreklik Veriler'!Q117+'Çeyreklik Veriler'!R117+'Çeyreklik Veriler'!S117</f>
        <v>63653000</v>
      </c>
      <c r="Q117" s="6">
        <f>'Çeyreklik Veriler'!Q117+'Çeyreklik Veriler'!R117+'Çeyreklik Veriler'!S117+'Çeyreklik Veriler'!T117</f>
        <v>59881000</v>
      </c>
      <c r="R117" s="6">
        <f>'Çeyreklik Veriler'!R117+'Çeyreklik Veriler'!S117+'Çeyreklik Veriler'!T117+'Çeyreklik Veriler'!U117</f>
        <v>56108000</v>
      </c>
    </row>
    <row r="118" spans="1:18" x14ac:dyDescent="0.25">
      <c r="A118" t="str">
        <f>Froto!A118</f>
        <v>Finansman Giderleri</v>
      </c>
      <c r="B118" s="6">
        <f>'Çeyreklik Veriler'!B118+'Çeyreklik Veriler'!C118+'Çeyreklik Veriler'!D118+'Çeyreklik Veriler'!E118</f>
        <v>-10197649000</v>
      </c>
      <c r="C118" s="6">
        <f>'Çeyreklik Veriler'!C118+'Çeyreklik Veriler'!D118+'Çeyreklik Veriler'!E118+'Çeyreklik Veriler'!F118</f>
        <v>-12329764000</v>
      </c>
      <c r="D118" s="6">
        <f>'Çeyreklik Veriler'!D118+'Çeyreklik Veriler'!E118+'Çeyreklik Veriler'!F118+'Çeyreklik Veriler'!G118</f>
        <v>-11252802000</v>
      </c>
      <c r="E118" s="6">
        <f>'Çeyreklik Veriler'!E118+'Çeyreklik Veriler'!F118+'Çeyreklik Veriler'!G118+'Çeyreklik Veriler'!H118</f>
        <v>-8203594000</v>
      </c>
      <c r="F118" s="6">
        <f>'Çeyreklik Veriler'!F118+'Çeyreklik Veriler'!G118+'Çeyreklik Veriler'!H118+'Çeyreklik Veriler'!I118</f>
        <v>-6527635000</v>
      </c>
      <c r="G118" s="6">
        <f>'Çeyreklik Veriler'!G118+'Çeyreklik Veriler'!H118+'Çeyreklik Veriler'!I118+'Çeyreklik Veriler'!J118</f>
        <v>-3418454000</v>
      </c>
      <c r="H118" s="6">
        <f>'Çeyreklik Veriler'!H118+'Çeyreklik Veriler'!I118+'Çeyreklik Veriler'!J118+'Çeyreklik Veriler'!K118</f>
        <v>-3034573000</v>
      </c>
      <c r="I118" s="6">
        <f>'Çeyreklik Veriler'!I118+'Çeyreklik Veriler'!J118+'Çeyreklik Veriler'!K118+'Çeyreklik Veriler'!L118</f>
        <v>-2846648000</v>
      </c>
      <c r="J118" s="6">
        <f>'Çeyreklik Veriler'!J118+'Çeyreklik Veriler'!K118+'Çeyreklik Veriler'!L118+'Çeyreklik Veriler'!M118</f>
        <v>-2553875000</v>
      </c>
      <c r="K118" s="6">
        <f>'Çeyreklik Veriler'!K118+'Çeyreklik Veriler'!L118+'Çeyreklik Veriler'!M118+'Çeyreklik Veriler'!N118</f>
        <v>-1819233000</v>
      </c>
      <c r="L118" s="6">
        <f>'Çeyreklik Veriler'!L118+'Çeyreklik Veriler'!M118+'Çeyreklik Veriler'!N118+'Çeyreklik Veriler'!O118</f>
        <v>-1848602000</v>
      </c>
      <c r="M118" s="6">
        <f>'Çeyreklik Veriler'!M118+'Çeyreklik Veriler'!N118+'Çeyreklik Veriler'!O118+'Çeyreklik Veriler'!P118</f>
        <v>-1804311000</v>
      </c>
      <c r="N118" s="6">
        <f>'Çeyreklik Veriler'!N118+'Çeyreklik Veriler'!O118+'Çeyreklik Veriler'!P118+'Çeyreklik Veriler'!Q118</f>
        <v>-1656231000</v>
      </c>
      <c r="O118" s="6">
        <f>'Çeyreklik Veriler'!O118+'Çeyreklik Veriler'!P118+'Çeyreklik Veriler'!Q118+'Çeyreklik Veriler'!R118</f>
        <v>-2243327000</v>
      </c>
      <c r="P118" s="6">
        <f>'Çeyreklik Veriler'!P118+'Çeyreklik Veriler'!Q118+'Çeyreklik Veriler'!R118+'Çeyreklik Veriler'!S118</f>
        <v>-2710890000</v>
      </c>
      <c r="Q118" s="6">
        <f>'Çeyreklik Veriler'!Q118+'Çeyreklik Veriler'!R118+'Çeyreklik Veriler'!S118+'Çeyreklik Veriler'!T118</f>
        <v>-2560262000</v>
      </c>
      <c r="R118" s="6">
        <f>'Çeyreklik Veriler'!R118+'Çeyreklik Veriler'!S118+'Çeyreklik Veriler'!T118+'Çeyreklik Veriler'!U118</f>
        <v>-2501845000</v>
      </c>
    </row>
    <row r="119" spans="1:18" x14ac:dyDescent="0.25">
      <c r="A119" t="str">
        <f>Froto!A119</f>
        <v>Yurtiçi Satışlar</v>
      </c>
      <c r="B119" s="6">
        <f>'Çeyreklik Veriler'!B119+'Çeyreklik Veriler'!C119+'Çeyreklik Veriler'!D119+'Çeyreklik Veriler'!E119</f>
        <v>40807584000</v>
      </c>
      <c r="C119" s="6">
        <f>'Çeyreklik Veriler'!C119+'Çeyreklik Veriler'!D119+'Çeyreklik Veriler'!E119+'Çeyreklik Veriler'!F119</f>
        <v>31307072000</v>
      </c>
      <c r="D119" s="6">
        <f>'Çeyreklik Veriler'!D119+'Çeyreklik Veriler'!E119+'Çeyreklik Veriler'!F119+'Çeyreklik Veriler'!G119</f>
        <v>24297402000</v>
      </c>
      <c r="E119" s="6">
        <f>'Çeyreklik Veriler'!E119+'Çeyreklik Veriler'!F119+'Çeyreklik Veriler'!G119+'Çeyreklik Veriler'!H119</f>
        <v>19714458000</v>
      </c>
      <c r="F119" s="6">
        <f>'Çeyreklik Veriler'!F119+'Çeyreklik Veriler'!G119+'Çeyreklik Veriler'!H119+'Çeyreklik Veriler'!I119</f>
        <v>17983616000</v>
      </c>
      <c r="G119" s="6">
        <f>'Çeyreklik Veriler'!G119+'Çeyreklik Veriler'!H119+'Çeyreklik Veriler'!I119+'Çeyreklik Veriler'!J119</f>
        <v>18053445000</v>
      </c>
      <c r="H119" s="6">
        <f>'Çeyreklik Veriler'!H119+'Çeyreklik Veriler'!I119+'Çeyreklik Veriler'!J119+'Çeyreklik Veriler'!K119</f>
        <v>19774230000</v>
      </c>
      <c r="I119" s="6">
        <f>'Çeyreklik Veriler'!I119+'Çeyreklik Veriler'!J119+'Çeyreklik Veriler'!K119+'Çeyreklik Veriler'!L119</f>
        <v>18212392000</v>
      </c>
      <c r="J119" s="6">
        <f>'Çeyreklik Veriler'!J119+'Çeyreklik Veriler'!K119+'Çeyreklik Veriler'!L119+'Çeyreklik Veriler'!M119</f>
        <v>16153836000</v>
      </c>
      <c r="K119" s="6">
        <f>'Çeyreklik Veriler'!K119+'Çeyreklik Veriler'!L119+'Çeyreklik Veriler'!M119+'Çeyreklik Veriler'!N119</f>
        <v>11956920000</v>
      </c>
      <c r="L119" s="6">
        <f>'Çeyreklik Veriler'!L119+'Çeyreklik Veriler'!M119+'Çeyreklik Veriler'!N119+'Çeyreklik Veriler'!O119</f>
        <v>7808505000</v>
      </c>
      <c r="M119" s="6">
        <f>'Çeyreklik Veriler'!M119+'Çeyreklik Veriler'!N119+'Çeyreklik Veriler'!O119+'Çeyreklik Veriler'!P119</f>
        <v>7306586000</v>
      </c>
      <c r="N119" s="6">
        <f>'Çeyreklik Veriler'!N119+'Çeyreklik Veriler'!O119+'Çeyreklik Veriler'!P119+'Çeyreklik Veriler'!Q119</f>
        <v>6571460000</v>
      </c>
      <c r="O119" s="6">
        <f>'Çeyreklik Veriler'!O119+'Çeyreklik Veriler'!P119+'Çeyreklik Veriler'!Q119+'Çeyreklik Veriler'!R119</f>
        <v>5552146000</v>
      </c>
      <c r="P119" s="6">
        <f>'Çeyreklik Veriler'!P119+'Çeyreklik Veriler'!Q119+'Çeyreklik Veriler'!R119+'Çeyreklik Veriler'!S119</f>
        <v>5641953000</v>
      </c>
      <c r="Q119" s="6">
        <f>'Çeyreklik Veriler'!Q119+'Çeyreklik Veriler'!R119+'Çeyreklik Veriler'!S119+'Çeyreklik Veriler'!T119</f>
        <v>6297726000</v>
      </c>
      <c r="R119" s="6">
        <f>'Çeyreklik Veriler'!R119+'Çeyreklik Veriler'!S119+'Çeyreklik Veriler'!T119+'Çeyreklik Veriler'!U119</f>
        <v>6686164000</v>
      </c>
    </row>
    <row r="120" spans="1:18" x14ac:dyDescent="0.25">
      <c r="A120" t="str">
        <f>Froto!A120</f>
        <v>Yurtdışı Satışlar</v>
      </c>
      <c r="B120" s="6">
        <f>'Çeyreklik Veriler'!B120+'Çeyreklik Veriler'!C120+'Çeyreklik Veriler'!D120+'Çeyreklik Veriler'!E120</f>
        <v>133266750000</v>
      </c>
      <c r="C120" s="6">
        <f>'Çeyreklik Veriler'!C120+'Çeyreklik Veriler'!D120+'Çeyreklik Veriler'!E120+'Çeyreklik Veriler'!F120</f>
        <v>107022846000</v>
      </c>
      <c r="D120" s="6">
        <f>'Çeyreklik Veriler'!D120+'Çeyreklik Veriler'!E120+'Çeyreklik Veriler'!F120+'Çeyreklik Veriler'!G120</f>
        <v>82442726000</v>
      </c>
      <c r="E120" s="6">
        <f>'Çeyreklik Veriler'!E120+'Çeyreklik Veriler'!F120+'Çeyreklik Veriler'!G120+'Çeyreklik Veriler'!H120</f>
        <v>64447229000</v>
      </c>
      <c r="F120" s="6">
        <f>'Çeyreklik Veriler'!F120+'Çeyreklik Veriler'!G120+'Çeyreklik Veriler'!H120+'Çeyreklik Veriler'!I120</f>
        <v>54515151000</v>
      </c>
      <c r="G120" s="6">
        <f>'Çeyreklik Veriler'!G120+'Çeyreklik Veriler'!H120+'Çeyreklik Veriler'!I120+'Çeyreklik Veriler'!J120</f>
        <v>50003833000</v>
      </c>
      <c r="H120" s="6">
        <f>'Çeyreklik Veriler'!H120+'Çeyreklik Veriler'!I120+'Çeyreklik Veriler'!J120+'Çeyreklik Veriler'!K120</f>
        <v>42978344000</v>
      </c>
      <c r="I120" s="6">
        <f>'Çeyreklik Veriler'!I120+'Çeyreklik Veriler'!J120+'Çeyreklik Veriler'!K120+'Çeyreklik Veriler'!L120</f>
        <v>39658313000</v>
      </c>
      <c r="J120" s="6">
        <f>'Çeyreklik Veriler'!J120+'Çeyreklik Veriler'!K120+'Çeyreklik Veriler'!L120+'Çeyreklik Veriler'!M120</f>
        <v>34626072000</v>
      </c>
      <c r="K120" s="6">
        <f>'Çeyreklik Veriler'!K120+'Çeyreklik Veriler'!L120+'Çeyreklik Veriler'!M120+'Çeyreklik Veriler'!N120</f>
        <v>29139673000</v>
      </c>
      <c r="L120" s="6">
        <f>'Çeyreklik Veriler'!L120+'Çeyreklik Veriler'!M120+'Çeyreklik Veriler'!N120+'Çeyreklik Veriler'!O120</f>
        <v>28857847000</v>
      </c>
      <c r="M120" s="6">
        <f>'Çeyreklik Veriler'!M120+'Çeyreklik Veriler'!N120+'Çeyreklik Veriler'!O120+'Çeyreklik Veriler'!P120</f>
        <v>32738678000</v>
      </c>
      <c r="N120" s="6">
        <f>'Çeyreklik Veriler'!N120+'Çeyreklik Veriler'!O120+'Çeyreklik Veriler'!P120+'Çeyreklik Veriler'!Q120</f>
        <v>33375426000</v>
      </c>
      <c r="O120" s="6">
        <f>'Çeyreklik Veriler'!O120+'Çeyreklik Veriler'!P120+'Çeyreklik Veriler'!Q120+'Çeyreklik Veriler'!R120</f>
        <v>32836250000</v>
      </c>
      <c r="P120" s="6">
        <f>'Çeyreklik Veriler'!P120+'Çeyreklik Veriler'!Q120+'Çeyreklik Veriler'!R120+'Çeyreklik Veriler'!S120</f>
        <v>31261159000</v>
      </c>
      <c r="Q120" s="6">
        <f>'Çeyreklik Veriler'!Q120+'Çeyreklik Veriler'!R120+'Çeyreklik Veriler'!S120+'Çeyreklik Veriler'!T120</f>
        <v>29716524000</v>
      </c>
      <c r="R120" s="6">
        <f>'Çeyreklik Veriler'!R120+'Çeyreklik Veriler'!S120+'Çeyreklik Veriler'!T120+'Çeyreklik Veriler'!U120</f>
        <v>27303441000</v>
      </c>
    </row>
    <row r="121" spans="1:18" x14ac:dyDescent="0.25">
      <c r="A121" t="str">
        <f>Froto!A121</f>
        <v>Net Yabancı Para Pozisyonu</v>
      </c>
      <c r="B121" s="6">
        <f>'Çeyreklik Veriler'!B121+'Çeyreklik Veriler'!C121+'Çeyreklik Veriler'!D121+'Çeyreklik Veriler'!E121</f>
        <v>-18080529000</v>
      </c>
      <c r="C121" s="6">
        <f>'Çeyreklik Veriler'!C121+'Çeyreklik Veriler'!D121+'Çeyreklik Veriler'!E121+'Çeyreklik Veriler'!F121</f>
        <v>-20862570000</v>
      </c>
      <c r="D121" s="6">
        <f>'Çeyreklik Veriler'!D121+'Çeyreklik Veriler'!E121+'Çeyreklik Veriler'!F121+'Çeyreklik Veriler'!G121</f>
        <v>-16876645000</v>
      </c>
      <c r="E121" s="6">
        <f>'Çeyreklik Veriler'!E121+'Çeyreklik Veriler'!F121+'Çeyreklik Veriler'!G121+'Çeyreklik Veriler'!H121</f>
        <v>-8309413000</v>
      </c>
      <c r="F121" s="6">
        <f>'Çeyreklik Veriler'!F121+'Çeyreklik Veriler'!G121+'Çeyreklik Veriler'!H121+'Çeyreklik Veriler'!I121</f>
        <v>-7077311000</v>
      </c>
      <c r="G121" s="6">
        <f>'Çeyreklik Veriler'!G121+'Çeyreklik Veriler'!H121+'Çeyreklik Veriler'!I121+'Çeyreklik Veriler'!J121</f>
        <v>-3377093000</v>
      </c>
      <c r="H121" s="6">
        <f>'Çeyreklik Veriler'!H121+'Çeyreklik Veriler'!I121+'Çeyreklik Veriler'!J121+'Çeyreklik Veriler'!K121</f>
        <v>-4876723000</v>
      </c>
      <c r="I121" s="6">
        <f>'Çeyreklik Veriler'!I121+'Çeyreklik Veriler'!J121+'Çeyreklik Veriler'!K121+'Çeyreklik Veriler'!L121</f>
        <v>-6197494000</v>
      </c>
      <c r="J121" s="6">
        <f>'Çeyreklik Veriler'!J121+'Çeyreklik Veriler'!K121+'Çeyreklik Veriler'!L121+'Çeyreklik Veriler'!M121</f>
        <v>-4969534000</v>
      </c>
      <c r="K121" s="6">
        <f>'Çeyreklik Veriler'!K121+'Çeyreklik Veriler'!L121+'Çeyreklik Veriler'!M121+'Çeyreklik Veriler'!N121</f>
        <v>-7706285000</v>
      </c>
      <c r="L121" s="6">
        <f>'Çeyreklik Veriler'!L121+'Çeyreklik Veriler'!M121+'Çeyreklik Veriler'!N121+'Çeyreklik Veriler'!O121</f>
        <v>-5791637000</v>
      </c>
      <c r="M121" s="6">
        <f>'Çeyreklik Veriler'!M121+'Çeyreklik Veriler'!N121+'Çeyreklik Veriler'!O121+'Çeyreklik Veriler'!P121</f>
        <v>-5389618000</v>
      </c>
      <c r="N121" s="6">
        <f>'Çeyreklik Veriler'!N121+'Çeyreklik Veriler'!O121+'Çeyreklik Veriler'!P121+'Çeyreklik Veriler'!Q121</f>
        <v>-3815780000</v>
      </c>
      <c r="O121" s="6">
        <f>'Çeyreklik Veriler'!O121+'Çeyreklik Veriler'!P121+'Çeyreklik Veriler'!Q121+'Çeyreklik Veriler'!R121</f>
        <v>-9210645000</v>
      </c>
      <c r="P121" s="6">
        <f>'Çeyreklik Veriler'!P121+'Çeyreklik Veriler'!Q121+'Çeyreklik Veriler'!R121+'Çeyreklik Veriler'!S121</f>
        <v>-3247009000</v>
      </c>
      <c r="Q121" s="6">
        <f>'Çeyreklik Veriler'!Q121+'Çeyreklik Veriler'!R121+'Çeyreklik Veriler'!S121+'Çeyreklik Veriler'!T121</f>
        <v>-3258683000</v>
      </c>
      <c r="R121" s="6">
        <f>'Çeyreklik Veriler'!R121+'Çeyreklik Veriler'!S121+'Çeyreklik Veriler'!T121+'Çeyreklik Veriler'!U121</f>
        <v>-2649057000</v>
      </c>
    </row>
    <row r="122" spans="1:18" x14ac:dyDescent="0.25">
      <c r="A122" t="str">
        <f>Froto!A122</f>
        <v>Parasal net yabancı para varlık/(yükümlülük) pozisyonu</v>
      </c>
      <c r="B122" s="6">
        <f>'Çeyreklik Veriler'!B122+'Çeyreklik Veriler'!C122+'Çeyreklik Veriler'!D122+'Çeyreklik Veriler'!E122</f>
        <v>-13114909000</v>
      </c>
      <c r="C122" s="6">
        <f>'Çeyreklik Veriler'!C122+'Çeyreklik Veriler'!D122+'Çeyreklik Veriler'!E122+'Çeyreklik Veriler'!F122</f>
        <v>-18577509000</v>
      </c>
      <c r="D122" s="6">
        <f>'Çeyreklik Veriler'!D122+'Çeyreklik Veriler'!E122+'Çeyreklik Veriler'!F122+'Çeyreklik Veriler'!G122</f>
        <v>-17909721000</v>
      </c>
      <c r="E122" s="6">
        <f>'Çeyreklik Veriler'!E122+'Çeyreklik Veriler'!F122+'Çeyreklik Veriler'!G122+'Çeyreklik Veriler'!H122</f>
        <v>-9275547000</v>
      </c>
      <c r="F122" s="6">
        <f>'Çeyreklik Veriler'!F122+'Çeyreklik Veriler'!G122+'Çeyreklik Veriler'!H122+'Çeyreklik Veriler'!I122</f>
        <v>-7718099000</v>
      </c>
      <c r="G122" s="6">
        <f>'Çeyreklik Veriler'!G122+'Çeyreklik Veriler'!H122+'Çeyreklik Veriler'!I122+'Çeyreklik Veriler'!J122</f>
        <v>-3739525000</v>
      </c>
      <c r="H122" s="6">
        <f>'Çeyreklik Veriler'!H122+'Çeyreklik Veriler'!I122+'Çeyreklik Veriler'!J122+'Çeyreklik Veriler'!K122</f>
        <v>-5565917000</v>
      </c>
      <c r="I122" s="6">
        <f>'Çeyreklik Veriler'!I122+'Çeyreklik Veriler'!J122+'Çeyreklik Veriler'!K122+'Çeyreklik Veriler'!L122</f>
        <v>-6717398000</v>
      </c>
      <c r="J122" s="6">
        <f>'Çeyreklik Veriler'!J122+'Çeyreklik Veriler'!K122+'Çeyreklik Veriler'!L122+'Çeyreklik Veriler'!M122</f>
        <v>-5339402000</v>
      </c>
      <c r="K122" s="6">
        <f>'Çeyreklik Veriler'!K122+'Çeyreklik Veriler'!L122+'Çeyreklik Veriler'!M122+'Çeyreklik Veriler'!N122</f>
        <v>-8024585000</v>
      </c>
      <c r="L122" s="6">
        <f>'Çeyreklik Veriler'!L122+'Çeyreklik Veriler'!M122+'Çeyreklik Veriler'!N122+'Çeyreklik Veriler'!O122</f>
        <v>-6200620000</v>
      </c>
      <c r="M122" s="6">
        <f>'Çeyreklik Veriler'!M122+'Çeyreklik Veriler'!N122+'Çeyreklik Veriler'!O122+'Çeyreklik Veriler'!P122</f>
        <v>-5675030000</v>
      </c>
      <c r="N122" s="6">
        <f>'Çeyreklik Veriler'!N122+'Çeyreklik Veriler'!O122+'Çeyreklik Veriler'!P122+'Çeyreklik Veriler'!Q122</f>
        <v>-4238730000</v>
      </c>
      <c r="O122" s="6">
        <f>'Çeyreklik Veriler'!O122+'Çeyreklik Veriler'!P122+'Çeyreklik Veriler'!Q122+'Çeyreklik Veriler'!R122</f>
        <v>-2653781000</v>
      </c>
      <c r="P122" s="6">
        <f>'Çeyreklik Veriler'!P122+'Çeyreklik Veriler'!Q122+'Çeyreklik Veriler'!R122+'Çeyreklik Veriler'!S122</f>
        <v>-3708637000</v>
      </c>
      <c r="Q122" s="6">
        <f>'Çeyreklik Veriler'!Q122+'Çeyreklik Veriler'!R122+'Çeyreklik Veriler'!S122+'Çeyreklik Veriler'!T122</f>
        <v>-3752051000</v>
      </c>
      <c r="R122" s="6">
        <f>'Çeyreklik Veriler'!R122+'Çeyreklik Veriler'!S122+'Çeyreklik Veriler'!T122+'Çeyreklik Veriler'!U122</f>
        <v>-2957872000</v>
      </c>
    </row>
    <row r="123" spans="1:18" x14ac:dyDescent="0.25">
      <c r="A123" t="str">
        <f>Froto!A123</f>
        <v>Net YPP (Hedge Dahil)</v>
      </c>
      <c r="B123" s="6">
        <f>'Çeyreklik Veriler'!B123+'Çeyreklik Veriler'!C123+'Çeyreklik Veriler'!D123+'Çeyreklik Veriler'!E123</f>
        <v>-18080529000</v>
      </c>
      <c r="C123" s="6">
        <f>'Çeyreklik Veriler'!C123+'Çeyreklik Veriler'!D123+'Çeyreklik Veriler'!E123+'Çeyreklik Veriler'!F123</f>
        <v>-20862570000</v>
      </c>
      <c r="D123" s="6">
        <f>'Çeyreklik Veriler'!D123+'Çeyreklik Veriler'!E123+'Çeyreklik Veriler'!F123+'Çeyreklik Veriler'!G123</f>
        <v>-16876645000</v>
      </c>
      <c r="E123" s="6">
        <f>'Çeyreklik Veriler'!E123+'Çeyreklik Veriler'!F123+'Çeyreklik Veriler'!G123+'Çeyreklik Veriler'!H123</f>
        <v>-8309413000</v>
      </c>
      <c r="F123" s="6">
        <f>'Çeyreklik Veriler'!F123+'Çeyreklik Veriler'!G123+'Çeyreklik Veriler'!H123+'Çeyreklik Veriler'!I123</f>
        <v>-7077311000</v>
      </c>
      <c r="G123" s="6">
        <f>'Çeyreklik Veriler'!G123+'Çeyreklik Veriler'!H123+'Çeyreklik Veriler'!I123+'Çeyreklik Veriler'!J123</f>
        <v>-3377093000</v>
      </c>
      <c r="H123" s="6">
        <f>'Çeyreklik Veriler'!H123+'Çeyreklik Veriler'!I123+'Çeyreklik Veriler'!J123+'Çeyreklik Veriler'!K123</f>
        <v>-4876723000</v>
      </c>
      <c r="I123" s="6">
        <f>'Çeyreklik Veriler'!I123+'Çeyreklik Veriler'!J123+'Çeyreklik Veriler'!K123+'Çeyreklik Veriler'!L123</f>
        <v>-6197494000</v>
      </c>
      <c r="J123" s="6">
        <f>'Çeyreklik Veriler'!J123+'Çeyreklik Veriler'!K123+'Çeyreklik Veriler'!L123+'Çeyreklik Veriler'!M123</f>
        <v>-4969534000</v>
      </c>
      <c r="K123" s="6">
        <f>'Çeyreklik Veriler'!K123+'Çeyreklik Veriler'!L123+'Çeyreklik Veriler'!M123+'Çeyreklik Veriler'!N123</f>
        <v>-7706285000</v>
      </c>
      <c r="L123" s="6">
        <f>'Çeyreklik Veriler'!L123+'Çeyreklik Veriler'!M123+'Çeyreklik Veriler'!N123+'Çeyreklik Veriler'!O123</f>
        <v>-5791637000</v>
      </c>
      <c r="M123" s="6">
        <f>'Çeyreklik Veriler'!M123+'Çeyreklik Veriler'!N123+'Çeyreklik Veriler'!O123+'Çeyreklik Veriler'!P123</f>
        <v>-5389618000</v>
      </c>
      <c r="N123" s="6">
        <f>'Çeyreklik Veriler'!N123+'Çeyreklik Veriler'!O123+'Çeyreklik Veriler'!P123+'Çeyreklik Veriler'!Q123</f>
        <v>-3815780000</v>
      </c>
      <c r="O123" s="6">
        <f>'Çeyreklik Veriler'!O123+'Çeyreklik Veriler'!P123+'Çeyreklik Veriler'!Q123+'Çeyreklik Veriler'!R123</f>
        <v>-2279845000</v>
      </c>
      <c r="P123" s="6">
        <f>'Çeyreklik Veriler'!P123+'Çeyreklik Veriler'!Q123+'Çeyreklik Veriler'!R123+'Çeyreklik Veriler'!S123</f>
        <v>-3247009000</v>
      </c>
      <c r="Q123" s="6">
        <f>'Çeyreklik Veriler'!Q123+'Çeyreklik Veriler'!R123+'Çeyreklik Veriler'!S123+'Çeyreklik Veriler'!T123</f>
        <v>-3258683000</v>
      </c>
      <c r="R123" s="6">
        <f>'Çeyreklik Veriler'!R123+'Çeyreklik Veriler'!S123+'Çeyreklik Veriler'!T123+'Çeyreklik Veriler'!U123</f>
        <v>-2649057000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C03B4-673E-4C5C-BD26-EE163A21A5FB}">
  <dimension ref="A2:M109"/>
  <sheetViews>
    <sheetView zoomScale="70" zoomScaleNormal="70" workbookViewId="0">
      <selection activeCell="Q26" sqref="Q26"/>
    </sheetView>
  </sheetViews>
  <sheetFormatPr defaultRowHeight="15" x14ac:dyDescent="0.25"/>
  <cols>
    <col min="1" max="1" width="39.85546875" bestFit="1" customWidth="1"/>
    <col min="2" max="13" width="14.5703125" bestFit="1" customWidth="1"/>
  </cols>
  <sheetData>
    <row r="2" spans="1:13" x14ac:dyDescent="0.25">
      <c r="B2" s="48" t="s">
        <v>178</v>
      </c>
      <c r="C2" s="48"/>
      <c r="D2" s="48"/>
      <c r="E2" s="48"/>
      <c r="F2" s="48"/>
      <c r="G2" s="48"/>
      <c r="H2" s="48"/>
      <c r="I2" s="48"/>
      <c r="J2" s="48"/>
      <c r="K2" s="48"/>
      <c r="L2" s="48"/>
      <c r="M2" s="48"/>
    </row>
    <row r="3" spans="1:13" x14ac:dyDescent="0.25">
      <c r="B3" s="2" t="str">
        <f>INDEX(Froto!$B$1:$M$1,COLUMNS(Froto!B1:$M$1))</f>
        <v>2020/3</v>
      </c>
      <c r="C3" s="2" t="str">
        <f>INDEX(Froto!$B$1:$M$1,COLUMNS(Froto!C1:$M$1))</f>
        <v>2020/6</v>
      </c>
      <c r="D3" s="2" t="str">
        <f>INDEX(Froto!$B$1:$M$1,COLUMNS(Froto!D1:$M$1))</f>
        <v>2020/9</v>
      </c>
      <c r="E3" s="2" t="str">
        <f>INDEX(Froto!$B$1:$M$1,COLUMNS(Froto!E1:$M$1))</f>
        <v>2020/12</v>
      </c>
      <c r="F3" s="2" t="str">
        <f>INDEX(Froto!$B$1:$M$1,COLUMNS(Froto!F1:$M$1))</f>
        <v>2021/3</v>
      </c>
      <c r="G3" s="2" t="str">
        <f>INDEX(Froto!$B$1:$M$1,COLUMNS(Froto!G1:$M$1))</f>
        <v>2021/6</v>
      </c>
      <c r="H3" s="2" t="str">
        <f>INDEX(Froto!$B$1:$M$1,COLUMNS(Froto!H1:$M$1))</f>
        <v>2021/9</v>
      </c>
      <c r="I3" s="2" t="str">
        <f>INDEX(Froto!$B$1:$M$1,COLUMNS(Froto!I1:$M$1))</f>
        <v>2021/12</v>
      </c>
      <c r="J3" s="2" t="str">
        <f>INDEX(Froto!$B$1:$M$1,COLUMNS(Froto!J1:$M$1))</f>
        <v>2022/3</v>
      </c>
      <c r="K3" s="2" t="str">
        <f>INDEX(Froto!$B$1:$M$1,COLUMNS(Froto!K1:$M$1))</f>
        <v>2022/6</v>
      </c>
      <c r="L3" s="2" t="str">
        <f>INDEX(Froto!$B$1:$M$1,COLUMNS(Froto!L1:$M$1))</f>
        <v>2022/9</v>
      </c>
      <c r="M3" s="2" t="str">
        <f>INDEX(Froto!$B$1:$M$1,COLUMNS(Froto!M1:$M$1))</f>
        <v>2022/12</v>
      </c>
    </row>
    <row r="4" spans="1:13" x14ac:dyDescent="0.25">
      <c r="A4" s="2" t="s">
        <v>21</v>
      </c>
      <c r="B4" s="6">
        <f>HLOOKUP(B3,Froto!$B$1:$U$2,2,0)</f>
        <v>10352633000</v>
      </c>
      <c r="C4" s="6">
        <f>HLOOKUP(C3,Froto!$B$1:$U$2,2,0)</f>
        <v>11753806000</v>
      </c>
      <c r="D4" s="6">
        <f>HLOOKUP(D3,Froto!$B$1:$U$2,2,0)</f>
        <v>16337400000</v>
      </c>
      <c r="E4" s="6">
        <f>HLOOKUP(E3,Froto!$B$1:$U$2,2,0)</f>
        <v>17604522000</v>
      </c>
      <c r="F4" s="6">
        <f>HLOOKUP(F3,Froto!$B$1:$U$2,2,0)</f>
        <v>19459015000</v>
      </c>
      <c r="G4" s="6">
        <f>HLOOKUP(G3,Froto!$B$1:$U$2,2,0)</f>
        <v>16178935000</v>
      </c>
      <c r="H4" s="6">
        <f>HLOOKUP(H3,Froto!$B$1:$U$2,2,0)</f>
        <v>25798227000</v>
      </c>
      <c r="I4" s="6">
        <f>HLOOKUP(I3,Froto!$B$1:$U$2,2,0)</f>
        <v>32813852000</v>
      </c>
      <c r="J4" s="6">
        <f>HLOOKUP(J3,Froto!$B$1:$U$2,2,0)</f>
        <v>37503027000</v>
      </c>
      <c r="K4" s="6">
        <f>HLOOKUP(K3,Froto!$B$1:$U$2,2,0)</f>
        <v>40038923000</v>
      </c>
      <c r="L4" s="6">
        <f>HLOOKUP(L3,Froto!$B$1:$U$2,2,0)</f>
        <v>47980331000</v>
      </c>
      <c r="M4" s="6">
        <f>HLOOKUP(M3,Froto!$B$1:$U$2,2,0)</f>
        <v>55124518000</v>
      </c>
    </row>
    <row r="5" spans="1:13" x14ac:dyDescent="0.25">
      <c r="A5" s="2" t="s">
        <v>44</v>
      </c>
      <c r="B5" s="6">
        <f>HLOOKUP(B3,Froto!$B$1:$U$32,32,0)</f>
        <v>9151078000</v>
      </c>
      <c r="C5" s="6">
        <f>HLOOKUP(C3,Froto!$B$1:$U$32,32,0)</f>
        <v>9972783000</v>
      </c>
      <c r="D5" s="6">
        <f>HLOOKUP(D3,Froto!$B$1:$U$32,32,0)</f>
        <v>12528355000</v>
      </c>
      <c r="E5" s="6">
        <f>HLOOKUP(E3,Froto!$B$1:$U$32,32,0)</f>
        <v>12480781000</v>
      </c>
      <c r="F5" s="6">
        <f>HLOOKUP(F3,Froto!$B$1:$U$32,32,0)</f>
        <v>15049021000</v>
      </c>
      <c r="G5" s="6">
        <f>HLOOKUP(G3,Froto!$B$1:$U$32,32,0)</f>
        <v>12002385000</v>
      </c>
      <c r="H5" s="6">
        <f>HLOOKUP(H3,Froto!$B$1:$U$32,32,0)</f>
        <v>18235137000</v>
      </c>
      <c r="I5" s="6">
        <f>HLOOKUP(I3,Froto!$B$1:$U$32,32,0)</f>
        <v>20782144000</v>
      </c>
      <c r="J5" s="6">
        <f>HLOOKUP(J3,Froto!$B$1:$U$32,32,0)</f>
        <v>26227573000</v>
      </c>
      <c r="K5" s="6">
        <f>HLOOKUP(K3,Froto!$B$1:$U$32,32,0)</f>
        <v>35058540000</v>
      </c>
      <c r="L5" s="6">
        <f>HLOOKUP(L3,Froto!$B$1:$U$32,32,0)</f>
        <v>41489116000</v>
      </c>
      <c r="M5" s="6">
        <f>HLOOKUP(M3,Froto!$B$1:$U$32,32,0)</f>
        <v>46205980000</v>
      </c>
    </row>
    <row r="6" spans="1:13" x14ac:dyDescent="0.25">
      <c r="A6" s="2" t="s">
        <v>179</v>
      </c>
      <c r="B6" s="6">
        <f>B4-B5</f>
        <v>1201555000</v>
      </c>
      <c r="C6" s="6">
        <f t="shared" ref="C6:M6" si="0">C4-C5</f>
        <v>1781023000</v>
      </c>
      <c r="D6" s="6">
        <f t="shared" si="0"/>
        <v>3809045000</v>
      </c>
      <c r="E6" s="26">
        <f t="shared" si="0"/>
        <v>5123741000</v>
      </c>
      <c r="F6" s="6">
        <f t="shared" si="0"/>
        <v>4409994000</v>
      </c>
      <c r="G6" s="6">
        <f t="shared" si="0"/>
        <v>4176550000</v>
      </c>
      <c r="H6" s="6">
        <f t="shared" si="0"/>
        <v>7563090000</v>
      </c>
      <c r="I6" s="26">
        <f t="shared" si="0"/>
        <v>12031708000</v>
      </c>
      <c r="J6" s="6">
        <f t="shared" si="0"/>
        <v>11275454000</v>
      </c>
      <c r="K6" s="6">
        <f t="shared" si="0"/>
        <v>4980383000</v>
      </c>
      <c r="L6" s="6">
        <f t="shared" si="0"/>
        <v>6491215000</v>
      </c>
      <c r="M6" s="26">
        <f t="shared" si="0"/>
        <v>8918538000</v>
      </c>
    </row>
    <row r="10" spans="1:13" x14ac:dyDescent="0.25">
      <c r="B10" s="48" t="s">
        <v>180</v>
      </c>
      <c r="C10" s="48"/>
      <c r="D10" s="48"/>
      <c r="E10" s="48"/>
      <c r="F10" s="48"/>
      <c r="G10" s="48"/>
      <c r="H10" s="48"/>
      <c r="I10" s="48"/>
      <c r="J10" s="48"/>
      <c r="K10" s="48"/>
      <c r="L10" s="48"/>
      <c r="M10" s="48"/>
    </row>
    <row r="11" spans="1:13" x14ac:dyDescent="0.25">
      <c r="B11" s="2" t="str">
        <f>INDEX(Froto!$B$1:$M$1,COLUMNS(Froto!B$1:$M9))</f>
        <v>2020/3</v>
      </c>
      <c r="C11" s="2" t="str">
        <f>INDEX(Froto!$B$1:$M$1,COLUMNS(Froto!C$1:$M9))</f>
        <v>2020/6</v>
      </c>
      <c r="D11" s="2" t="str">
        <f>INDEX(Froto!$B$1:$M$1,COLUMNS(Froto!D$1:$M9))</f>
        <v>2020/9</v>
      </c>
      <c r="E11" s="2" t="str">
        <f>INDEX(Froto!$B$1:$M$1,COLUMNS(Froto!E$1:$M9))</f>
        <v>2020/12</v>
      </c>
      <c r="F11" s="2" t="str">
        <f>INDEX(Froto!$B$1:$M$1,COLUMNS(Froto!F$1:$M9))</f>
        <v>2021/3</v>
      </c>
      <c r="G11" s="2" t="str">
        <f>INDEX(Froto!$B$1:$M$1,COLUMNS(Froto!G$1:$M9))</f>
        <v>2021/6</v>
      </c>
      <c r="H11" s="2" t="str">
        <f>INDEX(Froto!$B$1:$M$1,COLUMNS(Froto!H$1:$M9))</f>
        <v>2021/9</v>
      </c>
      <c r="I11" s="2" t="str">
        <f>INDEX(Froto!$B$1:$M$1,COLUMNS(Froto!I$1:$M9))</f>
        <v>2021/12</v>
      </c>
      <c r="J11" s="2" t="str">
        <f>INDEX(Froto!$B$1:$M$1,COLUMNS(Froto!J$1:$M9))</f>
        <v>2022/3</v>
      </c>
      <c r="K11" s="2" t="str">
        <f>INDEX(Froto!$B$1:$M$1,COLUMNS(Froto!K$1:$M9))</f>
        <v>2022/6</v>
      </c>
      <c r="L11" s="2" t="str">
        <f>INDEX(Froto!$B$1:$M$1,COLUMNS(Froto!L$1:$M9))</f>
        <v>2022/9</v>
      </c>
      <c r="M11" s="2" t="str">
        <f>INDEX(Froto!$B$1:$M$1,COLUMNS(Froto!M$1:$M9))</f>
        <v>2022/12</v>
      </c>
    </row>
    <row r="12" spans="1:13" x14ac:dyDescent="0.25">
      <c r="A12" s="2" t="s">
        <v>21</v>
      </c>
      <c r="B12" s="6">
        <f>HLOOKUP(B11,Froto!$B$1:$U$2,2,0)</f>
        <v>10352633000</v>
      </c>
      <c r="C12" s="6">
        <f>HLOOKUP(C11,Froto!$B$1:$U$2,2,0)</f>
        <v>11753806000</v>
      </c>
      <c r="D12" s="6">
        <f>HLOOKUP(D11,Froto!$B$1:$U$2,2,0)</f>
        <v>16337400000</v>
      </c>
      <c r="E12" s="6">
        <f>HLOOKUP(E11,Froto!$B$1:$U$2,2,0)</f>
        <v>17604522000</v>
      </c>
      <c r="F12" s="6">
        <f>HLOOKUP(F11,Froto!$B$1:$U$2,2,0)</f>
        <v>19459015000</v>
      </c>
      <c r="G12" s="6">
        <f>HLOOKUP(G11,Froto!$B$1:$U$2,2,0)</f>
        <v>16178935000</v>
      </c>
      <c r="H12" s="6">
        <f>HLOOKUP(H11,Froto!$B$1:$U$2,2,0)</f>
        <v>25798227000</v>
      </c>
      <c r="I12" s="6">
        <f>HLOOKUP(I11,Froto!$B$1:$U$2,2,0)</f>
        <v>32813852000</v>
      </c>
      <c r="J12" s="6">
        <f>HLOOKUP(J11,Froto!$B$1:$U$2,2,0)</f>
        <v>37503027000</v>
      </c>
      <c r="K12" s="6">
        <f>HLOOKUP(K11,Froto!$B$1:$U$2,2,0)</f>
        <v>40038923000</v>
      </c>
      <c r="L12" s="6">
        <f>HLOOKUP(L11,Froto!$B$1:$U$2,2,0)</f>
        <v>47980331000</v>
      </c>
      <c r="M12" s="6">
        <f>HLOOKUP(M11,Froto!$B$1:$U$2,2,0)</f>
        <v>55124518000</v>
      </c>
    </row>
    <row r="13" spans="1:13" x14ac:dyDescent="0.25">
      <c r="A13" s="2" t="s">
        <v>44</v>
      </c>
      <c r="B13" s="6">
        <f>HLOOKUP(B11,Froto!$B$1:$U$32,32,0)</f>
        <v>9151078000</v>
      </c>
      <c r="C13" s="6">
        <f>HLOOKUP(C11,Froto!$B$1:$U$32,32,0)</f>
        <v>9972783000</v>
      </c>
      <c r="D13" s="6">
        <f>HLOOKUP(D11,Froto!$B$1:$U$32,32,0)</f>
        <v>12528355000</v>
      </c>
      <c r="E13" s="6">
        <f>HLOOKUP(E11,Froto!$B$1:$U$32,32,0)</f>
        <v>12480781000</v>
      </c>
      <c r="F13" s="6">
        <f>HLOOKUP(F11,Froto!$B$1:$U$32,32,0)</f>
        <v>15049021000</v>
      </c>
      <c r="G13" s="6">
        <f>HLOOKUP(G11,Froto!$B$1:$U$32,32,0)</f>
        <v>12002385000</v>
      </c>
      <c r="H13" s="6">
        <f>HLOOKUP(H11,Froto!$B$1:$U$32,32,0)</f>
        <v>18235137000</v>
      </c>
      <c r="I13" s="6">
        <f>HLOOKUP(I11,Froto!$B$1:$U$32,32,0)</f>
        <v>20782144000</v>
      </c>
      <c r="J13" s="6">
        <f>HLOOKUP(J11,Froto!$B$1:$U$32,32,0)</f>
        <v>26227573000</v>
      </c>
      <c r="K13" s="6">
        <f>HLOOKUP(K11,Froto!$B$1:$U$32,32,0)</f>
        <v>35058540000</v>
      </c>
      <c r="L13" s="6">
        <f>HLOOKUP(L11,Froto!$B$1:$U$32,32,0)</f>
        <v>41489116000</v>
      </c>
      <c r="M13" s="6">
        <f>HLOOKUP(M11,Froto!$B$1:$U$32,32,0)</f>
        <v>46205980000</v>
      </c>
    </row>
    <row r="14" spans="1:13" x14ac:dyDescent="0.25">
      <c r="A14" s="2" t="s">
        <v>181</v>
      </c>
      <c r="B14" s="27">
        <f>B12/B13</f>
        <v>1.1313020170956909</v>
      </c>
      <c r="C14" s="27">
        <f t="shared" ref="C14:M14" si="1">C12/C13</f>
        <v>1.1785883639501631</v>
      </c>
      <c r="D14" s="27">
        <f t="shared" si="1"/>
        <v>1.3040339294344709</v>
      </c>
      <c r="E14" s="28">
        <f t="shared" si="1"/>
        <v>1.4105304788217981</v>
      </c>
      <c r="F14" s="27">
        <f t="shared" si="1"/>
        <v>1.2930419194710407</v>
      </c>
      <c r="G14" s="27">
        <f t="shared" si="1"/>
        <v>1.3479766729695806</v>
      </c>
      <c r="H14" s="27">
        <f t="shared" si="1"/>
        <v>1.4147536703453338</v>
      </c>
      <c r="I14" s="28">
        <f t="shared" si="1"/>
        <v>1.5789445015875168</v>
      </c>
      <c r="J14" s="27">
        <f t="shared" si="1"/>
        <v>1.4299084021232158</v>
      </c>
      <c r="K14" s="27">
        <f t="shared" si="1"/>
        <v>1.142059053229256</v>
      </c>
      <c r="L14" s="27">
        <f t="shared" si="1"/>
        <v>1.1564558521806056</v>
      </c>
      <c r="M14" s="28">
        <f t="shared" si="1"/>
        <v>1.1930169644708326</v>
      </c>
    </row>
    <row r="16" spans="1:13" x14ac:dyDescent="0.25">
      <c r="B16" s="48" t="s">
        <v>182</v>
      </c>
      <c r="C16" s="48"/>
      <c r="D16" s="48"/>
      <c r="E16" s="48"/>
      <c r="F16" s="48"/>
      <c r="G16" s="48"/>
      <c r="H16" s="48"/>
      <c r="I16" s="48"/>
      <c r="J16" s="48"/>
      <c r="K16" s="48"/>
      <c r="L16" s="48"/>
      <c r="M16" s="48"/>
    </row>
    <row r="17" spans="1:13" x14ac:dyDescent="0.25">
      <c r="B17" s="2" t="str">
        <f>INDEX(Froto!$B$1:$M$1,COLUMNS(Froto!B$1:$M15))</f>
        <v>2020/3</v>
      </c>
      <c r="C17" s="2" t="str">
        <f>INDEX(Froto!$B$1:$M$1,COLUMNS(Froto!C$1:$M15))</f>
        <v>2020/6</v>
      </c>
      <c r="D17" s="2" t="str">
        <f>INDEX(Froto!$B$1:$M$1,COLUMNS(Froto!D$1:$M15))</f>
        <v>2020/9</v>
      </c>
      <c r="E17" s="2" t="str">
        <f>INDEX(Froto!$B$1:$M$1,COLUMNS(Froto!E$1:$M15))</f>
        <v>2020/12</v>
      </c>
      <c r="F17" s="2" t="str">
        <f>INDEX(Froto!$B$1:$M$1,COLUMNS(Froto!F$1:$M15))</f>
        <v>2021/3</v>
      </c>
      <c r="G17" s="2" t="str">
        <f>INDEX(Froto!$B$1:$M$1,COLUMNS(Froto!G$1:$M15))</f>
        <v>2021/6</v>
      </c>
      <c r="H17" s="2" t="str">
        <f>INDEX(Froto!$B$1:$M$1,COLUMNS(Froto!H$1:$M15))</f>
        <v>2021/9</v>
      </c>
      <c r="I17" s="2" t="str">
        <f>INDEX(Froto!$B$1:$M$1,COLUMNS(Froto!I$1:$M15))</f>
        <v>2021/12</v>
      </c>
      <c r="J17" s="2" t="str">
        <f>INDEX(Froto!$B$1:$M$1,COLUMNS(Froto!J$1:$M15))</f>
        <v>2022/3</v>
      </c>
      <c r="K17" s="2" t="str">
        <f>INDEX(Froto!$B$1:$M$1,COLUMNS(Froto!K$1:$M15))</f>
        <v>2022/6</v>
      </c>
      <c r="L17" s="2" t="str">
        <f>INDEX(Froto!$B$1:$M$1,COLUMNS(Froto!L$1:$M15))</f>
        <v>2022/9</v>
      </c>
      <c r="M17" s="2" t="str">
        <f>INDEX(Froto!$B$1:$M$1,COLUMNS(Froto!M$1:$M15))</f>
        <v>2022/12</v>
      </c>
    </row>
    <row r="18" spans="1:13" x14ac:dyDescent="0.25">
      <c r="A18" s="2" t="s">
        <v>21</v>
      </c>
      <c r="B18" s="6">
        <f>HLOOKUP(B17,Froto!$B$1:$U$2,2,0)</f>
        <v>10352633000</v>
      </c>
      <c r="C18" s="6">
        <f>HLOOKUP(C17,Froto!$B$1:$U$2,2,0)</f>
        <v>11753806000</v>
      </c>
      <c r="D18" s="6">
        <f>HLOOKUP(D17,Froto!$B$1:$U$2,2,0)</f>
        <v>16337400000</v>
      </c>
      <c r="E18" s="6">
        <f>HLOOKUP(E17,Froto!$B$1:$U$2,2,0)</f>
        <v>17604522000</v>
      </c>
      <c r="F18" s="6">
        <f>HLOOKUP(F17,Froto!$B$1:$U$2,2,0)</f>
        <v>19459015000</v>
      </c>
      <c r="G18" s="6">
        <f>HLOOKUP(G17,Froto!$B$1:$U$2,2,0)</f>
        <v>16178935000</v>
      </c>
      <c r="H18" s="6">
        <f>HLOOKUP(H17,Froto!$B$1:$U$2,2,0)</f>
        <v>25798227000</v>
      </c>
      <c r="I18" s="6">
        <f>HLOOKUP(I17,Froto!$B$1:$U$2,2,0)</f>
        <v>32813852000</v>
      </c>
      <c r="J18" s="6">
        <f>HLOOKUP(J17,Froto!$B$1:$U$2,2,0)</f>
        <v>37503027000</v>
      </c>
      <c r="K18" s="6">
        <f>HLOOKUP(K17,Froto!$B$1:$U$2,2,0)</f>
        <v>40038923000</v>
      </c>
      <c r="L18" s="6">
        <f>HLOOKUP(L17,Froto!$B$1:$U$2,2,0)</f>
        <v>47980331000</v>
      </c>
      <c r="M18" s="6">
        <f>HLOOKUP(M17,Froto!$B$1:$U$2,2,0)</f>
        <v>55124518000</v>
      </c>
    </row>
    <row r="19" spans="1:13" x14ac:dyDescent="0.25">
      <c r="A19" s="2" t="s">
        <v>183</v>
      </c>
      <c r="B19" s="6">
        <f>HLOOKUP(B17,Froto!$B$1:$U$9,9,0)</f>
        <v>2390166000</v>
      </c>
      <c r="C19" s="6">
        <f>HLOOKUP(C17,Froto!$B$1:$U$9,9,0)</f>
        <v>2170097000</v>
      </c>
      <c r="D19" s="6">
        <f>HLOOKUP(D17,Froto!$B$1:$U$9,9,0)</f>
        <v>2668678000</v>
      </c>
      <c r="E19" s="6">
        <f>HLOOKUP(E17,Froto!$B$1:$U$9,9,0)</f>
        <v>2449043000</v>
      </c>
      <c r="F19" s="6">
        <f>HLOOKUP(F17,Froto!$B$1:$U$9,9,0)</f>
        <v>3349867000</v>
      </c>
      <c r="G19" s="6">
        <f>HLOOKUP(G17,Froto!$B$1:$U$9,9,0)</f>
        <v>4623782000</v>
      </c>
      <c r="H19" s="6">
        <f>HLOOKUP(H17,Froto!$B$1:$U$9,9,0)</f>
        <v>4691035000</v>
      </c>
      <c r="I19" s="6">
        <f>HLOOKUP(I17,Froto!$B$1:$U$9,9,0)</f>
        <v>5269306000</v>
      </c>
      <c r="J19" s="6">
        <f>HLOOKUP(J17,Froto!$B$1:$U$9,9,0)</f>
        <v>9033862000</v>
      </c>
      <c r="K19" s="6">
        <f>HLOOKUP(K17,Froto!$B$1:$U$9,9,0)</f>
        <v>11632475000</v>
      </c>
      <c r="L19" s="6">
        <f>HLOOKUP(L17,Froto!$B$1:$U$9,9,0)</f>
        <v>15286257000</v>
      </c>
      <c r="M19" s="6">
        <f>HLOOKUP(M17,Froto!$B$1:$U$9,9,0)</f>
        <v>13854008000</v>
      </c>
    </row>
    <row r="20" spans="1:13" x14ac:dyDescent="0.25">
      <c r="A20" s="2" t="s">
        <v>44</v>
      </c>
      <c r="B20" s="6">
        <f>HLOOKUP(B17,Froto!$B$1:$U$32,32,0)</f>
        <v>9151078000</v>
      </c>
      <c r="C20" s="6">
        <f>HLOOKUP(C17,Froto!$B$1:$U$32,32,0)</f>
        <v>9972783000</v>
      </c>
      <c r="D20" s="6">
        <f>HLOOKUP(D17,Froto!$B$1:$U$32,32,0)</f>
        <v>12528355000</v>
      </c>
      <c r="E20" s="6">
        <f>HLOOKUP(E17,Froto!$B$1:$U$32,32,0)</f>
        <v>12480781000</v>
      </c>
      <c r="F20" s="6">
        <f>HLOOKUP(F17,Froto!$B$1:$U$32,32,0)</f>
        <v>15049021000</v>
      </c>
      <c r="G20" s="6">
        <f>HLOOKUP(G17,Froto!$B$1:$U$32,32,0)</f>
        <v>12002385000</v>
      </c>
      <c r="H20" s="6">
        <f>HLOOKUP(H17,Froto!$B$1:$U$32,32,0)</f>
        <v>18235137000</v>
      </c>
      <c r="I20" s="6">
        <f>HLOOKUP(I17,Froto!$B$1:$U$32,32,0)</f>
        <v>20782144000</v>
      </c>
      <c r="J20" s="6">
        <f>HLOOKUP(J17,Froto!$B$1:$U$32,32,0)</f>
        <v>26227573000</v>
      </c>
      <c r="K20" s="6">
        <f>HLOOKUP(K17,Froto!$B$1:$U$32,32,0)</f>
        <v>35058540000</v>
      </c>
      <c r="L20" s="6">
        <f>HLOOKUP(L17,Froto!$B$1:$U$32,32,0)</f>
        <v>41489116000</v>
      </c>
      <c r="M20" s="6">
        <f>HLOOKUP(M17,Froto!$B$1:$U$32,32,0)</f>
        <v>46205980000</v>
      </c>
    </row>
    <row r="21" spans="1:13" x14ac:dyDescent="0.25">
      <c r="A21" s="2" t="s">
        <v>184</v>
      </c>
      <c r="B21" s="29">
        <f>(B18-B19)/B20</f>
        <v>0.87011246106742834</v>
      </c>
      <c r="C21" s="29">
        <f t="shared" ref="C21:M21" si="2">(C18-C19)/C20</f>
        <v>0.96098641673041518</v>
      </c>
      <c r="D21" s="29">
        <f t="shared" si="2"/>
        <v>1.0910228836906362</v>
      </c>
      <c r="E21" s="30">
        <f t="shared" si="2"/>
        <v>1.2143053387444263</v>
      </c>
      <c r="F21" s="29">
        <f t="shared" si="2"/>
        <v>1.0704449146559101</v>
      </c>
      <c r="G21" s="29">
        <f t="shared" si="2"/>
        <v>0.96273807247476229</v>
      </c>
      <c r="H21" s="29">
        <f t="shared" si="2"/>
        <v>1.1575011473727892</v>
      </c>
      <c r="I21" s="30">
        <f t="shared" si="2"/>
        <v>1.3253948197067638</v>
      </c>
      <c r="J21" s="29">
        <f t="shared" si="2"/>
        <v>1.0854670007018949</v>
      </c>
      <c r="K21" s="29">
        <f t="shared" si="2"/>
        <v>0.81025758631135236</v>
      </c>
      <c r="L21" s="29">
        <f t="shared" si="2"/>
        <v>0.78801568102824848</v>
      </c>
      <c r="M21" s="30">
        <f t="shared" si="2"/>
        <v>0.89318547079836852</v>
      </c>
    </row>
    <row r="28" spans="1:13" x14ac:dyDescent="0.25">
      <c r="B28" s="48" t="s">
        <v>185</v>
      </c>
      <c r="C28" s="48"/>
      <c r="D28" s="48"/>
      <c r="E28" s="48"/>
      <c r="F28" s="48"/>
      <c r="G28" s="48"/>
      <c r="H28" s="48"/>
      <c r="I28" s="48"/>
      <c r="J28" s="48"/>
      <c r="K28" s="48"/>
      <c r="L28" s="48"/>
      <c r="M28" s="48"/>
    </row>
    <row r="29" spans="1:13" x14ac:dyDescent="0.25">
      <c r="B29" s="31" t="str">
        <f>INDEX(Froto!$B$1:$M$1,COLUMNS(Froto!B$1:$M27))</f>
        <v>2020/3</v>
      </c>
      <c r="C29" s="31" t="str">
        <f>INDEX(Froto!$B$1:$M$1,COLUMNS(Froto!C$1:$M27))</f>
        <v>2020/6</v>
      </c>
      <c r="D29" s="31" t="str">
        <f>INDEX(Froto!$B$1:$M$1,COLUMNS(Froto!D$1:$M27))</f>
        <v>2020/9</v>
      </c>
      <c r="E29" s="31" t="str">
        <f>INDEX(Froto!$B$1:$M$1,COLUMNS(Froto!E$1:$M27))</f>
        <v>2020/12</v>
      </c>
      <c r="F29" s="31" t="str">
        <f>INDEX(Froto!$B$1:$M$1,COLUMNS(Froto!F$1:$M27))</f>
        <v>2021/3</v>
      </c>
      <c r="G29" s="31" t="str">
        <f>INDEX(Froto!$B$1:$M$1,COLUMNS(Froto!G$1:$M27))</f>
        <v>2021/6</v>
      </c>
      <c r="H29" s="31" t="str">
        <f>INDEX(Froto!$B$1:$M$1,COLUMNS(Froto!H$1:$M27))</f>
        <v>2021/9</v>
      </c>
      <c r="I29" s="31" t="str">
        <f>INDEX(Froto!$B$1:$M$1,COLUMNS(Froto!I$1:$M27))</f>
        <v>2021/12</v>
      </c>
      <c r="J29" s="31" t="str">
        <f>INDEX(Froto!$B$1:$M$1,COLUMNS(Froto!J$1:$M27))</f>
        <v>2022/3</v>
      </c>
      <c r="K29" s="31" t="str">
        <f>INDEX(Froto!$B$1:$M$1,COLUMNS(Froto!K$1:$M27))</f>
        <v>2022/6</v>
      </c>
      <c r="L29" s="31" t="str">
        <f>INDEX(Froto!$B$1:$M$1,COLUMNS(Froto!L$1:$M27))</f>
        <v>2022/9</v>
      </c>
      <c r="M29" s="31" t="str">
        <f>INDEX(Froto!$B$1:$M$1,COLUMNS(Froto!M$1:$M27))</f>
        <v>2022/12</v>
      </c>
    </row>
    <row r="30" spans="1:13" x14ac:dyDescent="0.25">
      <c r="A30" s="2" t="s">
        <v>186</v>
      </c>
      <c r="B30" s="6">
        <f>HLOOKUP(B29,Froto!$B$1:$U$3,3,0)</f>
        <v>3676027000</v>
      </c>
      <c r="C30" s="6">
        <f>HLOOKUP(C29,Froto!$B$1:$U$3,3,0)</f>
        <v>5194941000</v>
      </c>
      <c r="D30" s="6">
        <f>HLOOKUP(D29,Froto!$B$1:$U$3,3,0)</f>
        <v>6833135000</v>
      </c>
      <c r="E30" s="6">
        <f>HLOOKUP(E29,Froto!$B$1:$U$3,3,0)</f>
        <v>8124073000</v>
      </c>
      <c r="F30" s="6">
        <f>HLOOKUP(F29,Froto!$B$1:$U$3,3,0)</f>
        <v>9256475000</v>
      </c>
      <c r="G30" s="6">
        <f>HLOOKUP(G29,Froto!$B$1:$U$3,3,0)</f>
        <v>5033590000</v>
      </c>
      <c r="H30" s="6">
        <f>HLOOKUP(H29,Froto!$B$1:$U$3,3,0)</f>
        <v>13587561000</v>
      </c>
      <c r="I30" s="6">
        <f>HLOOKUP(I29,Froto!$B$1:$U$3,3,0)</f>
        <v>14173931000</v>
      </c>
      <c r="J30" s="6">
        <f>HLOOKUP(J29,Froto!$B$1:$U$3,3,0)</f>
        <v>15174998000</v>
      </c>
      <c r="K30" s="6">
        <f>HLOOKUP(K29,Froto!$B$1:$U$3,3,0)</f>
        <v>13541737000</v>
      </c>
      <c r="L30" s="6">
        <f>HLOOKUP(L29,Froto!$B$1:$U$3,3,0)</f>
        <v>7253086000</v>
      </c>
      <c r="M30" s="6">
        <f>HLOOKUP(M29,Froto!$B$1:$U$3,3,0)</f>
        <v>10114706000</v>
      </c>
    </row>
    <row r="31" spans="1:13" x14ac:dyDescent="0.25">
      <c r="A31" s="2" t="s">
        <v>187</v>
      </c>
      <c r="B31" s="6">
        <f>HLOOKUP(B29,Froto!$B$1:$U$5,5,0)</f>
        <v>3390963000</v>
      </c>
      <c r="C31" s="6">
        <f>HLOOKUP(C29,Froto!$B$1:$U$5,5,0)</f>
        <v>3801990000</v>
      </c>
      <c r="D31" s="6">
        <f>HLOOKUP(D29,Froto!$B$1:$U$5,5,0)</f>
        <v>5899258000</v>
      </c>
      <c r="E31" s="6">
        <f>HLOOKUP(E29,Froto!$B$1:$U$5,5,0)</f>
        <v>5754182000</v>
      </c>
      <c r="F31" s="6">
        <f>HLOOKUP(F29,Froto!$B$1:$U$5,5,0)</f>
        <v>5636726000</v>
      </c>
      <c r="G31" s="6">
        <f>HLOOKUP(G29,Froto!$B$1:$U$5,5,0)</f>
        <v>5617963000</v>
      </c>
      <c r="H31" s="6">
        <f>HLOOKUP(H29,Froto!$B$1:$U$5,5,0)</f>
        <v>5955903000</v>
      </c>
      <c r="I31" s="6">
        <f>HLOOKUP(I29,Froto!$B$1:$U$5,5,0)</f>
        <v>11406748000</v>
      </c>
      <c r="J31" s="6">
        <f>HLOOKUP(J29,Froto!$B$1:$U$5,5,0)</f>
        <v>11111781000</v>
      </c>
      <c r="K31" s="6">
        <f>HLOOKUP(K29,Froto!$B$1:$U$5,5,0)</f>
        <v>12117066000</v>
      </c>
      <c r="L31" s="6">
        <f>HLOOKUP(L29,Froto!$B$1:$U$5,5,0)</f>
        <v>21852907000</v>
      </c>
      <c r="M31" s="6">
        <f>HLOOKUP(M29,Froto!$B$1:$U$5,5,0)</f>
        <v>25850944000</v>
      </c>
    </row>
    <row r="32" spans="1:13" x14ac:dyDescent="0.25">
      <c r="A32" s="2" t="s">
        <v>188</v>
      </c>
      <c r="B32">
        <f>HLOOKUP(B29,Froto!$B$1:$U$4,4,0)</f>
        <v>0</v>
      </c>
      <c r="C32">
        <f>HLOOKUP(C29,Froto!$B$1:$U$4,4,0)</f>
        <v>0</v>
      </c>
      <c r="D32">
        <f>HLOOKUP(D29,Froto!$B$1:$U$4,4,0)</f>
        <v>0</v>
      </c>
      <c r="E32">
        <f>HLOOKUP(E29,Froto!$B$1:$U$4,4,0)</f>
        <v>0</v>
      </c>
      <c r="F32">
        <f>HLOOKUP(F29,Froto!$B$1:$U$4,4,0)</f>
        <v>0</v>
      </c>
      <c r="G32">
        <f>HLOOKUP(G29,Froto!$B$1:$U$4,4,0)</f>
        <v>0</v>
      </c>
      <c r="H32">
        <f>HLOOKUP(H29,Froto!$B$1:$U$4,4,0)</f>
        <v>0</v>
      </c>
      <c r="I32">
        <f>HLOOKUP(I29,Froto!$B$1:$U$4,4,0)</f>
        <v>0</v>
      </c>
      <c r="J32">
        <f>HLOOKUP(J29,Froto!$B$1:$U$4,4,0)</f>
        <v>0</v>
      </c>
      <c r="K32">
        <f>HLOOKUP(K29,Froto!$B$1:$U$4,4,0)</f>
        <v>0</v>
      </c>
      <c r="L32">
        <f>HLOOKUP(L29,Froto!$B$1:$U$4,4,0)</f>
        <v>0</v>
      </c>
      <c r="M32">
        <f>HLOOKUP(M29,Froto!$B$1:$U$4,4,0)</f>
        <v>0</v>
      </c>
    </row>
    <row r="33" spans="1:13" x14ac:dyDescent="0.25">
      <c r="A33" s="2" t="s">
        <v>183</v>
      </c>
      <c r="B33" s="6">
        <f>HLOOKUP(B17,Froto!$B$1:$U$9,9,0)</f>
        <v>2390166000</v>
      </c>
      <c r="C33" s="6">
        <f>HLOOKUP(C17,Froto!$B$1:$U$9,9,0)</f>
        <v>2170097000</v>
      </c>
      <c r="D33" s="6">
        <f>HLOOKUP(D17,Froto!$B$1:$U$9,9,0)</f>
        <v>2668678000</v>
      </c>
      <c r="E33" s="6">
        <f>HLOOKUP(E17,Froto!$B$1:$U$9,9,0)</f>
        <v>2449043000</v>
      </c>
      <c r="F33" s="6">
        <f>HLOOKUP(F17,Froto!$B$1:$U$9,9,0)</f>
        <v>3349867000</v>
      </c>
      <c r="G33" s="6">
        <f>HLOOKUP(G17,Froto!$B$1:$U$9,9,0)</f>
        <v>4623782000</v>
      </c>
      <c r="H33" s="6">
        <f>HLOOKUP(H17,Froto!$B$1:$U$9,9,0)</f>
        <v>4691035000</v>
      </c>
      <c r="I33" s="6">
        <f>HLOOKUP(I17,Froto!$B$1:$U$9,9,0)</f>
        <v>5269306000</v>
      </c>
      <c r="J33" s="6">
        <f>HLOOKUP(J17,Froto!$B$1:$U$9,9,0)</f>
        <v>9033862000</v>
      </c>
      <c r="K33" s="6">
        <f>HLOOKUP(K17,Froto!$B$1:$U$9,9,0)</f>
        <v>11632475000</v>
      </c>
      <c r="L33" s="6">
        <f>HLOOKUP(L17,Froto!$B$1:$U$9,9,0)</f>
        <v>15286257000</v>
      </c>
      <c r="M33" s="6">
        <f>HLOOKUP(M17,Froto!$B$1:$U$9,9,0)</f>
        <v>13854008000</v>
      </c>
    </row>
    <row r="34" spans="1:13" x14ac:dyDescent="0.25">
      <c r="A34" s="2" t="s">
        <v>44</v>
      </c>
      <c r="B34" s="6">
        <f>HLOOKUP(B17,Froto!$B$1:$U$32,32,0)</f>
        <v>9151078000</v>
      </c>
      <c r="C34" s="6">
        <f>HLOOKUP(C17,Froto!$B$1:$U$32,32,0)</f>
        <v>9972783000</v>
      </c>
      <c r="D34" s="6">
        <f>HLOOKUP(D17,Froto!$B$1:$U$32,32,0)</f>
        <v>12528355000</v>
      </c>
      <c r="E34" s="6">
        <f>HLOOKUP(E17,Froto!$B$1:$U$32,32,0)</f>
        <v>12480781000</v>
      </c>
      <c r="F34" s="6">
        <f>HLOOKUP(F17,Froto!$B$1:$U$32,32,0)</f>
        <v>15049021000</v>
      </c>
      <c r="G34" s="6">
        <f>HLOOKUP(G17,Froto!$B$1:$U$32,32,0)</f>
        <v>12002385000</v>
      </c>
      <c r="H34" s="6">
        <f>HLOOKUP(H17,Froto!$B$1:$U$32,32,0)</f>
        <v>18235137000</v>
      </c>
      <c r="I34" s="6">
        <f>HLOOKUP(I17,Froto!$B$1:$U$32,32,0)</f>
        <v>20782144000</v>
      </c>
      <c r="J34" s="6">
        <f>HLOOKUP(J17,Froto!$B$1:$U$32,32,0)</f>
        <v>26227573000</v>
      </c>
      <c r="K34" s="6">
        <f>HLOOKUP(K17,Froto!$B$1:$U$32,32,0)</f>
        <v>35058540000</v>
      </c>
      <c r="L34" s="6">
        <f>HLOOKUP(L17,Froto!$B$1:$U$32,32,0)</f>
        <v>41489116000</v>
      </c>
      <c r="M34" s="6">
        <f>HLOOKUP(M17,Froto!$B$1:$U$32,32,0)</f>
        <v>46205980000</v>
      </c>
    </row>
    <row r="35" spans="1:13" x14ac:dyDescent="0.25">
      <c r="A35" s="2" t="s">
        <v>189</v>
      </c>
      <c r="B35" s="29">
        <f>(B34-(B30+B31+B32))/B33</f>
        <v>0.87194278556384786</v>
      </c>
      <c r="C35" s="29">
        <f t="shared" ref="C35:M35" si="3">(C34-(C30+C31+C32))/C33</f>
        <v>0.44968128152796855</v>
      </c>
      <c r="D35" s="29">
        <f t="shared" si="3"/>
        <v>-7.6456582622556932E-2</v>
      </c>
      <c r="E35" s="30">
        <f t="shared" si="3"/>
        <v>-0.57062044235238008</v>
      </c>
      <c r="F35" s="29">
        <f t="shared" si="3"/>
        <v>4.6515279561845292E-2</v>
      </c>
      <c r="G35" s="29">
        <f t="shared" si="3"/>
        <v>0.29214872154439808</v>
      </c>
      <c r="H35" s="29">
        <f t="shared" si="3"/>
        <v>-0.27889943264119754</v>
      </c>
      <c r="I35" s="30">
        <f t="shared" si="3"/>
        <v>-0.91065787411093602</v>
      </c>
      <c r="J35" s="29">
        <f t="shared" si="3"/>
        <v>-6.5537861880112843E-3</v>
      </c>
      <c r="K35" s="29">
        <f t="shared" si="3"/>
        <v>0.80805993565427825</v>
      </c>
      <c r="L35" s="29">
        <f t="shared" si="3"/>
        <v>0.81008208876770815</v>
      </c>
      <c r="M35" s="30">
        <f t="shared" si="3"/>
        <v>0.73916010442609825</v>
      </c>
    </row>
    <row r="40" spans="1:13" x14ac:dyDescent="0.25">
      <c r="B40" s="48" t="s">
        <v>190</v>
      </c>
      <c r="C40" s="48"/>
      <c r="D40" s="48"/>
      <c r="E40" s="48"/>
      <c r="F40" s="48"/>
      <c r="G40" s="48"/>
      <c r="H40" s="48"/>
      <c r="I40" s="48"/>
      <c r="J40" s="48"/>
      <c r="K40" s="48"/>
      <c r="L40" s="48"/>
      <c r="M40" s="48"/>
    </row>
    <row r="41" spans="1:13" x14ac:dyDescent="0.25">
      <c r="B41" s="31" t="str">
        <f>INDEX(Froto!$B$1:$M$1,COLUMNS(Froto!B$1:$M39))</f>
        <v>2020/3</v>
      </c>
      <c r="C41" s="31" t="str">
        <f>INDEX(Froto!$B$1:$M$1,COLUMNS(Froto!C$1:$M39))</f>
        <v>2020/6</v>
      </c>
      <c r="D41" s="31" t="str">
        <f>INDEX(Froto!$B$1:$M$1,COLUMNS(Froto!D$1:$M39))</f>
        <v>2020/9</v>
      </c>
      <c r="E41" s="31" t="str">
        <f>INDEX(Froto!$B$1:$M$1,COLUMNS(Froto!E$1:$M39))</f>
        <v>2020/12</v>
      </c>
      <c r="F41" s="31" t="str">
        <f>INDEX(Froto!$B$1:$M$1,COLUMNS(Froto!F$1:$M39))</f>
        <v>2021/3</v>
      </c>
      <c r="G41" s="31" t="str">
        <f>INDEX(Froto!$B$1:$M$1,COLUMNS(Froto!G$1:$M39))</f>
        <v>2021/6</v>
      </c>
      <c r="H41" s="31" t="str">
        <f>INDEX(Froto!$B$1:$M$1,COLUMNS(Froto!H$1:$M39))</f>
        <v>2021/9</v>
      </c>
      <c r="I41" s="31" t="str">
        <f>INDEX(Froto!$B$1:$M$1,COLUMNS(Froto!I$1:$M39))</f>
        <v>2021/12</v>
      </c>
      <c r="J41" s="31" t="str">
        <f>INDEX(Froto!$B$1:$M$1,COLUMNS(Froto!J$1:$M39))</f>
        <v>2022/3</v>
      </c>
      <c r="K41" s="31" t="str">
        <f>INDEX(Froto!$B$1:$M$1,COLUMNS(Froto!K$1:$M39))</f>
        <v>2022/6</v>
      </c>
      <c r="L41" s="31" t="str">
        <f>INDEX(Froto!$B$1:$M$1,COLUMNS(Froto!L$1:$M39))</f>
        <v>2022/9</v>
      </c>
      <c r="M41" s="31" t="str">
        <f>INDEX(Froto!$B$1:$M$1,COLUMNS(Froto!M$1:$M39))</f>
        <v>2022/12</v>
      </c>
    </row>
    <row r="42" spans="1:13" x14ac:dyDescent="0.25">
      <c r="A42" s="2" t="s">
        <v>186</v>
      </c>
      <c r="B42" s="6">
        <f>HLOOKUP(B41,Froto!$B$1:$U$3,3,0)</f>
        <v>3676027000</v>
      </c>
      <c r="C42" s="6">
        <f>HLOOKUP(C41,Froto!$B$1:$U$3,3,0)</f>
        <v>5194941000</v>
      </c>
      <c r="D42" s="6">
        <f>HLOOKUP(D41,Froto!$B$1:$U$3,3,0)</f>
        <v>6833135000</v>
      </c>
      <c r="E42" s="6">
        <f>HLOOKUP(E41,Froto!$B$1:$U$3,3,0)</f>
        <v>8124073000</v>
      </c>
      <c r="F42" s="6">
        <f>HLOOKUP(F41,Froto!$B$1:$U$3,3,0)</f>
        <v>9256475000</v>
      </c>
      <c r="G42" s="6">
        <f>HLOOKUP(G41,Froto!$B$1:$U$3,3,0)</f>
        <v>5033590000</v>
      </c>
      <c r="H42" s="6">
        <f>HLOOKUP(H41,Froto!$B$1:$U$3,3,0)</f>
        <v>13587561000</v>
      </c>
      <c r="I42" s="6">
        <f>HLOOKUP(I41,Froto!$B$1:$U$3,3,0)</f>
        <v>14173931000</v>
      </c>
      <c r="J42" s="6">
        <f>HLOOKUP(J41,Froto!$B$1:$U$3,3,0)</f>
        <v>15174998000</v>
      </c>
      <c r="K42" s="6">
        <f>HLOOKUP(K41,Froto!$B$1:$U$3,3,0)</f>
        <v>13541737000</v>
      </c>
      <c r="L42" s="6">
        <f>HLOOKUP(L41,Froto!$B$1:$U$3,3,0)</f>
        <v>7253086000</v>
      </c>
      <c r="M42" s="6">
        <f>HLOOKUP(M41,Froto!$B$1:$U$3,3,0)</f>
        <v>10114706000</v>
      </c>
    </row>
    <row r="43" spans="1:13" x14ac:dyDescent="0.25">
      <c r="A43" s="2" t="s">
        <v>188</v>
      </c>
      <c r="B43">
        <f>HLOOKUP(B41,Froto!$B$1:$U$4,4,0)</f>
        <v>0</v>
      </c>
      <c r="C43">
        <f>HLOOKUP(C41,Froto!$B$1:$U$4,4,0)</f>
        <v>0</v>
      </c>
      <c r="D43">
        <f>HLOOKUP(D41,Froto!$B$1:$U$4,4,0)</f>
        <v>0</v>
      </c>
      <c r="E43">
        <f>HLOOKUP(E41,Froto!$B$1:$U$4,4,0)</f>
        <v>0</v>
      </c>
      <c r="F43">
        <f>HLOOKUP(F41,Froto!$B$1:$U$4,4,0)</f>
        <v>0</v>
      </c>
      <c r="G43">
        <f>HLOOKUP(G41,Froto!$B$1:$U$4,4,0)</f>
        <v>0</v>
      </c>
      <c r="H43">
        <f>HLOOKUP(H41,Froto!$B$1:$U$4,4,0)</f>
        <v>0</v>
      </c>
      <c r="I43">
        <f>HLOOKUP(I41,Froto!$B$1:$U$4,4,0)</f>
        <v>0</v>
      </c>
      <c r="J43">
        <f>HLOOKUP(J41,Froto!$B$1:$U$4,4,0)</f>
        <v>0</v>
      </c>
      <c r="K43">
        <f>HLOOKUP(K41,Froto!$B$1:$U$4,4,0)</f>
        <v>0</v>
      </c>
      <c r="L43">
        <f>HLOOKUP(L41,Froto!$B$1:$U$4,4,0)</f>
        <v>0</v>
      </c>
      <c r="M43">
        <f>HLOOKUP(M41,Froto!$B$1:$U$4,4,0)</f>
        <v>0</v>
      </c>
    </row>
    <row r="44" spans="1:13" x14ac:dyDescent="0.25">
      <c r="A44" s="2" t="s">
        <v>44</v>
      </c>
      <c r="B44" s="6">
        <f>HLOOKUP(B41,Froto!$B$1:$U$32,32,0)</f>
        <v>9151078000</v>
      </c>
      <c r="C44" s="6">
        <f>HLOOKUP(C41,Froto!$B$1:$U$32,32,0)</f>
        <v>9972783000</v>
      </c>
      <c r="D44" s="6">
        <f>HLOOKUP(D41,Froto!$B$1:$U$32,32,0)</f>
        <v>12528355000</v>
      </c>
      <c r="E44" s="6">
        <f>HLOOKUP(E41,Froto!$B$1:$U$32,32,0)</f>
        <v>12480781000</v>
      </c>
      <c r="F44" s="6">
        <f>HLOOKUP(F41,Froto!$B$1:$U$32,32,0)</f>
        <v>15049021000</v>
      </c>
      <c r="G44" s="6">
        <f>HLOOKUP(G41,Froto!$B$1:$U$32,32,0)</f>
        <v>12002385000</v>
      </c>
      <c r="H44" s="6">
        <f>HLOOKUP(H41,Froto!$B$1:$U$32,32,0)</f>
        <v>18235137000</v>
      </c>
      <c r="I44" s="6">
        <f>HLOOKUP(I41,Froto!$B$1:$U$32,32,0)</f>
        <v>20782144000</v>
      </c>
      <c r="J44" s="6">
        <f>HLOOKUP(J41,Froto!$B$1:$U$32,32,0)</f>
        <v>26227573000</v>
      </c>
      <c r="K44" s="6">
        <f>HLOOKUP(K41,Froto!$B$1:$U$32,32,0)</f>
        <v>35058540000</v>
      </c>
      <c r="L44" s="6">
        <f>HLOOKUP(L41,Froto!$B$1:$U$32,32,0)</f>
        <v>41489116000</v>
      </c>
      <c r="M44" s="6">
        <f>HLOOKUP(M41,Froto!$B$1:$U$32,32,0)</f>
        <v>46205980000</v>
      </c>
    </row>
    <row r="45" spans="1:13" x14ac:dyDescent="0.25">
      <c r="A45" s="2" t="s">
        <v>191</v>
      </c>
      <c r="B45" s="29">
        <f>((B42+B43)/B44)</f>
        <v>0.40170425823056038</v>
      </c>
      <c r="C45" s="29">
        <f t="shared" ref="C45:M45" si="4">((C42+C43)/C44)</f>
        <v>0.52091186582521654</v>
      </c>
      <c r="D45" s="29">
        <f t="shared" si="4"/>
        <v>0.54541358382644811</v>
      </c>
      <c r="E45" s="30">
        <f t="shared" si="4"/>
        <v>0.6509266527471318</v>
      </c>
      <c r="F45" s="29">
        <f t="shared" si="4"/>
        <v>0.61508818414167943</v>
      </c>
      <c r="G45" s="29">
        <f t="shared" si="4"/>
        <v>0.41938248106522164</v>
      </c>
      <c r="H45" s="29">
        <f t="shared" si="4"/>
        <v>0.7451307330457676</v>
      </c>
      <c r="I45" s="30">
        <f t="shared" si="4"/>
        <v>0.68202448217084821</v>
      </c>
      <c r="J45" s="29">
        <f t="shared" si="4"/>
        <v>0.57858948672071187</v>
      </c>
      <c r="K45" s="29">
        <f t="shared" si="4"/>
        <v>0.38626072277967083</v>
      </c>
      <c r="L45" s="29">
        <f t="shared" si="4"/>
        <v>0.17481900554352617</v>
      </c>
      <c r="M45" s="30">
        <f t="shared" si="4"/>
        <v>0.21890469588568406</v>
      </c>
    </row>
    <row r="63" spans="2:13" x14ac:dyDescent="0.25">
      <c r="B63" s="48" t="s">
        <v>192</v>
      </c>
      <c r="C63" s="48"/>
      <c r="D63" s="48"/>
      <c r="E63" s="48"/>
      <c r="F63" s="48"/>
      <c r="G63" s="48"/>
      <c r="H63" s="48"/>
      <c r="I63" s="48"/>
      <c r="J63" s="48"/>
      <c r="K63" s="48"/>
      <c r="L63" s="48"/>
      <c r="M63" s="48"/>
    </row>
    <row r="64" spans="2:13" x14ac:dyDescent="0.25">
      <c r="B64" s="31" t="str">
        <f>INDEX(Froto!$B$1:$M$1,COLUMNS(Froto!B$1:$M62))</f>
        <v>2020/3</v>
      </c>
      <c r="C64" s="31" t="str">
        <f>INDEX(Froto!$B$1:$M$1,COLUMNS(Froto!C$1:$M62))</f>
        <v>2020/6</v>
      </c>
      <c r="D64" s="31" t="str">
        <f>INDEX(Froto!$B$1:$M$1,COLUMNS(Froto!D$1:$M62))</f>
        <v>2020/9</v>
      </c>
      <c r="E64" s="31" t="str">
        <f>INDEX(Froto!$B$1:$M$1,COLUMNS(Froto!E$1:$M62))</f>
        <v>2020/12</v>
      </c>
      <c r="F64" s="31" t="str">
        <f>INDEX(Froto!$B$1:$M$1,COLUMNS(Froto!F$1:$M62))</f>
        <v>2021/3</v>
      </c>
      <c r="G64" s="31" t="str">
        <f>INDEX(Froto!$B$1:$M$1,COLUMNS(Froto!G$1:$M62))</f>
        <v>2021/6</v>
      </c>
      <c r="H64" s="31" t="str">
        <f>INDEX(Froto!$B$1:$M$1,COLUMNS(Froto!H$1:$M62))</f>
        <v>2021/9</v>
      </c>
      <c r="I64" s="31" t="str">
        <f>INDEX(Froto!$B$1:$M$1,COLUMNS(Froto!I$1:$M62))</f>
        <v>2021/12</v>
      </c>
      <c r="J64" s="31" t="str">
        <f>INDEX(Froto!$B$1:$M$1,COLUMNS(Froto!J$1:$M62))</f>
        <v>2022/3</v>
      </c>
      <c r="K64" s="31" t="str">
        <f>INDEX(Froto!$B$1:$M$1,COLUMNS(Froto!K$1:$M62))</f>
        <v>2022/6</v>
      </c>
      <c r="L64" s="31" t="str">
        <f>INDEX(Froto!$B$1:$M$1,COLUMNS(Froto!L$1:$M62))</f>
        <v>2022/9</v>
      </c>
      <c r="M64" s="31" t="str">
        <f>INDEX(Froto!$B$1:$M$1,COLUMNS(Froto!M$1:$M62))</f>
        <v>2022/12</v>
      </c>
    </row>
    <row r="65" spans="1:13" x14ac:dyDescent="0.25">
      <c r="A65" s="2" t="s">
        <v>44</v>
      </c>
      <c r="B65" s="6">
        <f>HLOOKUP(B64,Froto!$B$1:$U$32,32,0)</f>
        <v>9151078000</v>
      </c>
      <c r="C65" s="6">
        <f>HLOOKUP(C64,Froto!$B$1:$U$32,32,0)</f>
        <v>9972783000</v>
      </c>
      <c r="D65" s="6">
        <f>HLOOKUP(D64,Froto!$B$1:$U$32,32,0)</f>
        <v>12528355000</v>
      </c>
      <c r="E65" s="6">
        <f>HLOOKUP(E64,Froto!$B$1:$U$32,32,0)</f>
        <v>12480781000</v>
      </c>
      <c r="F65" s="6">
        <f>HLOOKUP(F64,Froto!$B$1:$U$32,32,0)</f>
        <v>15049021000</v>
      </c>
      <c r="G65" s="6">
        <f>HLOOKUP(G64,Froto!$B$1:$U$32,32,0)</f>
        <v>12002385000</v>
      </c>
      <c r="H65" s="6">
        <f>HLOOKUP(H64,Froto!$B$1:$U$32,32,0)</f>
        <v>18235137000</v>
      </c>
      <c r="I65" s="6">
        <f>HLOOKUP(I64,Froto!$B$1:$U$32,32,0)</f>
        <v>20782144000</v>
      </c>
      <c r="J65" s="6">
        <f>HLOOKUP(J64,Froto!$B$1:$U$32,32,0)</f>
        <v>26227573000</v>
      </c>
      <c r="K65" s="6">
        <f>HLOOKUP(K64,Froto!$B$1:$U$32,32,0)</f>
        <v>35058540000</v>
      </c>
      <c r="L65" s="6">
        <f>HLOOKUP(L64,Froto!$B$1:$U$32,32,0)</f>
        <v>41489116000</v>
      </c>
      <c r="M65" s="6">
        <f>HLOOKUP(M64,Froto!$B$1:$U$32,32,0)</f>
        <v>46205980000</v>
      </c>
    </row>
    <row r="66" spans="1:13" x14ac:dyDescent="0.25">
      <c r="A66" s="2" t="s">
        <v>57</v>
      </c>
      <c r="B66" s="6">
        <f>HLOOKUP(B64,Froto!$B$1:$U$46,46,0)</f>
        <v>3431043000</v>
      </c>
      <c r="C66" s="6">
        <f>HLOOKUP(C64,Froto!$B$1:$U$46,46,0)</f>
        <v>3902179000</v>
      </c>
      <c r="D66" s="6">
        <f>HLOOKUP(D64,Froto!$B$1:$U$46,46,0)</f>
        <v>5431248000</v>
      </c>
      <c r="E66" s="6">
        <f>HLOOKUP(E64,Froto!$B$1:$U$46,46,0)</f>
        <v>4824496000</v>
      </c>
      <c r="F66" s="6">
        <f>HLOOKUP(F64,Froto!$B$1:$U$46,46,0)</f>
        <v>5348711000</v>
      </c>
      <c r="G66" s="6">
        <f>HLOOKUP(G64,Froto!$B$1:$U$46,46,0)</f>
        <v>4677594000</v>
      </c>
      <c r="H66" s="6">
        <f>HLOOKUP(H64,Froto!$B$1:$U$46,46,0)</f>
        <v>6773790000</v>
      </c>
      <c r="I66" s="6">
        <f>HLOOKUP(I64,Froto!$B$1:$U$46,46,0)</f>
        <v>11862171000</v>
      </c>
      <c r="J66" s="6">
        <f>HLOOKUP(J64,Froto!$B$1:$U$46,46,0)</f>
        <v>15511188000</v>
      </c>
      <c r="K66" s="6">
        <f>HLOOKUP(K64,Froto!$B$1:$U$46,46,0)</f>
        <v>16300157000</v>
      </c>
      <c r="L66" s="6">
        <f>HLOOKUP(L64,Froto!$B$1:$U$46,46,0)</f>
        <v>22596242000</v>
      </c>
      <c r="M66" s="6">
        <f>HLOOKUP(M64,Froto!$B$1:$U$46,46,0)</f>
        <v>28444093000</v>
      </c>
    </row>
    <row r="67" spans="1:13" x14ac:dyDescent="0.25">
      <c r="A67" s="2" t="s">
        <v>193</v>
      </c>
      <c r="B67" s="6">
        <f>B65+B66</f>
        <v>12582121000</v>
      </c>
      <c r="C67" s="6">
        <f t="shared" ref="C67:M67" si="5">C65+C66</f>
        <v>13874962000</v>
      </c>
      <c r="D67" s="6">
        <f t="shared" si="5"/>
        <v>17959603000</v>
      </c>
      <c r="E67" s="6">
        <f t="shared" si="5"/>
        <v>17305277000</v>
      </c>
      <c r="F67" s="6">
        <f t="shared" si="5"/>
        <v>20397732000</v>
      </c>
      <c r="G67" s="6">
        <f t="shared" si="5"/>
        <v>16679979000</v>
      </c>
      <c r="H67" s="6">
        <f t="shared" si="5"/>
        <v>25008927000</v>
      </c>
      <c r="I67" s="6">
        <f t="shared" si="5"/>
        <v>32644315000</v>
      </c>
      <c r="J67" s="6">
        <f t="shared" si="5"/>
        <v>41738761000</v>
      </c>
      <c r="K67" s="6">
        <f t="shared" si="5"/>
        <v>51358697000</v>
      </c>
      <c r="L67" s="6">
        <f t="shared" si="5"/>
        <v>64085358000</v>
      </c>
      <c r="M67" s="6">
        <f t="shared" si="5"/>
        <v>74650073000</v>
      </c>
    </row>
    <row r="68" spans="1:13" x14ac:dyDescent="0.25">
      <c r="A68" s="2" t="s">
        <v>194</v>
      </c>
      <c r="B68" s="6">
        <f>HLOOKUP(B64,Froto!$B$1:$U$30,30,0)</f>
        <v>16599375000</v>
      </c>
      <c r="C68" s="6">
        <f>HLOOKUP(C64,Froto!$B$1:$U$30,30,0)</f>
        <v>18024795000</v>
      </c>
      <c r="D68" s="6">
        <f>HLOOKUP(D64,Froto!$B$1:$U$30,30,0)</f>
        <v>22732842000</v>
      </c>
      <c r="E68" s="6">
        <f>HLOOKUP(E64,Froto!$B$1:$U$30,30,0)</f>
        <v>24349179000</v>
      </c>
      <c r="F68" s="6">
        <f>HLOOKUP(F64,Froto!$B$1:$U$30,30,0)</f>
        <v>26446053000</v>
      </c>
      <c r="G68" s="6">
        <f>HLOOKUP(G64,Froto!$B$1:$U$30,30,0)</f>
        <v>23655732000</v>
      </c>
      <c r="H68" s="6">
        <f>HLOOKUP(H64,Froto!$B$1:$U$30,30,0)</f>
        <v>34013201000</v>
      </c>
      <c r="I68" s="6">
        <f>HLOOKUP(I64,Froto!$B$1:$U$30,30,0)</f>
        <v>42792853000</v>
      </c>
      <c r="J68" s="6">
        <f>HLOOKUP(J64,Froto!$B$1:$U$30,30,0)</f>
        <v>50033813000</v>
      </c>
      <c r="K68" s="6">
        <f>HLOOKUP(K64,Froto!$B$1:$U$30,30,0)</f>
        <v>63027296000</v>
      </c>
      <c r="L68" s="6">
        <f>HLOOKUP(L64,Froto!$B$1:$U$30,30,0)</f>
        <v>79724527000</v>
      </c>
      <c r="M68" s="6">
        <f>HLOOKUP(M64,Froto!$B$1:$U$30,30,0)</f>
        <v>96052247000</v>
      </c>
    </row>
    <row r="69" spans="1:13" x14ac:dyDescent="0.25">
      <c r="A69" s="2" t="s">
        <v>195</v>
      </c>
      <c r="B69" s="29">
        <f>B67/B68</f>
        <v>0.75798763507662181</v>
      </c>
      <c r="C69" s="29">
        <f t="shared" ref="C69:M69" si="6">C67/C68</f>
        <v>0.7697708628586345</v>
      </c>
      <c r="D69" s="29">
        <f t="shared" si="6"/>
        <v>0.79002893698904875</v>
      </c>
      <c r="E69" s="30">
        <f t="shared" si="6"/>
        <v>0.71071295668736922</v>
      </c>
      <c r="F69" s="29">
        <f t="shared" si="6"/>
        <v>0.77129589054366643</v>
      </c>
      <c r="G69" s="29">
        <f t="shared" si="6"/>
        <v>0.70511362742865025</v>
      </c>
      <c r="H69" s="29">
        <f t="shared" si="6"/>
        <v>0.73527119661569051</v>
      </c>
      <c r="I69" s="30">
        <f t="shared" si="6"/>
        <v>0.76284502461193693</v>
      </c>
      <c r="J69" s="29">
        <f t="shared" si="6"/>
        <v>0.83421107641746195</v>
      </c>
      <c r="K69" s="29">
        <f t="shared" si="6"/>
        <v>0.81486435654799472</v>
      </c>
      <c r="L69" s="29">
        <f t="shared" si="6"/>
        <v>0.80383491017764208</v>
      </c>
      <c r="M69" s="30">
        <f t="shared" si="6"/>
        <v>0.77718195390056832</v>
      </c>
    </row>
    <row r="75" spans="1:13" x14ac:dyDescent="0.25">
      <c r="B75" s="48" t="s">
        <v>196</v>
      </c>
      <c r="C75" s="48"/>
      <c r="D75" s="48"/>
      <c r="E75" s="48"/>
      <c r="F75" s="48"/>
      <c r="G75" s="48"/>
      <c r="H75" s="48"/>
      <c r="I75" s="48"/>
      <c r="J75" s="48"/>
      <c r="K75" s="48"/>
      <c r="L75" s="48"/>
      <c r="M75" s="48"/>
    </row>
    <row r="76" spans="1:13" x14ac:dyDescent="0.25">
      <c r="B76" s="31" t="str">
        <f>INDEX(Froto!$B$1:$M$1,COLUMNS(Froto!B$1:$M74))</f>
        <v>2020/3</v>
      </c>
      <c r="C76" s="31" t="str">
        <f>INDEX(Froto!$B$1:$M$1,COLUMNS(Froto!C$1:$M74))</f>
        <v>2020/6</v>
      </c>
      <c r="D76" s="31" t="str">
        <f>INDEX(Froto!$B$1:$M$1,COLUMNS(Froto!D$1:$M74))</f>
        <v>2020/9</v>
      </c>
      <c r="E76" s="31" t="str">
        <f>INDEX(Froto!$B$1:$M$1,COLUMNS(Froto!E$1:$M74))</f>
        <v>2020/12</v>
      </c>
      <c r="F76" s="31" t="str">
        <f>INDEX(Froto!$B$1:$M$1,COLUMNS(Froto!F$1:$M74))</f>
        <v>2021/3</v>
      </c>
      <c r="G76" s="31" t="str">
        <f>INDEX(Froto!$B$1:$M$1,COLUMNS(Froto!G$1:$M74))</f>
        <v>2021/6</v>
      </c>
      <c r="H76" s="31" t="str">
        <f>INDEX(Froto!$B$1:$M$1,COLUMNS(Froto!H$1:$M74))</f>
        <v>2021/9</v>
      </c>
      <c r="I76" s="31" t="str">
        <f>INDEX(Froto!$B$1:$M$1,COLUMNS(Froto!I$1:$M74))</f>
        <v>2021/12</v>
      </c>
      <c r="J76" s="31" t="str">
        <f>INDEX(Froto!$B$1:$M$1,COLUMNS(Froto!J$1:$M74))</f>
        <v>2022/3</v>
      </c>
      <c r="K76" s="31" t="str">
        <f>INDEX(Froto!$B$1:$M$1,COLUMNS(Froto!K$1:$M74))</f>
        <v>2022/6</v>
      </c>
      <c r="L76" s="31" t="str">
        <f>INDEX(Froto!$B$1:$M$1,COLUMNS(Froto!L$1:$M74))</f>
        <v>2022/9</v>
      </c>
      <c r="M76" s="31" t="str">
        <f>INDEX(Froto!$B$1:$M$1,COLUMNS(Froto!M$1:$M74))</f>
        <v>2022/12</v>
      </c>
    </row>
    <row r="77" spans="1:13" x14ac:dyDescent="0.25">
      <c r="A77" s="2" t="s">
        <v>197</v>
      </c>
      <c r="B77" s="6">
        <f>HLOOKUP(B76,Froto!$B$1:$U$59,59,0)</f>
        <v>4017254000</v>
      </c>
      <c r="C77" s="6">
        <f>HLOOKUP(C76,Froto!$B$1:$U$59,59,0)</f>
        <v>4149833000</v>
      </c>
      <c r="D77" s="6">
        <f>HLOOKUP(D76,Froto!$B$1:$U$59,59,0)</f>
        <v>4773239000</v>
      </c>
      <c r="E77" s="6">
        <f>HLOOKUP(E76,Froto!$B$1:$U$59,59,0)</f>
        <v>7043902000</v>
      </c>
      <c r="F77" s="6">
        <f>HLOOKUP(F76,Froto!$B$1:$U$59,59,0)</f>
        <v>6048321000</v>
      </c>
      <c r="G77" s="6">
        <f>HLOOKUP(G76,Froto!$B$1:$U$59,59,0)</f>
        <v>6975753000</v>
      </c>
      <c r="H77" s="6">
        <f>HLOOKUP(H76,Froto!$B$1:$U$59,59,0)</f>
        <v>9004274000</v>
      </c>
      <c r="I77" s="6">
        <f>HLOOKUP(I76,Froto!$B$1:$U$59,59,0)</f>
        <v>10148538000</v>
      </c>
      <c r="J77" s="6">
        <f>HLOOKUP(J76,Froto!$B$1:$U$59,59,0)</f>
        <v>8295052000</v>
      </c>
      <c r="K77" s="6">
        <f>HLOOKUP(K76,Froto!$B$1:$U$59,59,0)</f>
        <v>11668599000</v>
      </c>
      <c r="L77" s="6">
        <f>HLOOKUP(L76,Froto!$B$1:$U$59,59,0)</f>
        <v>15639169000</v>
      </c>
      <c r="M77" s="6">
        <f>HLOOKUP(M76,Froto!$B$1:$U$59,59,0)</f>
        <v>21402174000</v>
      </c>
    </row>
    <row r="78" spans="1:13" x14ac:dyDescent="0.25">
      <c r="A78" s="2" t="s">
        <v>194</v>
      </c>
      <c r="B78" s="6">
        <f>HLOOKUP(B76,Froto!$B$1:$U$30,30,0)</f>
        <v>16599375000</v>
      </c>
      <c r="C78" s="6">
        <f>HLOOKUP(C76,Froto!$B$1:$U$30,30,0)</f>
        <v>18024795000</v>
      </c>
      <c r="D78" s="6">
        <f>HLOOKUP(D76,Froto!$B$1:$U$30,30,0)</f>
        <v>22732842000</v>
      </c>
      <c r="E78" s="6">
        <f>HLOOKUP(E76,Froto!$B$1:$U$30,30,0)</f>
        <v>24349179000</v>
      </c>
      <c r="F78" s="6">
        <f>HLOOKUP(F76,Froto!$B$1:$U$30,30,0)</f>
        <v>26446053000</v>
      </c>
      <c r="G78" s="6">
        <f>HLOOKUP(G76,Froto!$B$1:$U$30,30,0)</f>
        <v>23655732000</v>
      </c>
      <c r="H78" s="6">
        <f>HLOOKUP(H76,Froto!$B$1:$U$30,30,0)</f>
        <v>34013201000</v>
      </c>
      <c r="I78" s="6">
        <f>HLOOKUP(I76,Froto!$B$1:$U$30,30,0)</f>
        <v>42792853000</v>
      </c>
      <c r="J78" s="6">
        <f>HLOOKUP(J76,Froto!$B$1:$U$30,30,0)</f>
        <v>50033813000</v>
      </c>
      <c r="K78" s="6">
        <f>HLOOKUP(K76,Froto!$B$1:$U$30,30,0)</f>
        <v>63027296000</v>
      </c>
      <c r="L78" s="6">
        <f>HLOOKUP(L76,Froto!$B$1:$U$30,30,0)</f>
        <v>79724527000</v>
      </c>
      <c r="M78" s="6">
        <f>HLOOKUP(M76,Froto!$B$1:$U$30,30,0)</f>
        <v>96052247000</v>
      </c>
    </row>
    <row r="79" spans="1:13" x14ac:dyDescent="0.25">
      <c r="A79" s="2" t="s">
        <v>198</v>
      </c>
      <c r="B79" s="29">
        <f>B77/B78</f>
        <v>0.24201236492337813</v>
      </c>
      <c r="C79" s="29">
        <f t="shared" ref="C79:M79" si="7">C77/C78</f>
        <v>0.23022913714136556</v>
      </c>
      <c r="D79" s="29">
        <f t="shared" si="7"/>
        <v>0.20997106301095128</v>
      </c>
      <c r="E79" s="30">
        <f t="shared" si="7"/>
        <v>0.28928704331263078</v>
      </c>
      <c r="F79" s="29">
        <f t="shared" si="7"/>
        <v>0.22870410945633363</v>
      </c>
      <c r="G79" s="29">
        <f t="shared" si="7"/>
        <v>0.29488637257134975</v>
      </c>
      <c r="H79" s="29">
        <f t="shared" si="7"/>
        <v>0.26472880338430954</v>
      </c>
      <c r="I79" s="30">
        <f t="shared" si="7"/>
        <v>0.23715497538806304</v>
      </c>
      <c r="J79" s="29">
        <f t="shared" si="7"/>
        <v>0.16578892358253808</v>
      </c>
      <c r="K79" s="29">
        <f t="shared" si="7"/>
        <v>0.18513564345200531</v>
      </c>
      <c r="L79" s="29">
        <f t="shared" si="7"/>
        <v>0.19616508982235792</v>
      </c>
      <c r="M79" s="30">
        <f t="shared" si="7"/>
        <v>0.2228180460994317</v>
      </c>
    </row>
    <row r="83" spans="1:13" x14ac:dyDescent="0.25">
      <c r="B83" s="48" t="s">
        <v>200</v>
      </c>
      <c r="C83" s="48"/>
      <c r="D83" s="48"/>
      <c r="E83" s="48"/>
      <c r="F83" s="48"/>
      <c r="G83" s="48"/>
      <c r="H83" s="48"/>
      <c r="I83" s="48"/>
      <c r="J83" s="48"/>
      <c r="K83" s="48"/>
      <c r="L83" s="48"/>
      <c r="M83" s="48"/>
    </row>
    <row r="84" spans="1:13" x14ac:dyDescent="0.25">
      <c r="B84" s="31" t="str">
        <f>INDEX(Froto!$B$1:$M$1,COLUMNS(Froto!B$1:$M82))</f>
        <v>2020/3</v>
      </c>
      <c r="C84" s="31" t="str">
        <f>INDEX(Froto!$B$1:$M$1,COLUMNS(Froto!C$1:$M82))</f>
        <v>2020/6</v>
      </c>
      <c r="D84" s="31" t="str">
        <f>INDEX(Froto!$B$1:$M$1,COLUMNS(Froto!D$1:$M82))</f>
        <v>2020/9</v>
      </c>
      <c r="E84" s="31" t="str">
        <f>INDEX(Froto!$B$1:$M$1,COLUMNS(Froto!E$1:$M82))</f>
        <v>2020/12</v>
      </c>
      <c r="F84" s="31" t="str">
        <f>INDEX(Froto!$B$1:$M$1,COLUMNS(Froto!F$1:$M82))</f>
        <v>2021/3</v>
      </c>
      <c r="G84" s="31" t="str">
        <f>INDEX(Froto!$B$1:$M$1,COLUMNS(Froto!G$1:$M82))</f>
        <v>2021/6</v>
      </c>
      <c r="H84" s="31" t="str">
        <f>INDEX(Froto!$B$1:$M$1,COLUMNS(Froto!H$1:$M82))</f>
        <v>2021/9</v>
      </c>
      <c r="I84" s="31" t="str">
        <f>INDEX(Froto!$B$1:$M$1,COLUMNS(Froto!I$1:$M82))</f>
        <v>2021/12</v>
      </c>
      <c r="J84" s="31" t="str">
        <f>INDEX(Froto!$B$1:$M$1,COLUMNS(Froto!J$1:$M82))</f>
        <v>2022/3</v>
      </c>
      <c r="K84" s="31" t="str">
        <f>INDEX(Froto!$B$1:$M$1,COLUMNS(Froto!K$1:$M82))</f>
        <v>2022/6</v>
      </c>
      <c r="L84" s="31" t="str">
        <f>INDEX(Froto!$B$1:$M$1,COLUMNS(Froto!L$1:$M82))</f>
        <v>2022/9</v>
      </c>
      <c r="M84" s="31" t="str">
        <f>INDEX(Froto!$B$1:$M$1,COLUMNS(Froto!M$1:$M82))</f>
        <v>2022/12</v>
      </c>
    </row>
    <row r="85" spans="1:13" x14ac:dyDescent="0.25">
      <c r="A85" s="2" t="s">
        <v>197</v>
      </c>
      <c r="B85" s="6">
        <f>HLOOKUP(B84,Froto!$B$1:$U$59,59,0)</f>
        <v>4017254000</v>
      </c>
      <c r="C85" s="6">
        <f>HLOOKUP(C84,Froto!$B$1:$U$59,59,0)</f>
        <v>4149833000</v>
      </c>
      <c r="D85" s="6">
        <f>HLOOKUP(D84,Froto!$B$1:$U$59,59,0)</f>
        <v>4773239000</v>
      </c>
      <c r="E85" s="6">
        <f>HLOOKUP(E84,Froto!$B$1:$U$59,59,0)</f>
        <v>7043902000</v>
      </c>
      <c r="F85" s="6">
        <f>HLOOKUP(F84,Froto!$B$1:$U$59,59,0)</f>
        <v>6048321000</v>
      </c>
      <c r="G85" s="6">
        <f>HLOOKUP(G84,Froto!$B$1:$U$59,59,0)</f>
        <v>6975753000</v>
      </c>
      <c r="H85" s="6">
        <f>HLOOKUP(H84,Froto!$B$1:$U$59,59,0)</f>
        <v>9004274000</v>
      </c>
      <c r="I85" s="6">
        <f>HLOOKUP(I84,Froto!$B$1:$U$59,59,0)</f>
        <v>10148538000</v>
      </c>
      <c r="J85" s="6">
        <f>HLOOKUP(J84,Froto!$B$1:$U$59,59,0)</f>
        <v>8295052000</v>
      </c>
      <c r="K85" s="6">
        <f>HLOOKUP(K84,Froto!$B$1:$U$59,59,0)</f>
        <v>11668599000</v>
      </c>
      <c r="L85" s="6">
        <f>HLOOKUP(L84,Froto!$B$1:$U$59,59,0)</f>
        <v>15639169000</v>
      </c>
      <c r="M85" s="6">
        <f>HLOOKUP(M84,Froto!$B$1:$U$59,59,0)</f>
        <v>21402174000</v>
      </c>
    </row>
    <row r="86" spans="1:13" x14ac:dyDescent="0.25">
      <c r="A86" s="2" t="s">
        <v>44</v>
      </c>
      <c r="B86" s="6">
        <f>HLOOKUP(B84,Froto!$B$1:$U$32,32,0)</f>
        <v>9151078000</v>
      </c>
      <c r="C86" s="6">
        <f>HLOOKUP(C84,Froto!$B$1:$U$32,32,0)</f>
        <v>9972783000</v>
      </c>
      <c r="D86" s="6">
        <f>HLOOKUP(D84,Froto!$B$1:$U$32,32,0)</f>
        <v>12528355000</v>
      </c>
      <c r="E86" s="6">
        <f>HLOOKUP(E84,Froto!$B$1:$U$32,32,0)</f>
        <v>12480781000</v>
      </c>
      <c r="F86" s="6">
        <f>HLOOKUP(F84,Froto!$B$1:$U$32,32,0)</f>
        <v>15049021000</v>
      </c>
      <c r="G86" s="6">
        <f>HLOOKUP(G84,Froto!$B$1:$U$32,32,0)</f>
        <v>12002385000</v>
      </c>
      <c r="H86" s="6">
        <f>HLOOKUP(H84,Froto!$B$1:$U$32,32,0)</f>
        <v>18235137000</v>
      </c>
      <c r="I86" s="6">
        <f>HLOOKUP(I84,Froto!$B$1:$U$32,32,0)</f>
        <v>20782144000</v>
      </c>
      <c r="J86" s="6">
        <f>HLOOKUP(J84,Froto!$B$1:$U$32,32,0)</f>
        <v>26227573000</v>
      </c>
      <c r="K86" s="6">
        <f>HLOOKUP(K84,Froto!$B$1:$U$32,32,0)</f>
        <v>35058540000</v>
      </c>
      <c r="L86" s="6">
        <f>HLOOKUP(L84,Froto!$B$1:$U$32,32,0)</f>
        <v>41489116000</v>
      </c>
      <c r="M86" s="6">
        <f>HLOOKUP(M84,Froto!$B$1:$U$32,32,0)</f>
        <v>46205980000</v>
      </c>
    </row>
    <row r="87" spans="1:13" x14ac:dyDescent="0.25">
      <c r="A87" s="2" t="s">
        <v>57</v>
      </c>
      <c r="B87" s="6">
        <f>HLOOKUP(B84,Froto!$B$1:$U$46,46,0)</f>
        <v>3431043000</v>
      </c>
      <c r="C87" s="6">
        <f>HLOOKUP(C84,Froto!$B$1:$U$46,46,0)</f>
        <v>3902179000</v>
      </c>
      <c r="D87" s="6">
        <f>HLOOKUP(D84,Froto!$B$1:$U$46,46,0)</f>
        <v>5431248000</v>
      </c>
      <c r="E87" s="6">
        <f>HLOOKUP(E84,Froto!$B$1:$U$46,46,0)</f>
        <v>4824496000</v>
      </c>
      <c r="F87" s="6">
        <f>HLOOKUP(F84,Froto!$B$1:$U$46,46,0)</f>
        <v>5348711000</v>
      </c>
      <c r="G87" s="6">
        <f>HLOOKUP(G84,Froto!$B$1:$U$46,46,0)</f>
        <v>4677594000</v>
      </c>
      <c r="H87" s="6">
        <f>HLOOKUP(H84,Froto!$B$1:$U$46,46,0)</f>
        <v>6773790000</v>
      </c>
      <c r="I87" s="6">
        <f>HLOOKUP(I84,Froto!$B$1:$U$46,46,0)</f>
        <v>11862171000</v>
      </c>
      <c r="J87" s="6">
        <f>HLOOKUP(J84,Froto!$B$1:$U$46,46,0)</f>
        <v>15511188000</v>
      </c>
      <c r="K87" s="6">
        <f>HLOOKUP(K84,Froto!$B$1:$U$46,46,0)</f>
        <v>16300157000</v>
      </c>
      <c r="L87" s="6">
        <f>HLOOKUP(L84,Froto!$B$1:$U$46,46,0)</f>
        <v>22596242000</v>
      </c>
      <c r="M87" s="6">
        <f>HLOOKUP(M84,Froto!$B$1:$U$46,46,0)</f>
        <v>28444093000</v>
      </c>
    </row>
    <row r="88" spans="1:13" x14ac:dyDescent="0.25">
      <c r="A88" s="2" t="s">
        <v>193</v>
      </c>
      <c r="B88" s="6">
        <f>B86+B87</f>
        <v>12582121000</v>
      </c>
      <c r="C88" s="6">
        <f t="shared" ref="C88:M88" si="8">C86+C87</f>
        <v>13874962000</v>
      </c>
      <c r="D88" s="6">
        <f t="shared" si="8"/>
        <v>17959603000</v>
      </c>
      <c r="E88" s="6">
        <f t="shared" si="8"/>
        <v>17305277000</v>
      </c>
      <c r="F88" s="6">
        <f t="shared" si="8"/>
        <v>20397732000</v>
      </c>
      <c r="G88" s="6">
        <f t="shared" si="8"/>
        <v>16679979000</v>
      </c>
      <c r="H88" s="6">
        <f t="shared" si="8"/>
        <v>25008927000</v>
      </c>
      <c r="I88" s="6">
        <f t="shared" si="8"/>
        <v>32644315000</v>
      </c>
      <c r="J88" s="6">
        <f t="shared" si="8"/>
        <v>41738761000</v>
      </c>
      <c r="K88" s="6">
        <f t="shared" si="8"/>
        <v>51358697000</v>
      </c>
      <c r="L88" s="6">
        <f t="shared" si="8"/>
        <v>64085358000</v>
      </c>
      <c r="M88" s="6">
        <f t="shared" si="8"/>
        <v>74650073000</v>
      </c>
    </row>
    <row r="89" spans="1:13" x14ac:dyDescent="0.25">
      <c r="A89" s="2" t="s">
        <v>199</v>
      </c>
      <c r="B89" s="29">
        <f>B85/B88</f>
        <v>0.31928273460412598</v>
      </c>
      <c r="C89" s="29">
        <f t="shared" ref="C89:M89" si="9">C85/C88</f>
        <v>0.29908788218663229</v>
      </c>
      <c r="D89" s="29">
        <f t="shared" si="9"/>
        <v>0.26577642055896222</v>
      </c>
      <c r="E89" s="30">
        <f t="shared" si="9"/>
        <v>0.40703780702267867</v>
      </c>
      <c r="F89" s="29">
        <f t="shared" si="9"/>
        <v>0.29651928949747941</v>
      </c>
      <c r="G89" s="29">
        <f t="shared" si="9"/>
        <v>0.41821113803560545</v>
      </c>
      <c r="H89" s="29">
        <f t="shared" si="9"/>
        <v>0.36004239606121446</v>
      </c>
      <c r="I89" s="30">
        <f t="shared" si="9"/>
        <v>0.31088224703137435</v>
      </c>
      <c r="J89" s="29">
        <f t="shared" si="9"/>
        <v>0.19873737986616324</v>
      </c>
      <c r="K89" s="29">
        <f t="shared" si="9"/>
        <v>0.22719811213279029</v>
      </c>
      <c r="L89" s="29">
        <f t="shared" si="9"/>
        <v>0.24403653951656165</v>
      </c>
      <c r="M89" s="30">
        <f t="shared" si="9"/>
        <v>0.28669997415809628</v>
      </c>
    </row>
    <row r="92" spans="1:13" x14ac:dyDescent="0.25">
      <c r="B92" s="48" t="s">
        <v>201</v>
      </c>
      <c r="C92" s="48"/>
      <c r="D92" s="48"/>
      <c r="E92" s="48"/>
      <c r="F92" s="48"/>
      <c r="G92" s="48"/>
      <c r="H92" s="48"/>
      <c r="I92" s="48"/>
      <c r="J92" s="48"/>
      <c r="K92" s="48"/>
      <c r="L92" s="48"/>
      <c r="M92" s="48"/>
    </row>
    <row r="93" spans="1:13" x14ac:dyDescent="0.25">
      <c r="B93" s="31" t="str">
        <f>INDEX(Froto!$B$1:$M$1,COLUMNS(Froto!B$1:$M91))</f>
        <v>2020/3</v>
      </c>
      <c r="C93" s="31" t="str">
        <f>INDEX(Froto!$B$1:$M$1,COLUMNS(Froto!C$1:$M91))</f>
        <v>2020/6</v>
      </c>
      <c r="D93" s="31" t="str">
        <f>INDEX(Froto!$B$1:$M$1,COLUMNS(Froto!D$1:$M91))</f>
        <v>2020/9</v>
      </c>
      <c r="E93" s="31" t="str">
        <f>INDEX(Froto!$B$1:$M$1,COLUMNS(Froto!E$1:$M91))</f>
        <v>2020/12</v>
      </c>
      <c r="F93" s="31" t="str">
        <f>INDEX(Froto!$B$1:$M$1,COLUMNS(Froto!F$1:$M91))</f>
        <v>2021/3</v>
      </c>
      <c r="G93" s="31" t="str">
        <f>INDEX(Froto!$B$1:$M$1,COLUMNS(Froto!G$1:$M91))</f>
        <v>2021/6</v>
      </c>
      <c r="H93" s="31" t="str">
        <f>INDEX(Froto!$B$1:$M$1,COLUMNS(Froto!H$1:$M91))</f>
        <v>2021/9</v>
      </c>
      <c r="I93" s="31" t="str">
        <f>INDEX(Froto!$B$1:$M$1,COLUMNS(Froto!I$1:$M91))</f>
        <v>2021/12</v>
      </c>
      <c r="J93" s="31" t="str">
        <f>INDEX(Froto!$B$1:$M$1,COLUMNS(Froto!J$1:$M91))</f>
        <v>2022/3</v>
      </c>
      <c r="K93" s="31" t="str">
        <f>INDEX(Froto!$B$1:$M$1,COLUMNS(Froto!K$1:$M91))</f>
        <v>2022/6</v>
      </c>
      <c r="L93" s="31" t="str">
        <f>INDEX(Froto!$B$1:$M$1,COLUMNS(Froto!L$1:$M91))</f>
        <v>2022/9</v>
      </c>
      <c r="M93" s="31" t="str">
        <f>INDEX(Froto!$B$1:$M$1,COLUMNS(Froto!M$1:$M91))</f>
        <v>2022/12</v>
      </c>
    </row>
    <row r="94" spans="1:13" x14ac:dyDescent="0.25">
      <c r="A94" s="2" t="s">
        <v>44</v>
      </c>
      <c r="B94" s="6">
        <f>HLOOKUP(B93,Froto!$B$1:$U$32,32,0)</f>
        <v>9151078000</v>
      </c>
      <c r="C94" s="6">
        <f>HLOOKUP(C93,Froto!$B$1:$U$32,32,0)</f>
        <v>9972783000</v>
      </c>
      <c r="D94" s="6">
        <f>HLOOKUP(D93,Froto!$B$1:$U$32,32,0)</f>
        <v>12528355000</v>
      </c>
      <c r="E94" s="6">
        <f>HLOOKUP(E93,Froto!$B$1:$U$32,32,0)</f>
        <v>12480781000</v>
      </c>
      <c r="F94" s="6">
        <f>HLOOKUP(F93,Froto!$B$1:$U$32,32,0)</f>
        <v>15049021000</v>
      </c>
      <c r="G94" s="6">
        <f>HLOOKUP(G93,Froto!$B$1:$U$32,32,0)</f>
        <v>12002385000</v>
      </c>
      <c r="H94" s="6">
        <f>HLOOKUP(H93,Froto!$B$1:$U$32,32,0)</f>
        <v>18235137000</v>
      </c>
      <c r="I94" s="6">
        <f>HLOOKUP(I93,Froto!$B$1:$U$32,32,0)</f>
        <v>20782144000</v>
      </c>
      <c r="J94" s="6">
        <f>HLOOKUP(J93,Froto!$B$1:$U$32,32,0)</f>
        <v>26227573000</v>
      </c>
      <c r="K94" s="6">
        <f>HLOOKUP(K93,Froto!$B$1:$U$32,32,0)</f>
        <v>35058540000</v>
      </c>
      <c r="L94" s="6">
        <f>HLOOKUP(L93,Froto!$B$1:$U$32,32,0)</f>
        <v>41489116000</v>
      </c>
      <c r="M94" s="6">
        <f>HLOOKUP(M93,Froto!$B$1:$U$32,32,0)</f>
        <v>46205980000</v>
      </c>
    </row>
    <row r="95" spans="1:13" x14ac:dyDescent="0.25">
      <c r="A95" s="2" t="s">
        <v>57</v>
      </c>
      <c r="B95" s="6">
        <f>HLOOKUP(B93,Froto!$B$1:$U$46,46,0)</f>
        <v>3431043000</v>
      </c>
      <c r="C95" s="6">
        <f>HLOOKUP(C93,Froto!$B$1:$U$46,46,0)</f>
        <v>3902179000</v>
      </c>
      <c r="D95" s="6">
        <f>HLOOKUP(D93,Froto!$B$1:$U$46,46,0)</f>
        <v>5431248000</v>
      </c>
      <c r="E95" s="6">
        <f>HLOOKUP(E93,Froto!$B$1:$U$46,46,0)</f>
        <v>4824496000</v>
      </c>
      <c r="F95" s="6">
        <f>HLOOKUP(F93,Froto!$B$1:$U$46,46,0)</f>
        <v>5348711000</v>
      </c>
      <c r="G95" s="6">
        <f>HLOOKUP(G93,Froto!$B$1:$U$46,46,0)</f>
        <v>4677594000</v>
      </c>
      <c r="H95" s="6">
        <f>HLOOKUP(H93,Froto!$B$1:$U$46,46,0)</f>
        <v>6773790000</v>
      </c>
      <c r="I95" s="6">
        <f>HLOOKUP(I93,Froto!$B$1:$U$46,46,0)</f>
        <v>11862171000</v>
      </c>
      <c r="J95" s="6">
        <f>HLOOKUP(J93,Froto!$B$1:$U$46,46,0)</f>
        <v>15511188000</v>
      </c>
      <c r="K95" s="6">
        <f>HLOOKUP(K93,Froto!$B$1:$U$46,46,0)</f>
        <v>16300157000</v>
      </c>
      <c r="L95" s="6">
        <f>HLOOKUP(L93,Froto!$B$1:$U$46,46,0)</f>
        <v>22596242000</v>
      </c>
      <c r="M95" s="6">
        <f>HLOOKUP(M93,Froto!$B$1:$U$46,46,0)</f>
        <v>28444093000</v>
      </c>
    </row>
    <row r="96" spans="1:13" x14ac:dyDescent="0.25">
      <c r="A96" s="2" t="s">
        <v>193</v>
      </c>
      <c r="B96" s="6">
        <f>B94+B95</f>
        <v>12582121000</v>
      </c>
      <c r="C96" s="6">
        <f t="shared" ref="C96:M96" si="10">C94+C95</f>
        <v>13874962000</v>
      </c>
      <c r="D96" s="6">
        <f t="shared" si="10"/>
        <v>17959603000</v>
      </c>
      <c r="E96" s="6">
        <f t="shared" si="10"/>
        <v>17305277000</v>
      </c>
      <c r="F96" s="6">
        <f t="shared" si="10"/>
        <v>20397732000</v>
      </c>
      <c r="G96" s="6">
        <f t="shared" si="10"/>
        <v>16679979000</v>
      </c>
      <c r="H96" s="6">
        <f t="shared" si="10"/>
        <v>25008927000</v>
      </c>
      <c r="I96" s="6">
        <f t="shared" si="10"/>
        <v>32644315000</v>
      </c>
      <c r="J96" s="6">
        <f t="shared" si="10"/>
        <v>41738761000</v>
      </c>
      <c r="K96" s="6">
        <f t="shared" si="10"/>
        <v>51358697000</v>
      </c>
      <c r="L96" s="6">
        <f t="shared" si="10"/>
        <v>64085358000</v>
      </c>
      <c r="M96" s="6">
        <f t="shared" si="10"/>
        <v>74650073000</v>
      </c>
    </row>
    <row r="97" spans="1:13" x14ac:dyDescent="0.25">
      <c r="A97" s="2" t="s">
        <v>202</v>
      </c>
      <c r="B97" s="29">
        <f>B94/B96</f>
        <v>0.72730805879231331</v>
      </c>
      <c r="C97" s="29">
        <f t="shared" ref="C97:M97" si="11">C94/C96</f>
        <v>0.71876110363401358</v>
      </c>
      <c r="D97" s="29">
        <f t="shared" si="11"/>
        <v>0.6975852974032889</v>
      </c>
      <c r="E97" s="30">
        <f t="shared" si="11"/>
        <v>0.72121243710805671</v>
      </c>
      <c r="F97" s="29">
        <f t="shared" si="11"/>
        <v>0.73777913152305363</v>
      </c>
      <c r="G97" s="29">
        <f t="shared" si="11"/>
        <v>0.71956835197454383</v>
      </c>
      <c r="H97" s="29">
        <f t="shared" si="11"/>
        <v>0.72914511686167105</v>
      </c>
      <c r="I97" s="30">
        <f t="shared" si="11"/>
        <v>0.63662368164257699</v>
      </c>
      <c r="J97" s="29">
        <f t="shared" si="11"/>
        <v>0.62837449822719937</v>
      </c>
      <c r="K97" s="29">
        <f t="shared" si="11"/>
        <v>0.68262129002221372</v>
      </c>
      <c r="L97" s="29">
        <f t="shared" si="11"/>
        <v>0.64740398266948906</v>
      </c>
      <c r="M97" s="30">
        <f t="shared" si="11"/>
        <v>0.61896764655541592</v>
      </c>
    </row>
    <row r="103" spans="1:13" x14ac:dyDescent="0.25">
      <c r="B103" s="48" t="s">
        <v>204</v>
      </c>
      <c r="C103" s="48"/>
      <c r="D103" s="48"/>
      <c r="E103" s="48"/>
      <c r="F103" s="48"/>
      <c r="G103" s="48"/>
      <c r="H103" s="48"/>
      <c r="I103" s="48"/>
      <c r="J103" s="48"/>
      <c r="K103" s="48"/>
      <c r="L103" s="48"/>
      <c r="M103" s="48"/>
    </row>
    <row r="104" spans="1:13" x14ac:dyDescent="0.25">
      <c r="B104" s="31" t="str">
        <f>INDEX(Froto!$B$1:$M$1,COLUMNS(Froto!B$1:$M102))</f>
        <v>2020/3</v>
      </c>
      <c r="C104" s="31" t="str">
        <f>INDEX(Froto!$B$1:$M$1,COLUMNS(Froto!C$1:$M102))</f>
        <v>2020/6</v>
      </c>
      <c r="D104" s="31" t="str">
        <f>INDEX(Froto!$B$1:$M$1,COLUMNS(Froto!D$1:$M102))</f>
        <v>2020/9</v>
      </c>
      <c r="E104" s="31" t="str">
        <f>INDEX(Froto!$B$1:$M$1,COLUMNS(Froto!E$1:$M102))</f>
        <v>2020/12</v>
      </c>
      <c r="F104" s="31" t="str">
        <f>INDEX(Froto!$B$1:$M$1,COLUMNS(Froto!F$1:$M102))</f>
        <v>2021/3</v>
      </c>
      <c r="G104" s="31" t="str">
        <f>INDEX(Froto!$B$1:$M$1,COLUMNS(Froto!G$1:$M102))</f>
        <v>2021/6</v>
      </c>
      <c r="H104" s="31" t="str">
        <f>INDEX(Froto!$B$1:$M$1,COLUMNS(Froto!H$1:$M102))</f>
        <v>2021/9</v>
      </c>
      <c r="I104" s="31" t="str">
        <f>INDEX(Froto!$B$1:$M$1,COLUMNS(Froto!I$1:$M102))</f>
        <v>2021/12</v>
      </c>
      <c r="J104" s="31" t="str">
        <f>INDEX(Froto!$B$1:$M$1,COLUMNS(Froto!J$1:$M102))</f>
        <v>2022/3</v>
      </c>
      <c r="K104" s="31" t="str">
        <f>INDEX(Froto!$B$1:$M$1,COLUMNS(Froto!K$1:$M102))</f>
        <v>2022/6</v>
      </c>
      <c r="L104" s="31" t="str">
        <f>INDEX(Froto!$B$1:$M$1,COLUMNS(Froto!L$1:$M102))</f>
        <v>2022/9</v>
      </c>
      <c r="M104" s="31" t="str">
        <f>INDEX(Froto!$B$1:$M$1,COLUMNS(Froto!M$1:$M102))</f>
        <v>2022/12</v>
      </c>
    </row>
    <row r="105" spans="1:13" x14ac:dyDescent="0.25">
      <c r="A105" s="2" t="s">
        <v>33</v>
      </c>
      <c r="B105" s="6">
        <f>HLOOKUP(B104,Froto!$B$1:$U$14,14,0)</f>
        <v>6246742000</v>
      </c>
      <c r="C105" s="6">
        <f>HLOOKUP(C104,Froto!$B$1:$U$14,14,0)</f>
        <v>6270989000</v>
      </c>
      <c r="D105" s="6">
        <f>HLOOKUP(D104,Froto!$B$1:$U$14,14,0)</f>
        <v>6395442000</v>
      </c>
      <c r="E105" s="6">
        <f>HLOOKUP(E104,Froto!$B$1:$U$14,14,0)</f>
        <v>6744657000</v>
      </c>
      <c r="F105" s="6">
        <f>HLOOKUP(F104,Froto!$B$1:$U$14,14,0)</f>
        <v>6987038000</v>
      </c>
      <c r="G105" s="6">
        <f>HLOOKUP(G104,Froto!$B$1:$U$14,14,0)</f>
        <v>7476797000</v>
      </c>
      <c r="H105" s="6">
        <f>HLOOKUP(H104,Froto!$B$1:$U$14,14,0)</f>
        <v>8214974000</v>
      </c>
      <c r="I105" s="6">
        <f>HLOOKUP(I104,Froto!$B$1:$U$14,14,0)</f>
        <v>9979001000</v>
      </c>
      <c r="J105" s="6">
        <f>HLOOKUP(J104,Froto!$B$1:$U$14,14,0)</f>
        <v>12530786000</v>
      </c>
      <c r="K105" s="6">
        <f>HLOOKUP(K104,Froto!$B$1:$U$14,14,0)</f>
        <v>22988373000</v>
      </c>
      <c r="L105" s="6">
        <f>HLOOKUP(L104,Froto!$B$1:$U$14,14,0)</f>
        <v>31744196000</v>
      </c>
      <c r="M105" s="6">
        <f>HLOOKUP(M104,Froto!$B$1:$U$14,14,0)</f>
        <v>40927729000</v>
      </c>
    </row>
    <row r="106" spans="1:13" x14ac:dyDescent="0.25">
      <c r="A106" s="2" t="s">
        <v>57</v>
      </c>
      <c r="B106" s="6">
        <f>HLOOKUP(B104,Froto!$B$1:$U$46,46,0)</f>
        <v>3431043000</v>
      </c>
      <c r="C106" s="6">
        <f>HLOOKUP(C104,Froto!$B$1:$U$46,46,0)</f>
        <v>3902179000</v>
      </c>
      <c r="D106" s="6">
        <f>HLOOKUP(D104,Froto!$B$1:$U$46,46,0)</f>
        <v>5431248000</v>
      </c>
      <c r="E106" s="6">
        <f>HLOOKUP(E104,Froto!$B$1:$U$46,46,0)</f>
        <v>4824496000</v>
      </c>
      <c r="F106" s="6">
        <f>HLOOKUP(F104,Froto!$B$1:$U$46,46,0)</f>
        <v>5348711000</v>
      </c>
      <c r="G106" s="6">
        <f>HLOOKUP(G104,Froto!$B$1:$U$46,46,0)</f>
        <v>4677594000</v>
      </c>
      <c r="H106" s="6">
        <f>HLOOKUP(H104,Froto!$B$1:$U$46,46,0)</f>
        <v>6773790000</v>
      </c>
      <c r="I106" s="6">
        <f>HLOOKUP(I104,Froto!$B$1:$U$46,46,0)</f>
        <v>11862171000</v>
      </c>
      <c r="J106" s="6">
        <f>HLOOKUP(J104,Froto!$B$1:$U$46,46,0)</f>
        <v>15511188000</v>
      </c>
      <c r="K106" s="6">
        <f>HLOOKUP(K104,Froto!$B$1:$U$46,46,0)</f>
        <v>16300157000</v>
      </c>
      <c r="L106" s="6">
        <f>HLOOKUP(L104,Froto!$B$1:$U$46,46,0)</f>
        <v>22596242000</v>
      </c>
      <c r="M106" s="6">
        <f>HLOOKUP(M104,Froto!$B$1:$U$46,46,0)</f>
        <v>28444093000</v>
      </c>
    </row>
    <row r="107" spans="1:13" x14ac:dyDescent="0.25">
      <c r="A107" s="2" t="s">
        <v>197</v>
      </c>
      <c r="B107" s="6">
        <f>HLOOKUP(B104,Froto!$B$1:$U$59,59,0)</f>
        <v>4017254000</v>
      </c>
      <c r="C107" s="6">
        <f>HLOOKUP(C104,Froto!$B$1:$U$59,59,0)</f>
        <v>4149833000</v>
      </c>
      <c r="D107" s="6">
        <f>HLOOKUP(D104,Froto!$B$1:$U$59,59,0)</f>
        <v>4773239000</v>
      </c>
      <c r="E107" s="6">
        <f>HLOOKUP(E104,Froto!$B$1:$U$59,59,0)</f>
        <v>7043902000</v>
      </c>
      <c r="F107" s="6">
        <f>HLOOKUP(F104,Froto!$B$1:$U$59,59,0)</f>
        <v>6048321000</v>
      </c>
      <c r="G107" s="6">
        <f>HLOOKUP(G104,Froto!$B$1:$U$59,59,0)</f>
        <v>6975753000</v>
      </c>
      <c r="H107" s="6">
        <f>HLOOKUP(H104,Froto!$B$1:$U$59,59,0)</f>
        <v>9004274000</v>
      </c>
      <c r="I107" s="6">
        <f>HLOOKUP(I104,Froto!$B$1:$U$59,59,0)</f>
        <v>10148538000</v>
      </c>
      <c r="J107" s="6">
        <f>HLOOKUP(J104,Froto!$B$1:$U$59,59,0)</f>
        <v>8295052000</v>
      </c>
      <c r="K107" s="6">
        <f>HLOOKUP(K104,Froto!$B$1:$U$59,59,0)</f>
        <v>11668599000</v>
      </c>
      <c r="L107" s="6">
        <f>HLOOKUP(L104,Froto!$B$1:$U$59,59,0)</f>
        <v>15639169000</v>
      </c>
      <c r="M107" s="6">
        <f>HLOOKUP(M104,Froto!$B$1:$U$59,59,0)</f>
        <v>21402174000</v>
      </c>
    </row>
    <row r="108" spans="1:13" x14ac:dyDescent="0.25">
      <c r="A108" s="2" t="s">
        <v>171</v>
      </c>
      <c r="B108" s="6">
        <f>B106+B107</f>
        <v>7448297000</v>
      </c>
      <c r="C108" s="6">
        <f t="shared" ref="C108:M108" si="12">C106+C107</f>
        <v>8052012000</v>
      </c>
      <c r="D108" s="6">
        <f t="shared" si="12"/>
        <v>10204487000</v>
      </c>
      <c r="E108" s="6">
        <f t="shared" si="12"/>
        <v>11868398000</v>
      </c>
      <c r="F108" s="6">
        <f t="shared" si="12"/>
        <v>11397032000</v>
      </c>
      <c r="G108" s="6">
        <f t="shared" si="12"/>
        <v>11653347000</v>
      </c>
      <c r="H108" s="6">
        <f t="shared" si="12"/>
        <v>15778064000</v>
      </c>
      <c r="I108" s="6">
        <f t="shared" si="12"/>
        <v>22010709000</v>
      </c>
      <c r="J108" s="6">
        <f t="shared" si="12"/>
        <v>23806240000</v>
      </c>
      <c r="K108" s="6">
        <f t="shared" si="12"/>
        <v>27968756000</v>
      </c>
      <c r="L108" s="6">
        <f t="shared" si="12"/>
        <v>38235411000</v>
      </c>
      <c r="M108" s="6">
        <f t="shared" si="12"/>
        <v>49846267000</v>
      </c>
    </row>
    <row r="109" spans="1:13" x14ac:dyDescent="0.25">
      <c r="A109" s="2" t="s">
        <v>203</v>
      </c>
      <c r="B109" s="29">
        <f>B105/B108</f>
        <v>0.83868057355929815</v>
      </c>
      <c r="C109" s="29">
        <f t="shared" ref="C109:M109" si="13">C105/C108</f>
        <v>0.77881019054616407</v>
      </c>
      <c r="D109" s="29">
        <f t="shared" si="13"/>
        <v>0.62672841858684325</v>
      </c>
      <c r="E109" s="30">
        <f t="shared" si="13"/>
        <v>0.56828705946666092</v>
      </c>
      <c r="F109" s="29">
        <f t="shared" si="13"/>
        <v>0.61305768028026941</v>
      </c>
      <c r="G109" s="29">
        <f t="shared" si="13"/>
        <v>0.64160082077706948</v>
      </c>
      <c r="H109" s="29">
        <f t="shared" si="13"/>
        <v>0.52065792102250319</v>
      </c>
      <c r="I109" s="30">
        <f t="shared" si="13"/>
        <v>0.45337026626448063</v>
      </c>
      <c r="J109" s="29">
        <f t="shared" si="13"/>
        <v>0.52636560834470292</v>
      </c>
      <c r="K109" s="29">
        <f t="shared" si="13"/>
        <v>0.8219304784238527</v>
      </c>
      <c r="L109" s="29">
        <f t="shared" si="13"/>
        <v>0.83023028051143477</v>
      </c>
      <c r="M109" s="30">
        <f t="shared" si="13"/>
        <v>0.82107911912440701</v>
      </c>
    </row>
  </sheetData>
  <mergeCells count="10">
    <mergeCell ref="B63:M63"/>
    <mergeCell ref="B75:M75"/>
    <mergeCell ref="B83:M83"/>
    <mergeCell ref="B92:M92"/>
    <mergeCell ref="B103:M103"/>
    <mergeCell ref="B2:M2"/>
    <mergeCell ref="B10:M10"/>
    <mergeCell ref="B16:M16"/>
    <mergeCell ref="B28:M28"/>
    <mergeCell ref="B40:M4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E02E3-F8EA-4E04-B781-445375B5F749}">
  <dimension ref="A9:Q152"/>
  <sheetViews>
    <sheetView topLeftCell="B115" zoomScale="70" zoomScaleNormal="70" workbookViewId="0">
      <selection activeCell="S8" sqref="S8"/>
    </sheetView>
  </sheetViews>
  <sheetFormatPr defaultRowHeight="15" x14ac:dyDescent="0.25"/>
  <cols>
    <col min="1" max="1" width="39.140625" bestFit="1" customWidth="1"/>
    <col min="2" max="2" width="27.85546875" bestFit="1" customWidth="1"/>
    <col min="3" max="14" width="14.5703125" bestFit="1" customWidth="1"/>
    <col min="15" max="17" width="15.7109375" bestFit="1" customWidth="1"/>
  </cols>
  <sheetData>
    <row r="9" spans="1:17" x14ac:dyDescent="0.25">
      <c r="B9" s="48" t="s">
        <v>205</v>
      </c>
      <c r="C9" s="48"/>
      <c r="D9" s="48"/>
      <c r="E9" s="48"/>
      <c r="F9" s="48"/>
      <c r="G9" s="48"/>
      <c r="H9" s="48"/>
      <c r="I9" s="48"/>
      <c r="J9" s="48"/>
      <c r="K9" s="48"/>
      <c r="L9" s="48"/>
      <c r="M9" s="48"/>
    </row>
    <row r="10" spans="1:17" x14ac:dyDescent="0.25">
      <c r="B10" s="2" t="str">
        <f>INDEX(Froto!$B$1:$Q$1,COLUMNS(Froto!B$1:$Q1))</f>
        <v>2019/3</v>
      </c>
      <c r="C10" s="2" t="str">
        <f>INDEX(Froto!$B$1:$Q$1,COLUMNS(Froto!C$1:$Q1))</f>
        <v>2019/6</v>
      </c>
      <c r="D10" s="2" t="str">
        <f>INDEX(Froto!$B$1:$Q$1,COLUMNS(Froto!D$1:$Q1))</f>
        <v>2019/9</v>
      </c>
      <c r="E10" s="2" t="str">
        <f>INDEX(Froto!$B$1:$Q$1,COLUMNS(Froto!E$1:$Q1))</f>
        <v>2019/12</v>
      </c>
      <c r="F10" s="2" t="str">
        <f>INDEX(Froto!$B$1:$Q$1,COLUMNS(Froto!F$1:$Q1))</f>
        <v>2020/3</v>
      </c>
      <c r="G10" s="2" t="str">
        <f>INDEX(Froto!$B$1:$Q$1,COLUMNS(Froto!G$1:$Q1))</f>
        <v>2020/6</v>
      </c>
      <c r="H10" s="2" t="str">
        <f>INDEX(Froto!$B$1:$Q$1,COLUMNS(Froto!H$1:$Q1))</f>
        <v>2020/9</v>
      </c>
      <c r="I10" s="2" t="str">
        <f>INDEX(Froto!$B$1:$Q$1,COLUMNS(Froto!I$1:$Q1))</f>
        <v>2020/12</v>
      </c>
      <c r="J10" s="2" t="str">
        <f>INDEX(Froto!$B$1:$Q$1,COLUMNS(Froto!J$1:$Q1))</f>
        <v>2021/3</v>
      </c>
      <c r="K10" s="2" t="str">
        <f>INDEX(Froto!$B$1:$Q$1,COLUMNS(Froto!K$1:$Q1))</f>
        <v>2021/6</v>
      </c>
      <c r="L10" s="2" t="str">
        <f>INDEX(Froto!$B$1:$Q$1,COLUMNS(Froto!L$1:$Q1))</f>
        <v>2021/9</v>
      </c>
      <c r="M10" s="2" t="str">
        <f>INDEX(Froto!$B$1:$Q$1,COLUMNS(Froto!M$1:$Q1))</f>
        <v>2021/12</v>
      </c>
      <c r="N10" s="2" t="str">
        <f>INDEX(Froto!$B$1:$Q$1,COLUMNS(Froto!N$1:$Q1))</f>
        <v>2022/3</v>
      </c>
      <c r="O10" s="2" t="str">
        <f>INDEX(Froto!$B$1:$Q$1,COLUMNS(Froto!O$1:$Q1))</f>
        <v>2022/6</v>
      </c>
      <c r="P10" s="2" t="str">
        <f>INDEX(Froto!$B$1:$Q$1,COLUMNS(Froto!P$1:$Q1))</f>
        <v>2022/9</v>
      </c>
      <c r="Q10" s="2" t="str">
        <f>INDEX(Froto!$B$1:$Q$1,COLUMNS(Froto!Q$1:$Q1))</f>
        <v>2022/12</v>
      </c>
    </row>
    <row r="11" spans="1:17" x14ac:dyDescent="0.25">
      <c r="A11" s="2" t="s">
        <v>206</v>
      </c>
      <c r="B11" s="6">
        <f>-HLOOKUP(B10,'Yıllıklandırılmış Veriler'!$B$1:$R$75,75,0)</f>
        <v>31649050000</v>
      </c>
      <c r="C11" s="6">
        <f>-HLOOKUP(C10,'Yıllıklandırılmış Veriler'!$B$1:$R$75,75,0)</f>
        <v>32534057000</v>
      </c>
      <c r="D11" s="6">
        <f>-HLOOKUP(D10,'Yıllıklandırılmış Veriler'!$B$1:$R$75,75,0)</f>
        <v>33931858000</v>
      </c>
      <c r="E11" s="6">
        <f>-HLOOKUP(E10,'Yıllıklandırılmış Veriler'!$B$1:$R$75,75,0)</f>
        <v>35193802000</v>
      </c>
      <c r="F11" s="6">
        <f>-HLOOKUP(F10,'Yıllıklandırılmış Veriler'!$B$1:$R$75,75,0)</f>
        <v>35148614000</v>
      </c>
      <c r="G11" s="6">
        <f>-HLOOKUP(G10,'Yıllıklandırılmış Veriler'!$B$1:$R$75,75,0)</f>
        <v>32042987000</v>
      </c>
      <c r="H11" s="6">
        <f>-HLOOKUP(H10,'Yıllıklandırılmış Veriler'!$B$1:$R$75,75,0)</f>
        <v>35442777000</v>
      </c>
      <c r="I11" s="6">
        <f>-HLOOKUP(I10,'Yıllıklandırılmış Veriler'!$B$1:$R$75,75,0)</f>
        <v>43264878000</v>
      </c>
      <c r="J11" s="6">
        <f>-HLOOKUP(J10,'Yıllıklandırılmış Veriler'!$B$1:$R$75,75,0)</f>
        <v>49155855000</v>
      </c>
      <c r="K11" s="6">
        <f>-HLOOKUP(K10,'Yıllıklandırılmış Veriler'!$B$1:$R$75,75,0)</f>
        <v>53122795000</v>
      </c>
      <c r="L11" s="6">
        <f>-HLOOKUP(L10,'Yıllıklandırılmış Veriler'!$B$1:$R$75,75,0)</f>
        <v>57926994000</v>
      </c>
      <c r="M11" s="6">
        <f>-HLOOKUP(M10,'Yıllıklandırılmış Veriler'!$B$1:$R$75,75,0)</f>
        <v>59947098000</v>
      </c>
      <c r="N11" s="6">
        <f>-HLOOKUP(N10,'Yıllıklandırılmış Veriler'!$B$1:$R$75,75,0)</f>
        <v>69918340000</v>
      </c>
      <c r="O11" s="6">
        <f>-HLOOKUP(O10,'Yıllıklandırılmış Veriler'!$B$1:$R$75,75,0)</f>
        <v>88603315000</v>
      </c>
      <c r="P11" s="6">
        <f>-HLOOKUP(P10,'Yıllıklandırılmış Veriler'!$B$1:$R$75,75,0)</f>
        <v>116491878000</v>
      </c>
      <c r="Q11" s="6">
        <f>-HLOOKUP(Q10,'Yıllıklandırılmış Veriler'!$B$1:$R$75,75,0)</f>
        <v>147855658000</v>
      </c>
    </row>
    <row r="12" spans="1:17" x14ac:dyDescent="0.25">
      <c r="A12" s="2" t="s">
        <v>183</v>
      </c>
      <c r="B12" s="6">
        <f>HLOOKUP(B10,'Yıllıklandırılmış Veriler'!$B$1:R9,9,0)</f>
        <v>2072244000</v>
      </c>
      <c r="C12" s="6">
        <f>HLOOKUP(C10,'Yıllıklandırılmış Veriler'!$B$1:S9,9,0)</f>
        <v>2171654000</v>
      </c>
      <c r="D12" s="6">
        <f>HLOOKUP(D10,'Yıllıklandırılmış Veriler'!$B$1:T9,9,0)</f>
        <v>2238200000</v>
      </c>
      <c r="E12" s="6">
        <f>HLOOKUP(E10,'Yıllıklandırılmış Veriler'!$B$1:U9,9,0)</f>
        <v>1827399000</v>
      </c>
      <c r="F12" s="6">
        <f>HLOOKUP(F10,'Yıllıklandırılmış Veriler'!$B$1:V9,9,0)</f>
        <v>2170001000</v>
      </c>
      <c r="G12" s="6">
        <f>HLOOKUP(G10,'Yıllıklandırılmış Veriler'!$B$1:W9,9,0)</f>
        <v>1539442000</v>
      </c>
      <c r="H12" s="6">
        <f>HLOOKUP(H10,'Yıllıklandırılmış Veriler'!$B$1:X9,9,0)</f>
        <v>1781760000</v>
      </c>
      <c r="I12" s="6">
        <f>HLOOKUP(I10,'Yıllıklandırılmış Veriler'!$B$1:Y9,9,0)</f>
        <v>2449043000</v>
      </c>
      <c r="J12" s="6">
        <f>HLOOKUP(J10,'Yıllıklandırılmış Veriler'!$B$1:Z9,9,0)</f>
        <v>3408744000</v>
      </c>
      <c r="K12" s="6">
        <f>HLOOKUP(K10,'Yıllıklandırılmış Veriler'!$B$1:AA9,9,0)</f>
        <v>4902728000</v>
      </c>
      <c r="L12" s="6">
        <f>HLOOKUP(L10,'Yıllıklandırılmış Veriler'!$B$1:AB9,9,0)</f>
        <v>4471400000</v>
      </c>
      <c r="M12" s="6">
        <f>HLOOKUP(M10,'Yıllıklandırılmış Veriler'!$B$1:AC9,9,0)</f>
        <v>5269306000</v>
      </c>
      <c r="N12" s="6">
        <f>HLOOKUP(N10,'Yıllıklandırılmış Veriler'!$B$1:AD9,9,0)</f>
        <v>10953301000</v>
      </c>
      <c r="O12" s="6">
        <f>HLOOKUP(O10,'Yıllıklandırılmış Veriler'!$B$1:AE9,9,0)</f>
        <v>12277999000</v>
      </c>
      <c r="P12" s="6">
        <f>HLOOKUP(P10,'Yıllıklandırılmış Veriler'!$B$1:AF9,9,0)</f>
        <v>15864528000</v>
      </c>
      <c r="Q12" s="6">
        <f>HLOOKUP(Q10,'Yıllıklandırılmış Veriler'!$B$1:AG9,9,0)</f>
        <v>13854008000</v>
      </c>
    </row>
    <row r="13" spans="1:17" x14ac:dyDescent="0.25">
      <c r="A13" s="2" t="s">
        <v>207</v>
      </c>
      <c r="B13" s="6"/>
      <c r="C13" s="6"/>
      <c r="D13" s="6"/>
      <c r="E13" s="6"/>
      <c r="F13" s="6">
        <f>(F12+B12)/2</f>
        <v>2121122500</v>
      </c>
      <c r="G13" s="6">
        <f t="shared" ref="G13:Q13" si="0">(G12+C12)/2</f>
        <v>1855548000</v>
      </c>
      <c r="H13" s="6">
        <f t="shared" si="0"/>
        <v>2009980000</v>
      </c>
      <c r="I13" s="6">
        <f t="shared" si="0"/>
        <v>2138221000</v>
      </c>
      <c r="J13" s="6">
        <f t="shared" si="0"/>
        <v>2789372500</v>
      </c>
      <c r="K13" s="6">
        <f t="shared" si="0"/>
        <v>3221085000</v>
      </c>
      <c r="L13" s="6">
        <f t="shared" si="0"/>
        <v>3126580000</v>
      </c>
      <c r="M13" s="6">
        <f t="shared" si="0"/>
        <v>3859174500</v>
      </c>
      <c r="N13" s="6">
        <f t="shared" si="0"/>
        <v>7181022500</v>
      </c>
      <c r="O13" s="6">
        <f t="shared" si="0"/>
        <v>8590363500</v>
      </c>
      <c r="P13" s="6">
        <f t="shared" si="0"/>
        <v>10167964000</v>
      </c>
      <c r="Q13" s="6">
        <f t="shared" si="0"/>
        <v>9561657000</v>
      </c>
    </row>
    <row r="14" spans="1:17" x14ac:dyDescent="0.25">
      <c r="A14" s="2" t="s">
        <v>208</v>
      </c>
      <c r="B14" s="29"/>
      <c r="C14" s="29"/>
      <c r="D14" s="29"/>
      <c r="E14" s="29"/>
      <c r="F14" s="29">
        <f>F11/F13</f>
        <v>16.570761000366552</v>
      </c>
      <c r="G14" s="29">
        <f t="shared" ref="G14:Q14" si="1">G11/G13</f>
        <v>17.268745944594265</v>
      </c>
      <c r="H14" s="29">
        <f t="shared" si="1"/>
        <v>17.633397844754676</v>
      </c>
      <c r="I14" s="30">
        <f t="shared" si="1"/>
        <v>20.234053449105588</v>
      </c>
      <c r="J14" s="29">
        <f t="shared" si="1"/>
        <v>17.622549516064993</v>
      </c>
      <c r="K14" s="29">
        <f t="shared" si="1"/>
        <v>16.492205266237928</v>
      </c>
      <c r="L14" s="29">
        <f t="shared" si="1"/>
        <v>18.527270691938156</v>
      </c>
      <c r="M14" s="30">
        <f t="shared" si="1"/>
        <v>15.533658299203625</v>
      </c>
      <c r="N14" s="29">
        <f t="shared" si="1"/>
        <v>9.736543786069463</v>
      </c>
      <c r="O14" s="29">
        <f t="shared" si="1"/>
        <v>10.314268424147594</v>
      </c>
      <c r="P14" s="29">
        <f t="shared" si="1"/>
        <v>11.456755551062139</v>
      </c>
      <c r="Q14" s="30">
        <f t="shared" si="1"/>
        <v>15.463392798967794</v>
      </c>
    </row>
    <row r="15" spans="1:17" x14ac:dyDescent="0.25">
      <c r="A15" s="2" t="s">
        <v>209</v>
      </c>
      <c r="F15" s="29">
        <f>360/F14</f>
        <v>21.725013111470055</v>
      </c>
      <c r="G15" s="29">
        <f t="shared" ref="G15:Q15" si="2">360/G14</f>
        <v>20.846910433162801</v>
      </c>
      <c r="H15" s="29">
        <f t="shared" si="2"/>
        <v>20.415804325942066</v>
      </c>
      <c r="I15" s="30">
        <f t="shared" si="2"/>
        <v>17.791788526480996</v>
      </c>
      <c r="J15" s="29">
        <f t="shared" si="2"/>
        <v>20.428372164414597</v>
      </c>
      <c r="K15" s="29">
        <f t="shared" si="2"/>
        <v>21.828493775600474</v>
      </c>
      <c r="L15" s="29">
        <f t="shared" si="2"/>
        <v>19.430816658637596</v>
      </c>
      <c r="M15" s="30">
        <f t="shared" si="2"/>
        <v>23.175480821440264</v>
      </c>
      <c r="N15" s="29">
        <f t="shared" si="2"/>
        <v>36.974105792557431</v>
      </c>
      <c r="O15" s="29">
        <f t="shared" si="2"/>
        <v>34.903105600507153</v>
      </c>
      <c r="P15" s="29">
        <f t="shared" si="2"/>
        <v>31.422508614720762</v>
      </c>
      <c r="Q15" s="30">
        <f t="shared" si="2"/>
        <v>23.280789971527501</v>
      </c>
    </row>
    <row r="31" spans="2:17" x14ac:dyDescent="0.25">
      <c r="B31" s="48" t="s">
        <v>212</v>
      </c>
      <c r="C31" s="48"/>
      <c r="D31" s="48"/>
      <c r="E31" s="48"/>
      <c r="F31" s="48"/>
      <c r="G31" s="48"/>
      <c r="H31" s="48"/>
      <c r="I31" s="48"/>
      <c r="J31" s="48"/>
      <c r="K31" s="48"/>
      <c r="L31" s="48"/>
      <c r="M31" s="48"/>
      <c r="N31" s="48"/>
      <c r="O31" s="48"/>
      <c r="P31" s="48"/>
      <c r="Q31" s="48"/>
    </row>
    <row r="32" spans="2:17" x14ac:dyDescent="0.25">
      <c r="B32" s="2" t="str">
        <f>INDEX(Froto!$B$1:$Q$1,COLUMNS(Froto!B$1:$Q23))</f>
        <v>2019/3</v>
      </c>
      <c r="C32" s="2" t="str">
        <f>INDEX(Froto!$B$1:$Q$1,COLUMNS(Froto!C$1:$Q23))</f>
        <v>2019/6</v>
      </c>
      <c r="D32" s="2" t="str">
        <f>INDEX(Froto!$B$1:$Q$1,COLUMNS(Froto!D$1:$Q23))</f>
        <v>2019/9</v>
      </c>
      <c r="E32" s="2" t="str">
        <f>INDEX(Froto!$B$1:$Q$1,COLUMNS(Froto!E$1:$Q23))</f>
        <v>2019/12</v>
      </c>
      <c r="F32" s="2" t="str">
        <f>INDEX(Froto!$B$1:$Q$1,COLUMNS(Froto!F$1:$Q23))</f>
        <v>2020/3</v>
      </c>
      <c r="G32" s="2" t="str">
        <f>INDEX(Froto!$B$1:$Q$1,COLUMNS(Froto!G$1:$Q23))</f>
        <v>2020/6</v>
      </c>
      <c r="H32" s="2" t="str">
        <f>INDEX(Froto!$B$1:$Q$1,COLUMNS(Froto!H$1:$Q23))</f>
        <v>2020/9</v>
      </c>
      <c r="I32" s="2" t="str">
        <f>INDEX(Froto!$B$1:$Q$1,COLUMNS(Froto!I$1:$Q23))</f>
        <v>2020/12</v>
      </c>
      <c r="J32" s="2" t="str">
        <f>INDEX(Froto!$B$1:$Q$1,COLUMNS(Froto!J$1:$Q23))</f>
        <v>2021/3</v>
      </c>
      <c r="K32" s="2" t="str">
        <f>INDEX(Froto!$B$1:$Q$1,COLUMNS(Froto!K$1:$Q23))</f>
        <v>2021/6</v>
      </c>
      <c r="L32" s="2" t="str">
        <f>INDEX(Froto!$B$1:$Q$1,COLUMNS(Froto!L$1:$Q23))</f>
        <v>2021/9</v>
      </c>
      <c r="M32" s="2" t="str">
        <f>INDEX(Froto!$B$1:$Q$1,COLUMNS(Froto!M$1:$Q23))</f>
        <v>2021/12</v>
      </c>
      <c r="N32" s="2" t="str">
        <f>INDEX(Froto!$B$1:$Q$1,COLUMNS(Froto!N$1:$Q23))</f>
        <v>2022/3</v>
      </c>
      <c r="O32" s="2" t="str">
        <f>INDEX(Froto!$B$1:$Q$1,COLUMNS(Froto!O$1:$Q23))</f>
        <v>2022/6</v>
      </c>
      <c r="P32" s="2" t="str">
        <f>INDEX(Froto!$B$1:$Q$1,COLUMNS(Froto!P$1:$Q23))</f>
        <v>2022/9</v>
      </c>
      <c r="Q32" s="2" t="str">
        <f>INDEX(Froto!$B$1:$Q$1,COLUMNS(Froto!Q$1:$Q23))</f>
        <v>2022/12</v>
      </c>
    </row>
    <row r="33" spans="1:17" x14ac:dyDescent="0.25">
      <c r="A33" s="2" t="s">
        <v>78</v>
      </c>
      <c r="B33" s="6">
        <f>HLOOKUP(B32,'Yıllıklandırılmış Veriler'!$B$1:$R$74,74,0)</f>
        <v>35294072000</v>
      </c>
      <c r="C33" s="6">
        <f>HLOOKUP(C32,'Yıllıklandırılmış Veriler'!$B$1:$R$74,74,0)</f>
        <v>36228894000</v>
      </c>
      <c r="D33" s="6">
        <f>HLOOKUP(D32,'Yıllıklandırılmış Veriler'!$B$1:$R$74,74,0)</f>
        <v>37754372000</v>
      </c>
      <c r="E33" s="6">
        <f>HLOOKUP(E32,'Yıllıklandırılmış Veriler'!$B$1:$R$74,74,0)</f>
        <v>39209019000</v>
      </c>
      <c r="F33" s="6">
        <f>HLOOKUP(F32,'Yıllıklandırılmış Veriler'!$B$1:$R$74,74,0)</f>
        <v>39291576000</v>
      </c>
      <c r="G33" s="6">
        <f>HLOOKUP(G32,'Yıllıklandırılmış Veriler'!$B$1:$R$74,74,0)</f>
        <v>35893712000</v>
      </c>
      <c r="H33" s="6">
        <f>HLOOKUP(H32,'Yıllıklandırılmış Veriler'!$B$1:$R$74,74,0)</f>
        <v>39992483000</v>
      </c>
      <c r="I33" s="6">
        <f>HLOOKUP(I32,'Yıllıklandırılmış Veriler'!$B$1:$R$74,74,0)</f>
        <v>49451407000</v>
      </c>
      <c r="J33" s="6">
        <f>HLOOKUP(J32,'Yıllıklandırılmış Veriler'!$B$1:$R$74,74,0)</f>
        <v>56338940000</v>
      </c>
      <c r="K33" s="6">
        <f>HLOOKUP(K32,'Yıllıklandırılmış Veriler'!$B$1:$R$74,74,0)</f>
        <v>61144236000</v>
      </c>
      <c r="L33" s="6">
        <f>HLOOKUP(L32,'Yıllıklandırılmış Veriler'!$B$1:$R$74,74,0)</f>
        <v>66618707000</v>
      </c>
      <c r="M33" s="6">
        <f>HLOOKUP(M32,'Yıllıklandırılmış Veriler'!$B$1:$R$74,74,0)</f>
        <v>71101258000</v>
      </c>
      <c r="N33" s="6">
        <f>HLOOKUP(N32,'Yıllıklandırılmış Veriler'!$B$1:$R$74,74,0)</f>
        <v>82723541000</v>
      </c>
      <c r="O33" s="6">
        <f>HLOOKUP(O32,'Yıllıklandırılmış Veriler'!$B$1:$R$74,74,0)</f>
        <v>105044600000</v>
      </c>
      <c r="P33" s="6">
        <f>HLOOKUP(P32,'Yıllıklandırılmış Veriler'!$B$1:$R$74,74,0)</f>
        <v>136301246000</v>
      </c>
      <c r="Q33" s="6">
        <f>HLOOKUP(Q32,'Yıllıklandırılmış Veriler'!$B$1:$R$74,74,0)</f>
        <v>171796902000</v>
      </c>
    </row>
    <row r="34" spans="1:17" x14ac:dyDescent="0.25">
      <c r="A34" s="2" t="s">
        <v>187</v>
      </c>
      <c r="B34" s="6">
        <f>HLOOKUP(B32,'Yıllıklandırılmış Veriler'!$B$1:$R$5,5,0)</f>
        <v>3787290000</v>
      </c>
      <c r="C34" s="6">
        <f>HLOOKUP(C32,'Yıllıklandırılmış Veriler'!$B$1:$R$5,5,0)</f>
        <v>3951574000</v>
      </c>
      <c r="D34" s="6">
        <f>HLOOKUP(D32,'Yıllıklandırılmış Veriler'!$B$1:$R$5,5,0)</f>
        <v>2952179000</v>
      </c>
      <c r="E34" s="6">
        <f>HLOOKUP(E32,'Yıllıklandırılmış Veriler'!$B$1:$R$5,5,0)</f>
        <v>4105093000</v>
      </c>
      <c r="F34" s="6">
        <f>HLOOKUP(F32,'Yıllıklandırılmış Veriler'!$B$1:$R$5,5,0)</f>
        <v>3902799000</v>
      </c>
      <c r="G34" s="6">
        <f>HLOOKUP(G32,'Yıllıklandırılmış Veriler'!$B$1:$R$5,5,0)</f>
        <v>4057608000</v>
      </c>
      <c r="H34" s="6">
        <f>HLOOKUP(H32,'Yıllıklandırılmış Veriler'!$B$1:$R$5,5,0)</f>
        <v>6589190000</v>
      </c>
      <c r="I34" s="6">
        <f>HLOOKUP(I32,'Yıllıklandırılmış Veriler'!$B$1:$R$5,5,0)</f>
        <v>5754182000</v>
      </c>
      <c r="J34" s="6">
        <f>HLOOKUP(J32,'Yıllıklandırılmış Veriler'!$B$1:$R$5,5,0)</f>
        <v>7999945000</v>
      </c>
      <c r="K34" s="6">
        <f>HLOOKUP(K32,'Yıllıklandırılmış Veriler'!$B$1:$R$5,5,0)</f>
        <v>7570155000</v>
      </c>
      <c r="L34" s="6">
        <f>HLOOKUP(L32,'Yıllıklandırılmış Veriler'!$B$1:$R$5,5,0)</f>
        <v>5810827000</v>
      </c>
      <c r="M34" s="6">
        <f>HLOOKUP(M32,'Yıllıklandırılmış Veriler'!$B$1:$R$5,5,0)</f>
        <v>11406748000</v>
      </c>
      <c r="N34" s="6">
        <f>HLOOKUP(N32,'Yıllıklandırılmış Veriler'!$B$1:$R$5,5,0)</f>
        <v>16881803000</v>
      </c>
      <c r="O34" s="6">
        <f>HLOOKUP(O32,'Yıllıklandırılmış Veriler'!$B$1:$R$5,5,0)</f>
        <v>17905851000</v>
      </c>
      <c r="P34" s="6">
        <f>HLOOKUP(P32,'Yıllıklandırılmış Veriler'!$B$1:$R$5,5,0)</f>
        <v>27303752000</v>
      </c>
      <c r="Q34" s="6">
        <f>HLOOKUP(Q32,'Yıllıklandırılmış Veriler'!$B$1:$R$5,5,0)</f>
        <v>25850944000</v>
      </c>
    </row>
    <row r="35" spans="1:17" x14ac:dyDescent="0.25">
      <c r="A35" s="2" t="s">
        <v>210</v>
      </c>
      <c r="F35" s="6">
        <f>(B34+F34)/2</f>
        <v>3845044500</v>
      </c>
      <c r="G35" s="6">
        <f t="shared" ref="G35:Q35" si="3">(C34+G34)/2</f>
        <v>4004591000</v>
      </c>
      <c r="H35" s="6">
        <f t="shared" si="3"/>
        <v>4770684500</v>
      </c>
      <c r="I35" s="6">
        <f t="shared" si="3"/>
        <v>4929637500</v>
      </c>
      <c r="J35" s="6">
        <f t="shared" si="3"/>
        <v>5951372000</v>
      </c>
      <c r="K35" s="6">
        <f t="shared" si="3"/>
        <v>5813881500</v>
      </c>
      <c r="L35" s="6">
        <f t="shared" si="3"/>
        <v>6200008500</v>
      </c>
      <c r="M35" s="6">
        <f t="shared" si="3"/>
        <v>8580465000</v>
      </c>
      <c r="N35" s="6">
        <f t="shared" si="3"/>
        <v>12440874000</v>
      </c>
      <c r="O35" s="6">
        <f t="shared" si="3"/>
        <v>12738003000</v>
      </c>
      <c r="P35" s="6">
        <f t="shared" si="3"/>
        <v>16557289500</v>
      </c>
      <c r="Q35" s="6">
        <f t="shared" si="3"/>
        <v>18628846000</v>
      </c>
    </row>
    <row r="36" spans="1:17" x14ac:dyDescent="0.25">
      <c r="A36" s="2" t="s">
        <v>211</v>
      </c>
      <c r="F36" s="29">
        <f>F33/F35</f>
        <v>10.218757156126541</v>
      </c>
      <c r="G36" s="29">
        <f t="shared" ref="G36:Q36" si="4">G33/G35</f>
        <v>8.9631405554275076</v>
      </c>
      <c r="H36" s="29">
        <f t="shared" si="4"/>
        <v>8.3829653794963797</v>
      </c>
      <c r="I36" s="30">
        <f t="shared" si="4"/>
        <v>10.031448965567956</v>
      </c>
      <c r="J36" s="29">
        <f t="shared" si="4"/>
        <v>9.4665465375042928</v>
      </c>
      <c r="K36" s="29">
        <f t="shared" si="4"/>
        <v>10.516938812736379</v>
      </c>
      <c r="L36" s="29">
        <f t="shared" si="4"/>
        <v>10.744938010972081</v>
      </c>
      <c r="M36" s="30">
        <f t="shared" si="4"/>
        <v>8.2864108180617251</v>
      </c>
      <c r="N36" s="29">
        <f t="shared" si="4"/>
        <v>6.6493351672880863</v>
      </c>
      <c r="O36" s="29">
        <f t="shared" si="4"/>
        <v>8.2465516768994327</v>
      </c>
      <c r="P36" s="29">
        <f t="shared" si="4"/>
        <v>8.2320989797273274</v>
      </c>
      <c r="Q36" s="30">
        <f t="shared" si="4"/>
        <v>9.222090407532491</v>
      </c>
    </row>
    <row r="37" spans="1:17" x14ac:dyDescent="0.25">
      <c r="A37" s="2" t="s">
        <v>213</v>
      </c>
      <c r="F37" s="29">
        <f>360/F36</f>
        <v>35.229333127284079</v>
      </c>
      <c r="G37" s="29">
        <f t="shared" ref="G37:Q37" si="5">360/G36</f>
        <v>40.164493435507595</v>
      </c>
      <c r="H37" s="29">
        <f t="shared" si="5"/>
        <v>42.944230794572071</v>
      </c>
      <c r="I37" s="30">
        <f t="shared" si="5"/>
        <v>35.887138661191173</v>
      </c>
      <c r="J37" s="29">
        <f t="shared" si="5"/>
        <v>38.02865158627408</v>
      </c>
      <c r="K37" s="29">
        <f t="shared" si="5"/>
        <v>34.230492960939117</v>
      </c>
      <c r="L37" s="29">
        <f t="shared" si="5"/>
        <v>33.504148616994321</v>
      </c>
      <c r="M37" s="30">
        <f t="shared" si="5"/>
        <v>43.444623722410086</v>
      </c>
      <c r="N37" s="29">
        <f t="shared" si="5"/>
        <v>54.140751059000237</v>
      </c>
      <c r="O37" s="29">
        <f t="shared" si="5"/>
        <v>43.654610327422823</v>
      </c>
      <c r="P37" s="29">
        <f t="shared" si="5"/>
        <v>43.731252610852877</v>
      </c>
      <c r="Q37" s="30">
        <f t="shared" si="5"/>
        <v>39.036702536114412</v>
      </c>
    </row>
    <row r="53" spans="1:17" x14ac:dyDescent="0.25">
      <c r="B53" s="48" t="s">
        <v>214</v>
      </c>
      <c r="C53" s="48"/>
      <c r="D53" s="48"/>
      <c r="E53" s="48"/>
      <c r="F53" s="48"/>
      <c r="G53" s="48"/>
      <c r="H53" s="48"/>
      <c r="I53" s="48"/>
      <c r="J53" s="48"/>
      <c r="K53" s="48"/>
      <c r="L53" s="48"/>
      <c r="M53" s="48"/>
      <c r="N53" s="48"/>
      <c r="O53" s="48"/>
      <c r="P53" s="48"/>
      <c r="Q53" s="48"/>
    </row>
    <row r="54" spans="1:17" x14ac:dyDescent="0.25">
      <c r="B54" s="2" t="str">
        <f>INDEX(Froto!$B$1:$Q$1,COLUMNS(Froto!B$1:$Q45))</f>
        <v>2019/3</v>
      </c>
      <c r="C54" s="2" t="str">
        <f>INDEX(Froto!$B$1:$Q$1,COLUMNS(Froto!C$1:$Q45))</f>
        <v>2019/6</v>
      </c>
      <c r="D54" s="2" t="str">
        <f>INDEX(Froto!$B$1:$Q$1,COLUMNS(Froto!D$1:$Q45))</f>
        <v>2019/9</v>
      </c>
      <c r="E54" s="2" t="str">
        <f>INDEX(Froto!$B$1:$Q$1,COLUMNS(Froto!E$1:$Q45))</f>
        <v>2019/12</v>
      </c>
      <c r="F54" s="2" t="str">
        <f>INDEX(Froto!$B$1:$Q$1,COLUMNS(Froto!F$1:$Q45))</f>
        <v>2020/3</v>
      </c>
      <c r="G54" s="2" t="str">
        <f>INDEX(Froto!$B$1:$Q$1,COLUMNS(Froto!G$1:$Q45))</f>
        <v>2020/6</v>
      </c>
      <c r="H54" s="2" t="str">
        <f>INDEX(Froto!$B$1:$Q$1,COLUMNS(Froto!H$1:$Q45))</f>
        <v>2020/9</v>
      </c>
      <c r="I54" s="2" t="str">
        <f>INDEX(Froto!$B$1:$Q$1,COLUMNS(Froto!I$1:$Q45))</f>
        <v>2020/12</v>
      </c>
      <c r="J54" s="2" t="str">
        <f>INDEX(Froto!$B$1:$Q$1,COLUMNS(Froto!J$1:$Q45))</f>
        <v>2021/3</v>
      </c>
      <c r="K54" s="2" t="str">
        <f>INDEX(Froto!$B$1:$Q$1,COLUMNS(Froto!K$1:$Q45))</f>
        <v>2021/6</v>
      </c>
      <c r="L54" s="2" t="str">
        <f>INDEX(Froto!$B$1:$Q$1,COLUMNS(Froto!L$1:$Q45))</f>
        <v>2021/9</v>
      </c>
      <c r="M54" s="2" t="str">
        <f>INDEX(Froto!$B$1:$Q$1,COLUMNS(Froto!M$1:$Q45))</f>
        <v>2021/12</v>
      </c>
      <c r="N54" s="2" t="str">
        <f>INDEX(Froto!$B$1:$Q$1,COLUMNS(Froto!N$1:$Q45))</f>
        <v>2022/3</v>
      </c>
      <c r="O54" s="2" t="str">
        <f>INDEX(Froto!$B$1:$Q$1,COLUMNS(Froto!O$1:$Q45))</f>
        <v>2022/6</v>
      </c>
      <c r="P54" s="2" t="str">
        <f>INDEX(Froto!$B$1:$Q$1,COLUMNS(Froto!P$1:$Q45))</f>
        <v>2022/9</v>
      </c>
      <c r="Q54" s="2" t="str">
        <f>INDEX(Froto!$B$1:$Q$1,COLUMNS(Froto!Q$1:$Q45))</f>
        <v>2022/12</v>
      </c>
    </row>
    <row r="55" spans="1:17" x14ac:dyDescent="0.25">
      <c r="A55" s="2" t="s">
        <v>206</v>
      </c>
      <c r="B55" s="6">
        <f>-HLOOKUP(B54,'Yıllıklandırılmış Veriler'!$B$1:$R$75,75,0)</f>
        <v>31649050000</v>
      </c>
      <c r="C55" s="6">
        <f>-HLOOKUP(C54,'Yıllıklandırılmış Veriler'!$B$1:$R$75,75,0)</f>
        <v>32534057000</v>
      </c>
      <c r="D55" s="6">
        <f>-HLOOKUP(D54,'Yıllıklandırılmış Veriler'!$B$1:$R$75,75,0)</f>
        <v>33931858000</v>
      </c>
      <c r="E55" s="6">
        <f>-HLOOKUP(E54,'Yıllıklandırılmış Veriler'!$B$1:$R$75,75,0)</f>
        <v>35193802000</v>
      </c>
      <c r="F55" s="6">
        <f>-HLOOKUP(F54,'Yıllıklandırılmış Veriler'!$B$1:$R$75,75,0)</f>
        <v>35148614000</v>
      </c>
      <c r="G55" s="6">
        <f>-HLOOKUP(G54,'Yıllıklandırılmış Veriler'!$B$1:$R$75,75,0)</f>
        <v>32042987000</v>
      </c>
      <c r="H55" s="6">
        <f>-HLOOKUP(H54,'Yıllıklandırılmış Veriler'!$B$1:$R$75,75,0)</f>
        <v>35442777000</v>
      </c>
      <c r="I55" s="6">
        <f>-HLOOKUP(I54,'Yıllıklandırılmış Veriler'!$B$1:$R$75,75,0)</f>
        <v>43264878000</v>
      </c>
      <c r="J55" s="6">
        <f>-HLOOKUP(J54,'Yıllıklandırılmış Veriler'!$B$1:$R$75,75,0)</f>
        <v>49155855000</v>
      </c>
      <c r="K55" s="6">
        <f>-HLOOKUP(K54,'Yıllıklandırılmış Veriler'!$B$1:$R$75,75,0)</f>
        <v>53122795000</v>
      </c>
      <c r="L55" s="6">
        <f>-HLOOKUP(L54,'Yıllıklandırılmış Veriler'!$B$1:$R$75,75,0)</f>
        <v>57926994000</v>
      </c>
      <c r="M55" s="6">
        <f>-HLOOKUP(M54,'Yıllıklandırılmış Veriler'!$B$1:$R$75,75,0)</f>
        <v>59947098000</v>
      </c>
      <c r="N55" s="6">
        <f>-HLOOKUP(N54,'Yıllıklandırılmış Veriler'!$B$1:$R$75,75,0)</f>
        <v>69918340000</v>
      </c>
      <c r="O55" s="6">
        <f>-HLOOKUP(O54,'Yıllıklandırılmış Veriler'!$B$1:$R$75,75,0)</f>
        <v>88603315000</v>
      </c>
      <c r="P55" s="6">
        <f>-HLOOKUP(P54,'Yıllıklandırılmış Veriler'!$B$1:$R$75,75,0)</f>
        <v>116491878000</v>
      </c>
      <c r="Q55" s="6">
        <f>-HLOOKUP(Q54,'Yıllıklandırılmış Veriler'!$B$1:$R$75,75,0)</f>
        <v>147855658000</v>
      </c>
    </row>
    <row r="56" spans="1:17" x14ac:dyDescent="0.25">
      <c r="A56" s="2" t="s">
        <v>215</v>
      </c>
      <c r="B56" s="6">
        <f>HLOOKUP(B54,'Yıllıklandırılmış Veriler'!$B$1:$R$35,35,0)</f>
        <v>4543350000</v>
      </c>
      <c r="C56" s="6">
        <f>HLOOKUP(C54,'Yıllıklandırılmış Veriler'!$B$1:$R$35,35,0)</f>
        <v>4499558000</v>
      </c>
      <c r="D56" s="6">
        <f>HLOOKUP(D54,'Yıllıklandırılmış Veriler'!$B$1:$R$35,35,0)</f>
        <v>4062869000</v>
      </c>
      <c r="E56" s="6">
        <f>HLOOKUP(E54,'Yıllıklandırılmış Veriler'!$B$1:$R$35,35,0)</f>
        <v>4545420000</v>
      </c>
      <c r="F56" s="6">
        <f>HLOOKUP(F54,'Yıllıklandırılmış Veriler'!$B$1:$R$35,35,0)</f>
        <v>3940022000</v>
      </c>
      <c r="G56" s="6">
        <f>HLOOKUP(G54,'Yıllıklandırılmış Veriler'!$B$1:$R$35,35,0)</f>
        <v>3619715000</v>
      </c>
      <c r="H56" s="6">
        <f>HLOOKUP(H54,'Yıllıklandırılmış Veriler'!$B$1:$R$35,35,0)</f>
        <v>7186551000</v>
      </c>
      <c r="I56" s="6">
        <f>HLOOKUP(I54,'Yıllıklandırılmış Veriler'!$B$1:$R$35,35,0)</f>
        <v>7747793000</v>
      </c>
      <c r="J56" s="6">
        <f>HLOOKUP(J54,'Yıllıklandırılmış Veriler'!$B$1:$R$35,35,0)</f>
        <v>11720159000</v>
      </c>
      <c r="K56" s="6">
        <f>HLOOKUP(K54,'Yıllıklandırılmış Veriler'!$B$1:$R$35,35,0)</f>
        <v>10377799000</v>
      </c>
      <c r="L56" s="6">
        <f>HLOOKUP(L54,'Yıllıklandırılmış Veriler'!$B$1:$R$35,35,0)</f>
        <v>11330128000</v>
      </c>
      <c r="M56" s="6">
        <f>HLOOKUP(M54,'Yıllıklandırılmış Veriler'!$B$1:$R$35,35,0)</f>
        <v>11378668000</v>
      </c>
      <c r="N56" s="6">
        <f>HLOOKUP(N54,'Yıllıklandırılmış Veriler'!$B$1:$R$35,35,0)</f>
        <v>17730180000</v>
      </c>
      <c r="O56" s="6">
        <f>HLOOKUP(O54,'Yıllıklandırılmış Veriler'!$B$1:$R$35,35,0)</f>
        <v>21360591000</v>
      </c>
      <c r="P56" s="6">
        <f>HLOOKUP(P54,'Yıllıklandırılmış Veriler'!$B$1:$R$35,35,0)</f>
        <v>26857771000</v>
      </c>
      <c r="Q56" s="6">
        <f>HLOOKUP(Q54,'Yıllıklandırılmış Veriler'!$B$1:$R$35,35,0)</f>
        <v>30146246000</v>
      </c>
    </row>
    <row r="57" spans="1:17" x14ac:dyDescent="0.25">
      <c r="A57" s="2" t="s">
        <v>216</v>
      </c>
      <c r="F57" s="6">
        <f>(B56+F56)/2</f>
        <v>4241686000</v>
      </c>
      <c r="G57" s="6">
        <f t="shared" ref="G57:Q57" si="6">(C56+G56)/2</f>
        <v>4059636500</v>
      </c>
      <c r="H57" s="6">
        <f t="shared" si="6"/>
        <v>5624710000</v>
      </c>
      <c r="I57" s="6">
        <f t="shared" si="6"/>
        <v>6146606500</v>
      </c>
      <c r="J57" s="6">
        <f t="shared" si="6"/>
        <v>7830090500</v>
      </c>
      <c r="K57" s="6">
        <f t="shared" si="6"/>
        <v>6998757000</v>
      </c>
      <c r="L57" s="6">
        <f t="shared" si="6"/>
        <v>9258339500</v>
      </c>
      <c r="M57" s="6">
        <f t="shared" si="6"/>
        <v>9563230500</v>
      </c>
      <c r="N57" s="6">
        <f t="shared" si="6"/>
        <v>14725169500</v>
      </c>
      <c r="O57" s="6">
        <f t="shared" si="6"/>
        <v>15869195000</v>
      </c>
      <c r="P57" s="6">
        <f t="shared" si="6"/>
        <v>19093949500</v>
      </c>
      <c r="Q57" s="6">
        <f t="shared" si="6"/>
        <v>20762457000</v>
      </c>
    </row>
    <row r="58" spans="1:17" x14ac:dyDescent="0.25">
      <c r="A58" s="2" t="s">
        <v>217</v>
      </c>
      <c r="F58" s="29">
        <f>F55/F57</f>
        <v>8.2864724074342142</v>
      </c>
      <c r="G58" s="29">
        <f t="shared" ref="G58:Q58" si="7">G55/G57</f>
        <v>7.8930680123700734</v>
      </c>
      <c r="H58" s="29">
        <f t="shared" si="7"/>
        <v>6.3012629984479203</v>
      </c>
      <c r="I58" s="30">
        <f t="shared" si="7"/>
        <v>7.0388234548608244</v>
      </c>
      <c r="J58" s="29">
        <f t="shared" si="7"/>
        <v>6.2778144135115683</v>
      </c>
      <c r="K58" s="29">
        <f t="shared" si="7"/>
        <v>7.5903185379918181</v>
      </c>
      <c r="L58" s="29">
        <f t="shared" si="7"/>
        <v>6.2567368586991217</v>
      </c>
      <c r="M58" s="30">
        <f t="shared" si="7"/>
        <v>6.2684987044911233</v>
      </c>
      <c r="N58" s="29">
        <f t="shared" si="7"/>
        <v>4.7482197064013425</v>
      </c>
      <c r="O58" s="29">
        <f t="shared" si="7"/>
        <v>5.583352841779309</v>
      </c>
      <c r="P58" s="29">
        <f t="shared" si="7"/>
        <v>6.1009838744990921</v>
      </c>
      <c r="Q58" s="30">
        <f t="shared" si="7"/>
        <v>7.1212986979334865</v>
      </c>
    </row>
    <row r="59" spans="1:17" x14ac:dyDescent="0.25">
      <c r="A59" s="2" t="s">
        <v>218</v>
      </c>
      <c r="F59" s="29">
        <f>360/F58</f>
        <v>43.44430081937228</v>
      </c>
      <c r="G59" s="29">
        <f t="shared" ref="G59:Q59" si="8">360/G58</f>
        <v>45.609641198556176</v>
      </c>
      <c r="H59" s="29">
        <f t="shared" si="8"/>
        <v>57.131403670767668</v>
      </c>
      <c r="I59" s="30">
        <f t="shared" si="8"/>
        <v>51.144911121672408</v>
      </c>
      <c r="J59" s="29">
        <f t="shared" si="8"/>
        <v>57.344798091702401</v>
      </c>
      <c r="K59" s="29">
        <f t="shared" si="8"/>
        <v>47.428839540539983</v>
      </c>
      <c r="L59" s="29">
        <f t="shared" si="8"/>
        <v>57.537979961466675</v>
      </c>
      <c r="M59" s="30">
        <f t="shared" si="8"/>
        <v>57.430019047794445</v>
      </c>
      <c r="N59" s="29">
        <f t="shared" si="8"/>
        <v>75.817890127254159</v>
      </c>
      <c r="O59" s="29">
        <f t="shared" si="8"/>
        <v>64.477386653084025</v>
      </c>
      <c r="P59" s="29">
        <f t="shared" si="8"/>
        <v>59.006876170371292</v>
      </c>
      <c r="Q59" s="30">
        <f t="shared" si="8"/>
        <v>50.552576892255281</v>
      </c>
    </row>
    <row r="75" spans="1:17" x14ac:dyDescent="0.25">
      <c r="B75" s="48" t="s">
        <v>219</v>
      </c>
      <c r="C75" s="48"/>
      <c r="D75" s="48"/>
      <c r="E75" s="48"/>
      <c r="F75" s="48"/>
      <c r="G75" s="48"/>
      <c r="H75" s="48"/>
      <c r="I75" s="48"/>
      <c r="J75" s="48"/>
      <c r="K75" s="48"/>
      <c r="L75" s="48"/>
      <c r="M75" s="48"/>
      <c r="N75" s="48"/>
      <c r="O75" s="48"/>
      <c r="P75" s="48"/>
      <c r="Q75" s="48"/>
    </row>
    <row r="76" spans="1:17" x14ac:dyDescent="0.25">
      <c r="B76" s="2" t="str">
        <f>INDEX(Froto!$B$1:$Q$1,COLUMNS(Froto!B$1:$Q67))</f>
        <v>2019/3</v>
      </c>
      <c r="C76" s="2" t="str">
        <f>INDEX(Froto!$B$1:$Q$1,COLUMNS(Froto!C$1:$Q67))</f>
        <v>2019/6</v>
      </c>
      <c r="D76" s="2" t="str">
        <f>INDEX(Froto!$B$1:$Q$1,COLUMNS(Froto!D$1:$Q67))</f>
        <v>2019/9</v>
      </c>
      <c r="E76" s="2" t="str">
        <f>INDEX(Froto!$B$1:$Q$1,COLUMNS(Froto!E$1:$Q67))</f>
        <v>2019/12</v>
      </c>
      <c r="F76" s="2" t="str">
        <f>INDEX(Froto!$B$1:$Q$1,COLUMNS(Froto!F$1:$Q67))</f>
        <v>2020/3</v>
      </c>
      <c r="G76" s="2" t="str">
        <f>INDEX(Froto!$B$1:$Q$1,COLUMNS(Froto!G$1:$Q67))</f>
        <v>2020/6</v>
      </c>
      <c r="H76" s="2" t="str">
        <f>INDEX(Froto!$B$1:$Q$1,COLUMNS(Froto!H$1:$Q67))</f>
        <v>2020/9</v>
      </c>
      <c r="I76" s="2" t="str">
        <f>INDEX(Froto!$B$1:$Q$1,COLUMNS(Froto!I$1:$Q67))</f>
        <v>2020/12</v>
      </c>
      <c r="J76" s="2" t="str">
        <f>INDEX(Froto!$B$1:$Q$1,COLUMNS(Froto!J$1:$Q67))</f>
        <v>2021/3</v>
      </c>
      <c r="K76" s="2" t="str">
        <f>INDEX(Froto!$B$1:$Q$1,COLUMNS(Froto!K$1:$Q67))</f>
        <v>2021/6</v>
      </c>
      <c r="L76" s="2" t="str">
        <f>INDEX(Froto!$B$1:$Q$1,COLUMNS(Froto!L$1:$Q67))</f>
        <v>2021/9</v>
      </c>
      <c r="M76" s="2" t="str">
        <f>INDEX(Froto!$B$1:$Q$1,COLUMNS(Froto!M$1:$Q67))</f>
        <v>2021/12</v>
      </c>
      <c r="N76" s="2" t="str">
        <f>INDEX(Froto!$B$1:$Q$1,COLUMNS(Froto!N$1:$Q67))</f>
        <v>2022/3</v>
      </c>
      <c r="O76" s="2" t="str">
        <f>INDEX(Froto!$B$1:$Q$1,COLUMNS(Froto!O$1:$Q67))</f>
        <v>2022/6</v>
      </c>
      <c r="P76" s="2" t="str">
        <f>INDEX(Froto!$B$1:$Q$1,COLUMNS(Froto!P$1:$Q67))</f>
        <v>2022/9</v>
      </c>
      <c r="Q76" s="2" t="str">
        <f>INDEX(Froto!$B$1:$Q$1,COLUMNS(Froto!Q$1:$Q67))</f>
        <v>2022/12</v>
      </c>
    </row>
    <row r="77" spans="1:17" x14ac:dyDescent="0.25">
      <c r="A77" s="2" t="s">
        <v>220</v>
      </c>
      <c r="F77" s="29">
        <f>F15+F37-F59</f>
        <v>13.510045419381854</v>
      </c>
      <c r="G77" s="29">
        <f t="shared" ref="G77:Q77" si="9">G15+G37-G59</f>
        <v>15.401762670114223</v>
      </c>
      <c r="H77" s="29">
        <f t="shared" si="9"/>
        <v>6.228631449746473</v>
      </c>
      <c r="I77" s="29">
        <f t="shared" si="9"/>
        <v>2.534016065999765</v>
      </c>
      <c r="J77" s="29">
        <f t="shared" si="9"/>
        <v>1.1122256589862758</v>
      </c>
      <c r="K77" s="29">
        <f t="shared" si="9"/>
        <v>8.6301471959996121</v>
      </c>
      <c r="L77" s="29">
        <f t="shared" si="9"/>
        <v>-4.6030146858347578</v>
      </c>
      <c r="M77" s="29">
        <f t="shared" si="9"/>
        <v>9.1900854960559002</v>
      </c>
      <c r="N77" s="29">
        <f t="shared" si="9"/>
        <v>15.296966724303516</v>
      </c>
      <c r="O77" s="29">
        <f t="shared" si="9"/>
        <v>14.080329274845951</v>
      </c>
      <c r="P77" s="29">
        <f t="shared" si="9"/>
        <v>16.146885055202354</v>
      </c>
      <c r="Q77" s="29">
        <f t="shared" si="9"/>
        <v>11.764915615386634</v>
      </c>
    </row>
    <row r="97" spans="1:17" x14ac:dyDescent="0.25">
      <c r="B97" s="48" t="s">
        <v>221</v>
      </c>
      <c r="C97" s="48"/>
      <c r="D97" s="48"/>
      <c r="E97" s="48"/>
      <c r="F97" s="48"/>
      <c r="G97" s="48"/>
      <c r="H97" s="48"/>
      <c r="I97" s="48"/>
      <c r="J97" s="48"/>
      <c r="K97" s="48"/>
      <c r="L97" s="48"/>
      <c r="M97" s="48"/>
      <c r="N97" s="48"/>
      <c r="O97" s="48"/>
      <c r="P97" s="48"/>
      <c r="Q97" s="48"/>
    </row>
    <row r="98" spans="1:17" x14ac:dyDescent="0.25">
      <c r="B98" s="2" t="str">
        <f>INDEX(Froto!$B$1:$Q$1,COLUMNS(Froto!B$1:$Q89))</f>
        <v>2019/3</v>
      </c>
      <c r="C98" s="2" t="str">
        <f>INDEX(Froto!$B$1:$Q$1,COLUMNS(Froto!C$1:$Q89))</f>
        <v>2019/6</v>
      </c>
      <c r="D98" s="2" t="str">
        <f>INDEX(Froto!$B$1:$Q$1,COLUMNS(Froto!D$1:$Q89))</f>
        <v>2019/9</v>
      </c>
      <c r="E98" s="2" t="str">
        <f>INDEX(Froto!$B$1:$Q$1,COLUMNS(Froto!E$1:$Q89))</f>
        <v>2019/12</v>
      </c>
      <c r="F98" s="2" t="str">
        <f>INDEX(Froto!$B$1:$Q$1,COLUMNS(Froto!F$1:$Q89))</f>
        <v>2020/3</v>
      </c>
      <c r="G98" s="2" t="str">
        <f>INDEX(Froto!$B$1:$Q$1,COLUMNS(Froto!G$1:$Q89))</f>
        <v>2020/6</v>
      </c>
      <c r="H98" s="2" t="str">
        <f>INDEX(Froto!$B$1:$Q$1,COLUMNS(Froto!H$1:$Q89))</f>
        <v>2020/9</v>
      </c>
      <c r="I98" s="2" t="str">
        <f>INDEX(Froto!$B$1:$Q$1,COLUMNS(Froto!I$1:$Q89))</f>
        <v>2020/12</v>
      </c>
      <c r="J98" s="2" t="str">
        <f>INDEX(Froto!$B$1:$Q$1,COLUMNS(Froto!J$1:$Q89))</f>
        <v>2021/3</v>
      </c>
      <c r="K98" s="2" t="str">
        <f>INDEX(Froto!$B$1:$Q$1,COLUMNS(Froto!K$1:$Q89))</f>
        <v>2021/6</v>
      </c>
      <c r="L98" s="2" t="str">
        <f>INDEX(Froto!$B$1:$Q$1,COLUMNS(Froto!L$1:$Q89))</f>
        <v>2021/9</v>
      </c>
      <c r="M98" s="2" t="str">
        <f>INDEX(Froto!$B$1:$Q$1,COLUMNS(Froto!M$1:$Q89))</f>
        <v>2021/12</v>
      </c>
      <c r="N98" s="2" t="str">
        <f>INDEX(Froto!$B$1:$Q$1,COLUMNS(Froto!N$1:$Q89))</f>
        <v>2022/3</v>
      </c>
      <c r="O98" s="2" t="str">
        <f>INDEX(Froto!$B$1:$Q$1,COLUMNS(Froto!O$1:$Q89))</f>
        <v>2022/6</v>
      </c>
      <c r="P98" s="2" t="str">
        <f>INDEX(Froto!$B$1:$Q$1,COLUMNS(Froto!P$1:$Q89))</f>
        <v>2022/9</v>
      </c>
      <c r="Q98" s="2" t="str">
        <f>INDEX(Froto!$B$1:$Q$1,COLUMNS(Froto!Q$1:$Q89))</f>
        <v>2022/12</v>
      </c>
    </row>
    <row r="99" spans="1:17" x14ac:dyDescent="0.25">
      <c r="A99" s="2" t="s">
        <v>78</v>
      </c>
      <c r="B99" s="6">
        <f>HLOOKUP(B98,'Yıllıklandırılmış Veriler'!$B$1:$R$74,74,0)</f>
        <v>35294072000</v>
      </c>
      <c r="C99" s="6">
        <f>HLOOKUP(C98,'Yıllıklandırılmış Veriler'!$B$1:$R$74,74,0)</f>
        <v>36228894000</v>
      </c>
      <c r="D99" s="6">
        <f>HLOOKUP(D98,'Yıllıklandırılmış Veriler'!$B$1:$R$74,74,0)</f>
        <v>37754372000</v>
      </c>
      <c r="E99" s="6">
        <f>HLOOKUP(E98,'Yıllıklandırılmış Veriler'!$B$1:$R$74,74,0)</f>
        <v>39209019000</v>
      </c>
      <c r="F99" s="6">
        <f>HLOOKUP(F98,'Yıllıklandırılmış Veriler'!$B$1:$R$74,74,0)</f>
        <v>39291576000</v>
      </c>
      <c r="G99" s="6">
        <f>HLOOKUP(G98,'Yıllıklandırılmış Veriler'!$B$1:$R$74,74,0)</f>
        <v>35893712000</v>
      </c>
      <c r="H99" s="6">
        <f>HLOOKUP(H98,'Yıllıklandırılmış Veriler'!$B$1:$R$74,74,0)</f>
        <v>39992483000</v>
      </c>
      <c r="I99" s="6">
        <f>HLOOKUP(I98,'Yıllıklandırılmış Veriler'!$B$1:$R$74,74,0)</f>
        <v>49451407000</v>
      </c>
      <c r="J99" s="6">
        <f>HLOOKUP(J98,'Yıllıklandırılmış Veriler'!$B$1:$R$74,74,0)</f>
        <v>56338940000</v>
      </c>
      <c r="K99" s="6">
        <f>HLOOKUP(K98,'Yıllıklandırılmış Veriler'!$B$1:$R$74,74,0)</f>
        <v>61144236000</v>
      </c>
      <c r="L99" s="6">
        <f>HLOOKUP(L98,'Yıllıklandırılmış Veriler'!$B$1:$R$74,74,0)</f>
        <v>66618707000</v>
      </c>
      <c r="M99" s="6">
        <f>HLOOKUP(M98,'Yıllıklandırılmış Veriler'!$B$1:$R$74,74,0)</f>
        <v>71101258000</v>
      </c>
      <c r="N99" s="6">
        <f>HLOOKUP(N98,'Yıllıklandırılmış Veriler'!$B$1:$R$74,74,0)</f>
        <v>82723541000</v>
      </c>
      <c r="O99" s="6">
        <f>HLOOKUP(O98,'Yıllıklandırılmış Veriler'!$B$1:$R$74,74,0)</f>
        <v>105044600000</v>
      </c>
      <c r="P99" s="6">
        <f>HLOOKUP(P98,'Yıllıklandırılmış Veriler'!$B$1:$R$74,74,0)</f>
        <v>136301246000</v>
      </c>
      <c r="Q99" s="6">
        <f>HLOOKUP(Q98,'Yıllıklandırılmış Veriler'!$B$1:$R$74,74,0)</f>
        <v>171796902000</v>
      </c>
    </row>
    <row r="100" spans="1:17" x14ac:dyDescent="0.25">
      <c r="A100" s="2" t="s">
        <v>222</v>
      </c>
      <c r="B100" s="6">
        <f>HLOOKUP(B98,'Yıllıklandırılmış Veriler'!$B$1:$R$30,30,0)</f>
        <v>15228810000</v>
      </c>
      <c r="C100" s="6">
        <f>HLOOKUP(C98,'Yıllıklandırılmış Veriler'!$B$1:$R$30,30,0)</f>
        <v>15885025000</v>
      </c>
      <c r="D100" s="6">
        <f>HLOOKUP(D98,'Yıllıklandırılmış Veriler'!$B$1:$R$30,30,0)</f>
        <v>14551847000</v>
      </c>
      <c r="E100" s="6">
        <f>HLOOKUP(E98,'Yıllıklandırılmış Veriler'!$B$1:$R$30,30,0)</f>
        <v>16406372000</v>
      </c>
      <c r="F100" s="6">
        <f>HLOOKUP(F98,'Yıllıklandırılmış Veriler'!$B$1:$R$30,30,0)</f>
        <v>18051098000</v>
      </c>
      <c r="G100" s="6">
        <f>HLOOKUP(G98,'Yıllıklandırılmış Veriler'!$B$1:$R$30,30,0)</f>
        <v>19191612000</v>
      </c>
      <c r="H100" s="6">
        <f>HLOOKUP(H98,'Yıllıklandırılmış Veriler'!$B$1:$R$30,30,0)</f>
        <v>24071270000</v>
      </c>
      <c r="I100" s="6">
        <f>HLOOKUP(I98,'Yıllıklandırılmış Veriler'!$B$1:$R$30,30,0)</f>
        <v>24349179000</v>
      </c>
      <c r="J100" s="6">
        <f>HLOOKUP(J98,'Yıllıklandırılmış Veriler'!$B$1:$R$30,30,0)</f>
        <v>34195857000</v>
      </c>
      <c r="K100" s="6">
        <f>HLOOKUP(K98,'Yıllıklandırılmış Veriler'!$B$1:$R$30,30,0)</f>
        <v>29980116000</v>
      </c>
      <c r="L100" s="6">
        <f>HLOOKUP(L98,'Yıllıklandırılmış Veriler'!$B$1:$R$30,30,0)</f>
        <v>35629538000</v>
      </c>
      <c r="M100" s="6">
        <f>HLOOKUP(M98,'Yıllıklandırılmış Veriler'!$B$1:$R$30,30,0)</f>
        <v>42792853000</v>
      </c>
      <c r="N100" s="6">
        <f>HLOOKUP(N98,'Yıllıklandırılmış Veriler'!$B$1:$R$30,30,0)</f>
        <v>66380613000</v>
      </c>
      <c r="O100" s="6">
        <f>HLOOKUP(O98,'Yıllıklandırılmış Veriler'!$B$1:$R$30,30,0)</f>
        <v>82164417000</v>
      </c>
      <c r="P100" s="6">
        <f>HLOOKUP(P98,'Yıllıklandırılmış Veriler'!$B$1:$R$30,30,0)</f>
        <v>88504179000</v>
      </c>
      <c r="Q100" s="6">
        <f>HLOOKUP(Q98,'Yıllıklandırılmış Veriler'!$B$1:$R$30,30,0)</f>
        <v>96052247000</v>
      </c>
    </row>
    <row r="101" spans="1:17" x14ac:dyDescent="0.25">
      <c r="A101" s="2" t="s">
        <v>223</v>
      </c>
      <c r="F101" s="6">
        <f>(B100+F100)/2</f>
        <v>16639954000</v>
      </c>
      <c r="G101" s="6">
        <f t="shared" ref="G101:Q101" si="10">(C100+G100)/2</f>
        <v>17538318500</v>
      </c>
      <c r="H101" s="6">
        <f t="shared" si="10"/>
        <v>19311558500</v>
      </c>
      <c r="I101" s="6">
        <f t="shared" si="10"/>
        <v>20377775500</v>
      </c>
      <c r="J101" s="6">
        <f t="shared" si="10"/>
        <v>26123477500</v>
      </c>
      <c r="K101" s="6">
        <f t="shared" si="10"/>
        <v>24585864000</v>
      </c>
      <c r="L101" s="6">
        <f t="shared" si="10"/>
        <v>29850404000</v>
      </c>
      <c r="M101" s="6">
        <f t="shared" si="10"/>
        <v>33571016000</v>
      </c>
      <c r="N101" s="6">
        <f t="shared" si="10"/>
        <v>50288235000</v>
      </c>
      <c r="O101" s="6">
        <f t="shared" si="10"/>
        <v>56072266500</v>
      </c>
      <c r="P101" s="6">
        <f t="shared" si="10"/>
        <v>62066858500</v>
      </c>
      <c r="Q101" s="6">
        <f t="shared" si="10"/>
        <v>69422550000</v>
      </c>
    </row>
    <row r="102" spans="1:17" x14ac:dyDescent="0.25">
      <c r="A102" s="2" t="s">
        <v>224</v>
      </c>
      <c r="F102" s="29">
        <f>F99/F101</f>
        <v>2.3612791237283468</v>
      </c>
      <c r="G102" s="29">
        <f t="shared" ref="G102:Q102" si="11">G99/G101</f>
        <v>2.0465879896068713</v>
      </c>
      <c r="H102" s="29">
        <f t="shared" si="11"/>
        <v>2.0709091397258281</v>
      </c>
      <c r="I102" s="29">
        <f t="shared" si="11"/>
        <v>2.4267323486805514</v>
      </c>
      <c r="J102" s="29">
        <f t="shared" si="11"/>
        <v>2.1566401333819361</v>
      </c>
      <c r="K102" s="29">
        <f t="shared" si="11"/>
        <v>2.4869671450228474</v>
      </c>
      <c r="L102" s="29">
        <f t="shared" si="11"/>
        <v>2.2317522737715709</v>
      </c>
      <c r="M102" s="29">
        <f t="shared" si="11"/>
        <v>2.1179358408455675</v>
      </c>
      <c r="N102" s="29">
        <f t="shared" si="11"/>
        <v>1.6449879579189843</v>
      </c>
      <c r="O102" s="29">
        <f t="shared" si="11"/>
        <v>1.8733788833023184</v>
      </c>
      <c r="P102" s="29">
        <f t="shared" si="11"/>
        <v>2.1960390664850551</v>
      </c>
      <c r="Q102" s="29">
        <f t="shared" si="11"/>
        <v>2.474655598217006</v>
      </c>
    </row>
    <row r="121" spans="1:17" x14ac:dyDescent="0.25">
      <c r="B121" s="48" t="s">
        <v>221</v>
      </c>
      <c r="C121" s="48"/>
      <c r="D121" s="48"/>
      <c r="E121" s="48"/>
      <c r="F121" s="48"/>
      <c r="G121" s="48"/>
      <c r="H121" s="48"/>
      <c r="I121" s="48"/>
      <c r="J121" s="48"/>
      <c r="K121" s="48"/>
      <c r="L121" s="48"/>
      <c r="M121" s="48"/>
      <c r="N121" s="48"/>
      <c r="O121" s="48"/>
      <c r="P121" s="48"/>
      <c r="Q121" s="48"/>
    </row>
    <row r="122" spans="1:17" x14ac:dyDescent="0.25">
      <c r="B122" s="2" t="str">
        <f>INDEX(Froto!$B$1:$Q$1,COLUMNS(Froto!B$1:$Q113))</f>
        <v>2019/3</v>
      </c>
      <c r="C122" s="2" t="str">
        <f>INDEX(Froto!$B$1:$Q$1,COLUMNS(Froto!C$1:$Q113))</f>
        <v>2019/6</v>
      </c>
      <c r="D122" s="2" t="str">
        <f>INDEX(Froto!$B$1:$Q$1,COLUMNS(Froto!D$1:$Q113))</f>
        <v>2019/9</v>
      </c>
      <c r="E122" s="2" t="str">
        <f>INDEX(Froto!$B$1:$Q$1,COLUMNS(Froto!E$1:$Q113))</f>
        <v>2019/12</v>
      </c>
      <c r="F122" s="2" t="str">
        <f>INDEX(Froto!$B$1:$Q$1,COLUMNS(Froto!F$1:$Q113))</f>
        <v>2020/3</v>
      </c>
      <c r="G122" s="2" t="str">
        <f>INDEX(Froto!$B$1:$Q$1,COLUMNS(Froto!G$1:$Q113))</f>
        <v>2020/6</v>
      </c>
      <c r="H122" s="2" t="str">
        <f>INDEX(Froto!$B$1:$Q$1,COLUMNS(Froto!H$1:$Q113))</f>
        <v>2020/9</v>
      </c>
      <c r="I122" s="2" t="str">
        <f>INDEX(Froto!$B$1:$Q$1,COLUMNS(Froto!I$1:$Q113))</f>
        <v>2020/12</v>
      </c>
      <c r="J122" s="2" t="str">
        <f>INDEX(Froto!$B$1:$Q$1,COLUMNS(Froto!J$1:$Q113))</f>
        <v>2021/3</v>
      </c>
      <c r="K122" s="2" t="str">
        <f>INDEX(Froto!$B$1:$Q$1,COLUMNS(Froto!K$1:$Q113))</f>
        <v>2021/6</v>
      </c>
      <c r="L122" s="2" t="str">
        <f>INDEX(Froto!$B$1:$Q$1,COLUMNS(Froto!L$1:$Q113))</f>
        <v>2021/9</v>
      </c>
      <c r="M122" s="2" t="str">
        <f>INDEX(Froto!$B$1:$Q$1,COLUMNS(Froto!M$1:$Q113))</f>
        <v>2021/12</v>
      </c>
      <c r="N122" s="2" t="str">
        <f>INDEX(Froto!$B$1:$Q$1,COLUMNS(Froto!N$1:$Q113))</f>
        <v>2022/3</v>
      </c>
      <c r="O122" s="2" t="str">
        <f>INDEX(Froto!$B$1:$Q$1,COLUMNS(Froto!O$1:$Q113))</f>
        <v>2022/6</v>
      </c>
      <c r="P122" s="2" t="str">
        <f>INDEX(Froto!$B$1:$Q$1,COLUMNS(Froto!P$1:$Q113))</f>
        <v>2022/9</v>
      </c>
      <c r="Q122" s="2" t="str">
        <f>INDEX(Froto!$B$1:$Q$1,COLUMNS(Froto!Q$1:$Q113))</f>
        <v>2022/12</v>
      </c>
    </row>
    <row r="123" spans="1:17" x14ac:dyDescent="0.25">
      <c r="A123" s="2" t="s">
        <v>78</v>
      </c>
      <c r="B123" s="6">
        <f>HLOOKUP(B122,'Yıllıklandırılmış Veriler'!$B$1:$R$74,74,0)</f>
        <v>35294072000</v>
      </c>
      <c r="C123" s="6">
        <f>HLOOKUP(C122,'Yıllıklandırılmış Veriler'!$B$1:$R$74,74,0)</f>
        <v>36228894000</v>
      </c>
      <c r="D123" s="6">
        <f>HLOOKUP(D122,'Yıllıklandırılmış Veriler'!$B$1:$R$74,74,0)</f>
        <v>37754372000</v>
      </c>
      <c r="E123" s="6">
        <f>HLOOKUP(E122,'Yıllıklandırılmış Veriler'!$B$1:$R$74,74,0)</f>
        <v>39209019000</v>
      </c>
      <c r="F123" s="6">
        <f>HLOOKUP(F122,'Yıllıklandırılmış Veriler'!$B$1:$R$74,74,0)</f>
        <v>39291576000</v>
      </c>
      <c r="G123" s="6">
        <f>HLOOKUP(G122,'Yıllıklandırılmış Veriler'!$B$1:$R$74,74,0)</f>
        <v>35893712000</v>
      </c>
      <c r="H123" s="6">
        <f>HLOOKUP(H122,'Yıllıklandırılmış Veriler'!$B$1:$R$74,74,0)</f>
        <v>39992483000</v>
      </c>
      <c r="I123" s="6">
        <f>HLOOKUP(I122,'Yıllıklandırılmış Veriler'!$B$1:$R$74,74,0)</f>
        <v>49451407000</v>
      </c>
      <c r="J123" s="6">
        <f>HLOOKUP(J122,'Yıllıklandırılmış Veriler'!$B$1:$R$74,74,0)</f>
        <v>56338940000</v>
      </c>
      <c r="K123" s="6">
        <f>HLOOKUP(K122,'Yıllıklandırılmış Veriler'!$B$1:$R$74,74,0)</f>
        <v>61144236000</v>
      </c>
      <c r="L123" s="6">
        <f>HLOOKUP(L122,'Yıllıklandırılmış Veriler'!$B$1:$R$74,74,0)</f>
        <v>66618707000</v>
      </c>
      <c r="M123" s="6">
        <f>HLOOKUP(M122,'Yıllıklandırılmış Veriler'!$B$1:$R$74,74,0)</f>
        <v>71101258000</v>
      </c>
      <c r="N123" s="6">
        <f>HLOOKUP(N122,'Yıllıklandırılmış Veriler'!$B$1:$R$74,74,0)</f>
        <v>82723541000</v>
      </c>
      <c r="O123" s="6">
        <f>HLOOKUP(O122,'Yıllıklandırılmış Veriler'!$B$1:$R$74,74,0)</f>
        <v>105044600000</v>
      </c>
      <c r="P123" s="6">
        <f>HLOOKUP(P122,'Yıllıklandırılmış Veriler'!$B$1:$R$74,74,0)</f>
        <v>136301246000</v>
      </c>
      <c r="Q123" s="6">
        <f>HLOOKUP(Q122,'Yıllıklandırılmış Veriler'!$B$1:$R$74,74,0)</f>
        <v>171796902000</v>
      </c>
    </row>
    <row r="124" spans="1:17" x14ac:dyDescent="0.25">
      <c r="A124" s="2" t="s">
        <v>197</v>
      </c>
      <c r="B124" s="6">
        <f>HLOOKUP(B122,'Yıllıklandırılmış Veriler'!$B$1:$R$59,59,0)</f>
        <v>4157089000</v>
      </c>
      <c r="C124" s="6">
        <f>HLOOKUP(C122,'Yıllıklandırılmış Veriler'!$B$1:$R$59,59,0)</f>
        <v>4245015000</v>
      </c>
      <c r="D124" s="6">
        <f>HLOOKUP(D122,'Yıllıklandırılmış Veriler'!$B$1:$R$59,59,0)</f>
        <v>5090567000</v>
      </c>
      <c r="E124" s="6">
        <f>HLOOKUP(E122,'Yıllıklandırılmış Veriler'!$B$1:$R$59,59,0)</f>
        <v>4664921000</v>
      </c>
      <c r="F124" s="6">
        <f>HLOOKUP(F122,'Yıllıklandırılmış Veriler'!$B$1:$R$59,59,0)</f>
        <v>5190941000</v>
      </c>
      <c r="G124" s="6">
        <f>HLOOKUP(G122,'Yıllıklandırılmış Veriler'!$B$1:$R$59,59,0)</f>
        <v>4861828000</v>
      </c>
      <c r="H124" s="6">
        <f>HLOOKUP(H122,'Yıllıklandırılmış Veriler'!$B$1:$R$59,59,0)</f>
        <v>4820299000</v>
      </c>
      <c r="I124" s="6">
        <f>HLOOKUP(I122,'Yıllıklandırılmış Veriler'!$B$1:$R$59,59,0)</f>
        <v>7043902000</v>
      </c>
      <c r="J124" s="6">
        <f>HLOOKUP(J122,'Yıllıklandırılmış Veriler'!$B$1:$R$59,59,0)</f>
        <v>9074969000</v>
      </c>
      <c r="K124" s="6">
        <f>HLOOKUP(K122,'Yıllıklandırılmış Veriler'!$B$1:$R$59,59,0)</f>
        <v>9869822000</v>
      </c>
      <c r="L124" s="6">
        <f>HLOOKUP(L122,'Yıllıklandırılmış Veriler'!$B$1:$R$59,59,0)</f>
        <v>11274937000</v>
      </c>
      <c r="M124" s="6">
        <f>HLOOKUP(M122,'Yıllıklandırılmış Veriler'!$B$1:$R$59,59,0)</f>
        <v>10148538000</v>
      </c>
      <c r="N124" s="6">
        <f>HLOOKUP(N122,'Yıllıklandırılmış Veriler'!$B$1:$R$59,59,0)</f>
        <v>12395269000</v>
      </c>
      <c r="O124" s="6">
        <f>HLOOKUP(O122,'Yıllıklandırılmış Veriler'!$B$1:$R$59,59,0)</f>
        <v>14841384000</v>
      </c>
      <c r="P124" s="6">
        <f>HLOOKUP(P122,'Yıllıklandırılmış Veriler'!$B$1:$R$59,59,0)</f>
        <v>16783433000</v>
      </c>
      <c r="Q124" s="6">
        <f>HLOOKUP(Q122,'Yıllıklandırılmış Veriler'!$B$1:$R$59,59,0)</f>
        <v>21402174000</v>
      </c>
    </row>
    <row r="125" spans="1:17" x14ac:dyDescent="0.25">
      <c r="A125" s="2" t="s">
        <v>225</v>
      </c>
      <c r="F125" s="6">
        <f>(B124+F124)/2</f>
        <v>4674015000</v>
      </c>
      <c r="G125" s="6">
        <f t="shared" ref="G125:Q125" si="12">(C124+G124)/2</f>
        <v>4553421500</v>
      </c>
      <c r="H125" s="6">
        <f t="shared" si="12"/>
        <v>4955433000</v>
      </c>
      <c r="I125" s="6">
        <f t="shared" si="12"/>
        <v>5854411500</v>
      </c>
      <c r="J125" s="6">
        <f t="shared" si="12"/>
        <v>7132955000</v>
      </c>
      <c r="K125" s="6">
        <f t="shared" si="12"/>
        <v>7365825000</v>
      </c>
      <c r="L125" s="6">
        <f t="shared" si="12"/>
        <v>8047618000</v>
      </c>
      <c r="M125" s="6">
        <f t="shared" si="12"/>
        <v>8596220000</v>
      </c>
      <c r="N125" s="6">
        <f t="shared" si="12"/>
        <v>10735119000</v>
      </c>
      <c r="O125" s="6">
        <f t="shared" si="12"/>
        <v>12355603000</v>
      </c>
      <c r="P125" s="6">
        <f t="shared" si="12"/>
        <v>14029185000</v>
      </c>
      <c r="Q125" s="6">
        <f t="shared" si="12"/>
        <v>15775356000</v>
      </c>
    </row>
    <row r="126" spans="1:17" x14ac:dyDescent="0.25">
      <c r="F126" s="29">
        <f>F123/F125</f>
        <v>8.4063863723158789</v>
      </c>
      <c r="G126" s="29">
        <f t="shared" ref="G126:Q126" si="13">G123/G125</f>
        <v>7.8828002195711511</v>
      </c>
      <c r="H126" s="29">
        <f t="shared" si="13"/>
        <v>8.0704315848887482</v>
      </c>
      <c r="I126" s="29">
        <f t="shared" si="13"/>
        <v>8.4468621653944211</v>
      </c>
      <c r="J126" s="29">
        <f t="shared" si="13"/>
        <v>7.8984011535191234</v>
      </c>
      <c r="K126" s="29">
        <f t="shared" si="13"/>
        <v>8.3010709594648251</v>
      </c>
      <c r="L126" s="29">
        <f t="shared" si="13"/>
        <v>8.2780652610499157</v>
      </c>
      <c r="M126" s="29">
        <f t="shared" si="13"/>
        <v>8.2712236308517006</v>
      </c>
      <c r="N126" s="29">
        <f t="shared" si="13"/>
        <v>7.7058802049609323</v>
      </c>
      <c r="O126" s="29">
        <f t="shared" si="13"/>
        <v>8.501778504861317</v>
      </c>
      <c r="P126" s="29">
        <f t="shared" si="13"/>
        <v>9.7155498341493107</v>
      </c>
      <c r="Q126" s="29">
        <f t="shared" si="13"/>
        <v>10.890207612430427</v>
      </c>
    </row>
    <row r="146" spans="2:8" x14ac:dyDescent="0.25">
      <c r="C146" s="50" t="s">
        <v>253</v>
      </c>
      <c r="D146" s="50"/>
      <c r="E146" s="50"/>
      <c r="F146" s="51" t="s">
        <v>175</v>
      </c>
      <c r="G146" s="51"/>
      <c r="H146" s="51"/>
    </row>
    <row r="147" spans="2:8" x14ac:dyDescent="0.25">
      <c r="C147">
        <v>2019</v>
      </c>
      <c r="D147">
        <v>2020</v>
      </c>
      <c r="E147">
        <v>2021</v>
      </c>
      <c r="F147">
        <v>2019</v>
      </c>
      <c r="G147">
        <v>2020</v>
      </c>
      <c r="H147">
        <v>2021</v>
      </c>
    </row>
    <row r="148" spans="2:8" x14ac:dyDescent="0.25">
      <c r="B148" s="2" t="s">
        <v>254</v>
      </c>
      <c r="C148">
        <v>11.1</v>
      </c>
      <c r="D148">
        <v>11.1</v>
      </c>
      <c r="E148">
        <v>9.1999999999999993</v>
      </c>
      <c r="G148" s="29">
        <f>I14</f>
        <v>20.234053449105588</v>
      </c>
      <c r="H148" s="29">
        <f>M14</f>
        <v>15.533658299203625</v>
      </c>
    </row>
    <row r="149" spans="2:8" x14ac:dyDescent="0.25">
      <c r="B149" s="2" t="s">
        <v>209</v>
      </c>
      <c r="C149" s="29">
        <f>360/C148</f>
        <v>32.432432432432435</v>
      </c>
      <c r="D149" s="29">
        <f>360/D148</f>
        <v>32.432432432432435</v>
      </c>
      <c r="E149" s="29">
        <f>360/E148</f>
        <v>39.130434782608695</v>
      </c>
    </row>
    <row r="150" spans="2:8" x14ac:dyDescent="0.25">
      <c r="B150" s="2" t="s">
        <v>211</v>
      </c>
      <c r="C150">
        <v>7.6</v>
      </c>
      <c r="D150">
        <v>6.7</v>
      </c>
      <c r="E150">
        <v>5.5</v>
      </c>
    </row>
    <row r="151" spans="2:8" x14ac:dyDescent="0.25">
      <c r="B151" s="2" t="s">
        <v>255</v>
      </c>
      <c r="C151" s="29">
        <f>360/C150</f>
        <v>47.368421052631582</v>
      </c>
      <c r="D151" s="29">
        <f>360/D150</f>
        <v>53.731343283582085</v>
      </c>
      <c r="E151" s="29">
        <f>360/E150</f>
        <v>65.454545454545453</v>
      </c>
    </row>
    <row r="152" spans="2:8" x14ac:dyDescent="0.25">
      <c r="B152" s="2" t="s">
        <v>224</v>
      </c>
      <c r="C152">
        <v>1.7</v>
      </c>
      <c r="D152">
        <v>1.5</v>
      </c>
      <c r="E152">
        <v>1.4</v>
      </c>
    </row>
  </sheetData>
  <mergeCells count="8">
    <mergeCell ref="B121:Q121"/>
    <mergeCell ref="C146:E146"/>
    <mergeCell ref="F146:H146"/>
    <mergeCell ref="B9:M9"/>
    <mergeCell ref="B31:Q31"/>
    <mergeCell ref="B53:Q53"/>
    <mergeCell ref="B75:Q75"/>
    <mergeCell ref="B97:Q9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17</vt:i4>
      </vt:variant>
    </vt:vector>
  </HeadingPairs>
  <TitlesOfParts>
    <vt:vector size="17" baseType="lpstr">
      <vt:lpstr>Froto</vt:lpstr>
      <vt:lpstr>Toaso</vt:lpstr>
      <vt:lpstr>Dikey Analiz</vt:lpstr>
      <vt:lpstr>Yatay Analiz</vt:lpstr>
      <vt:lpstr>Trend Analizi</vt:lpstr>
      <vt:lpstr>Çeyreklik Veriler</vt:lpstr>
      <vt:lpstr>Yıllıklandırılmış Veriler</vt:lpstr>
      <vt:lpstr>Likitide ve Kaldıraç Oranları</vt:lpstr>
      <vt:lpstr>Faliyet Oranları</vt:lpstr>
      <vt:lpstr>Karlılık Oranları</vt:lpstr>
      <vt:lpstr>Büyüme Oranları</vt:lpstr>
      <vt:lpstr>Finansal Performansın Ölçümü</vt:lpstr>
      <vt:lpstr>Maliyet Etkinliği</vt:lpstr>
      <vt:lpstr>Dupond Analizi</vt:lpstr>
      <vt:lpstr>Nakit Akış Analizi</vt:lpstr>
      <vt:lpstr>Değerleme</vt:lpstr>
      <vt:lpstr>Fiyatlar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okand</dc:creator>
  <cp:lastModifiedBy>okand</cp:lastModifiedBy>
  <dcterms:created xsi:type="dcterms:W3CDTF">2015-06-05T18:19:34Z</dcterms:created>
  <dcterms:modified xsi:type="dcterms:W3CDTF">2023-04-17T12:43:47Z</dcterms:modified>
</cp:coreProperties>
</file>