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okand\Desktop\github\Mali Tablolar Analizi - Bütçe ve Raporlama\"/>
    </mc:Choice>
  </mc:AlternateContent>
  <xr:revisionPtr revIDLastSave="0" documentId="13_ncr:1_{D7C7DA3C-7DB0-4890-B97B-F73A13C3A253}" xr6:coauthVersionLast="47" xr6:coauthVersionMax="47" xr10:uidLastSave="{00000000-0000-0000-0000-000000000000}"/>
  <bookViews>
    <workbookView xWindow="-120" yWindow="-120" windowWidth="20730" windowHeight="11160" xr2:uid="{00000000-000D-0000-FFFF-FFFF00000000}"/>
  </bookViews>
  <sheets>
    <sheet name="Genel Bilgiler" sheetId="1" r:id="rId1"/>
    <sheet name="Satış Bütçesi" sheetId="2" r:id="rId2"/>
    <sheet name="Üretim Bütçesi" sheetId="3" r:id="rId3"/>
    <sheet name="Satılan Malın Maliyeti Bütçesi" sheetId="4" r:id="rId4"/>
    <sheet name="Faaliyet Giderleri Bütçesi" sheetId="5" r:id="rId5"/>
    <sheet name="Bütçelenmiş Gelir Tablosu" sheetId="6" r:id="rId6"/>
    <sheet name="Yatırım Bütçesi" sheetId="7" r:id="rId7"/>
    <sheet name="Nakit Bütçesi" sheetId="8" r:id="rId8"/>
    <sheet name="Bütçelenmiş Bilanço" sheetId="9" r:id="rId9"/>
    <sheet name="Satış Kontrol Raporu" sheetId="10" r:id="rId10"/>
    <sheet name="Maliyet Başarı Değerlemesi" sheetId="11" r:id="rId11"/>
    <sheet name="Kar Başarı Değerlemesi" sheetId="12"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2" l="1"/>
  <c r="E30" i="12"/>
  <c r="C30" i="12"/>
  <c r="D29" i="12"/>
  <c r="B29" i="12"/>
  <c r="E28" i="12"/>
  <c r="C28" i="12"/>
  <c r="F25" i="12"/>
  <c r="E25" i="12"/>
  <c r="D24" i="12"/>
  <c r="D23" i="12"/>
  <c r="D22" i="12"/>
  <c r="C25" i="12"/>
  <c r="F21" i="12"/>
  <c r="E21" i="12"/>
  <c r="C21" i="12"/>
  <c r="F20" i="12"/>
  <c r="E20" i="12"/>
  <c r="C20" i="12"/>
  <c r="F19" i="12"/>
  <c r="F18" i="12"/>
  <c r="F17" i="12"/>
  <c r="D19" i="12"/>
  <c r="D18" i="12"/>
  <c r="E17" i="12"/>
  <c r="C17" i="12"/>
  <c r="F13" i="12"/>
  <c r="F14" i="12"/>
  <c r="F15" i="12"/>
  <c r="F16" i="12"/>
  <c r="F12" i="12"/>
  <c r="F11" i="12"/>
  <c r="E11" i="12"/>
  <c r="D16" i="12"/>
  <c r="D15" i="12"/>
  <c r="D13" i="12"/>
  <c r="D14" i="12"/>
  <c r="D12" i="12"/>
  <c r="C11" i="12"/>
  <c r="B13" i="12"/>
  <c r="B14" i="12"/>
  <c r="B12" i="12"/>
  <c r="F9" i="12"/>
  <c r="F10" i="12"/>
  <c r="F8" i="12"/>
  <c r="F7" i="12"/>
  <c r="E7" i="12"/>
  <c r="D9" i="12"/>
  <c r="D10" i="12"/>
  <c r="D8" i="12"/>
  <c r="C7" i="12"/>
  <c r="B9" i="12"/>
  <c r="B10" i="12"/>
  <c r="B8" i="12"/>
  <c r="E28" i="11"/>
  <c r="E27" i="11"/>
  <c r="E26" i="11"/>
  <c r="E25" i="11"/>
  <c r="E23" i="11"/>
  <c r="E22" i="11"/>
  <c r="D28" i="11"/>
  <c r="D27" i="11"/>
  <c r="D26" i="11"/>
  <c r="D25" i="11"/>
  <c r="D23" i="11"/>
  <c r="D22" i="11"/>
  <c r="C28" i="11"/>
  <c r="B28" i="11"/>
  <c r="H13" i="11"/>
  <c r="I11" i="11"/>
  <c r="J11" i="11" s="1"/>
  <c r="I12" i="11"/>
  <c r="J12" i="11" s="1"/>
  <c r="I10" i="11"/>
  <c r="D11" i="11"/>
  <c r="D12" i="11"/>
  <c r="D13" i="11"/>
  <c r="D14" i="11"/>
  <c r="D10" i="11"/>
  <c r="B15" i="11"/>
  <c r="C15" i="11"/>
  <c r="D15" i="11" l="1"/>
  <c r="I13" i="11"/>
  <c r="J10" i="11"/>
  <c r="J13" i="11" s="1"/>
  <c r="E29" i="10" l="1"/>
  <c r="E30" i="10"/>
  <c r="E31" i="10"/>
  <c r="E28" i="10"/>
  <c r="D29" i="10"/>
  <c r="D30" i="10"/>
  <c r="D31" i="10"/>
  <c r="D28" i="10"/>
  <c r="C32" i="10"/>
  <c r="C29" i="10"/>
  <c r="C30" i="10"/>
  <c r="C31" i="10"/>
  <c r="C28" i="10"/>
  <c r="B32" i="10"/>
  <c r="B29" i="10"/>
  <c r="B30" i="10"/>
  <c r="B31" i="10"/>
  <c r="B28" i="10"/>
  <c r="C20" i="10"/>
  <c r="C19" i="10"/>
  <c r="C18" i="10"/>
  <c r="C17" i="10"/>
  <c r="L21" i="10"/>
  <c r="L22" i="10"/>
  <c r="L23" i="10"/>
  <c r="L24" i="10"/>
  <c r="L25" i="10"/>
  <c r="L26" i="10"/>
  <c r="L27" i="10"/>
  <c r="L28" i="10"/>
  <c r="L29" i="10"/>
  <c r="L30" i="10"/>
  <c r="L20" i="10"/>
  <c r="K22" i="10"/>
  <c r="K23" i="10"/>
  <c r="K24" i="10"/>
  <c r="K25" i="10"/>
  <c r="K26" i="10"/>
  <c r="K27" i="10"/>
  <c r="K28" i="10"/>
  <c r="K29" i="10"/>
  <c r="K30" i="10"/>
  <c r="K21" i="10"/>
  <c r="K20" i="10"/>
  <c r="J31" i="10"/>
  <c r="J20" i="10"/>
  <c r="J21" i="10"/>
  <c r="J22" i="10"/>
  <c r="J23" i="10"/>
  <c r="J24" i="10"/>
  <c r="J25" i="10"/>
  <c r="J26" i="10"/>
  <c r="J27" i="10"/>
  <c r="J28" i="10"/>
  <c r="J29" i="10"/>
  <c r="J30" i="10"/>
  <c r="J19" i="10"/>
  <c r="I31" i="10"/>
  <c r="C21" i="10"/>
  <c r="D18" i="10"/>
  <c r="D19" i="10"/>
  <c r="D20" i="10"/>
  <c r="D17" i="10"/>
  <c r="E21" i="10"/>
  <c r="E18" i="10"/>
  <c r="E19" i="10"/>
  <c r="E20" i="10"/>
  <c r="E17" i="10"/>
  <c r="C8" i="10"/>
  <c r="D8" i="10" s="1"/>
  <c r="C9" i="10"/>
  <c r="D9" i="10" s="1"/>
  <c r="C7" i="10"/>
  <c r="B10" i="10"/>
  <c r="C37" i="9"/>
  <c r="C36" i="9"/>
  <c r="C35" i="9"/>
  <c r="C34" i="9"/>
  <c r="C33" i="9"/>
  <c r="C32" i="9"/>
  <c r="C31" i="9"/>
  <c r="C30" i="9"/>
  <c r="C29" i="9"/>
  <c r="C26" i="9"/>
  <c r="C24" i="9"/>
  <c r="C22" i="9"/>
  <c r="C19" i="9"/>
  <c r="C18" i="9"/>
  <c r="C17" i="9"/>
  <c r="C16" i="9"/>
  <c r="C15" i="9"/>
  <c r="M9" i="9"/>
  <c r="M8" i="9"/>
  <c r="M10" i="9" s="1"/>
  <c r="F10" i="9"/>
  <c r="F9" i="9"/>
  <c r="F8" i="9"/>
  <c r="C69" i="8"/>
  <c r="D69" i="8"/>
  <c r="E69" i="8"/>
  <c r="F69" i="8"/>
  <c r="B69" i="8"/>
  <c r="C68" i="8"/>
  <c r="D68" i="8"/>
  <c r="E68" i="8"/>
  <c r="F68" i="8"/>
  <c r="B68" i="8"/>
  <c r="F52" i="8"/>
  <c r="C52" i="8"/>
  <c r="D52" i="8"/>
  <c r="E52" i="8"/>
  <c r="B52" i="8"/>
  <c r="F63" i="8"/>
  <c r="F64" i="8"/>
  <c r="F65" i="8"/>
  <c r="F66" i="8"/>
  <c r="F67" i="8"/>
  <c r="E64" i="8"/>
  <c r="E65" i="8"/>
  <c r="E66" i="8"/>
  <c r="E67" i="8"/>
  <c r="D64" i="8"/>
  <c r="D65" i="8"/>
  <c r="D66" i="8"/>
  <c r="D67" i="8"/>
  <c r="C64" i="8"/>
  <c r="C65" i="8"/>
  <c r="C66" i="8"/>
  <c r="C67" i="8"/>
  <c r="B64" i="8"/>
  <c r="B65" i="8"/>
  <c r="B66" i="8"/>
  <c r="B67" i="8"/>
  <c r="C63" i="8"/>
  <c r="D63" i="8"/>
  <c r="E63" i="8"/>
  <c r="B63" i="8"/>
  <c r="F62" i="8"/>
  <c r="C62" i="8"/>
  <c r="D62" i="8"/>
  <c r="E62" i="8"/>
  <c r="B62" i="8"/>
  <c r="F61" i="8"/>
  <c r="C61" i="8"/>
  <c r="D61" i="8"/>
  <c r="E61" i="8"/>
  <c r="B61" i="8"/>
  <c r="F60" i="8"/>
  <c r="C60" i="8"/>
  <c r="D60" i="8"/>
  <c r="E60" i="8"/>
  <c r="B60" i="8"/>
  <c r="F59" i="8"/>
  <c r="C59" i="8"/>
  <c r="D59" i="8"/>
  <c r="E59" i="8"/>
  <c r="B59" i="8"/>
  <c r="F55" i="8"/>
  <c r="F56" i="8"/>
  <c r="F57" i="8"/>
  <c r="F53" i="8"/>
  <c r="E55" i="8"/>
  <c r="E56" i="8"/>
  <c r="E57" i="8"/>
  <c r="D55" i="8"/>
  <c r="D56" i="8"/>
  <c r="D57" i="8"/>
  <c r="C55" i="8"/>
  <c r="C56" i="8"/>
  <c r="C57" i="8"/>
  <c r="B55" i="8"/>
  <c r="B56" i="8"/>
  <c r="B57" i="8"/>
  <c r="C53" i="8"/>
  <c r="D53" i="8"/>
  <c r="E53" i="8"/>
  <c r="B53" i="8"/>
  <c r="C44" i="8"/>
  <c r="D44" i="8"/>
  <c r="E44" i="8"/>
  <c r="F44" i="8"/>
  <c r="B44" i="8"/>
  <c r="C51" i="8"/>
  <c r="D51" i="8"/>
  <c r="E51" i="8"/>
  <c r="B51" i="8"/>
  <c r="F47" i="8"/>
  <c r="F48" i="8"/>
  <c r="F49" i="8"/>
  <c r="F45" i="8"/>
  <c r="E47" i="8"/>
  <c r="E48" i="8"/>
  <c r="E49" i="8"/>
  <c r="D47" i="8"/>
  <c r="D48" i="8"/>
  <c r="D49" i="8"/>
  <c r="C47" i="8"/>
  <c r="C48" i="8"/>
  <c r="C49" i="8"/>
  <c r="B47" i="8"/>
  <c r="B48" i="8"/>
  <c r="B49" i="8"/>
  <c r="C45" i="8"/>
  <c r="D45" i="8"/>
  <c r="E45" i="8"/>
  <c r="B45" i="8"/>
  <c r="F43" i="8"/>
  <c r="C39" i="8"/>
  <c r="D39" i="8"/>
  <c r="E39" i="8"/>
  <c r="B39" i="8"/>
  <c r="F35" i="8"/>
  <c r="F39" i="8" s="1"/>
  <c r="F36" i="8"/>
  <c r="F37" i="8"/>
  <c r="F38" i="8"/>
  <c r="F34" i="8"/>
  <c r="J30" i="8"/>
  <c r="K30" i="8"/>
  <c r="L30" i="8"/>
  <c r="M30" i="8"/>
  <c r="I30" i="8"/>
  <c r="M29" i="8"/>
  <c r="J29" i="8"/>
  <c r="K29" i="8"/>
  <c r="L29" i="8"/>
  <c r="I29" i="8"/>
  <c r="J28" i="8"/>
  <c r="K28" i="8"/>
  <c r="L28" i="8"/>
  <c r="I28" i="8"/>
  <c r="M28" i="8"/>
  <c r="J26" i="8"/>
  <c r="K26" i="8"/>
  <c r="L26" i="8"/>
  <c r="M26" i="8"/>
  <c r="I26" i="8"/>
  <c r="M25" i="8"/>
  <c r="J25" i="8"/>
  <c r="K25" i="8"/>
  <c r="L25" i="8"/>
  <c r="I25" i="8"/>
  <c r="J24" i="8"/>
  <c r="K24" i="8"/>
  <c r="L24" i="8"/>
  <c r="I24" i="8"/>
  <c r="M24" i="8"/>
  <c r="C28" i="8"/>
  <c r="D28" i="8"/>
  <c r="E28" i="8"/>
  <c r="F28" i="8"/>
  <c r="B28" i="8"/>
  <c r="F27" i="8"/>
  <c r="C27" i="8"/>
  <c r="D27" i="8"/>
  <c r="E27" i="8"/>
  <c r="B27" i="8"/>
  <c r="C26" i="8"/>
  <c r="D26" i="8"/>
  <c r="E26" i="8"/>
  <c r="F26" i="8"/>
  <c r="B26" i="8"/>
  <c r="F25" i="8"/>
  <c r="C24" i="8"/>
  <c r="D24" i="8"/>
  <c r="E24" i="8"/>
  <c r="B24" i="8"/>
  <c r="F24" i="8"/>
  <c r="C16" i="8"/>
  <c r="I15" i="8" s="1"/>
  <c r="B16" i="8"/>
  <c r="E16" i="8" s="1"/>
  <c r="K18" i="8" s="1"/>
  <c r="B17" i="8"/>
  <c r="C17" i="8" s="1"/>
  <c r="J15" i="8" s="1"/>
  <c r="B18" i="8"/>
  <c r="D18" i="8" s="1"/>
  <c r="B15" i="8"/>
  <c r="E15" i="8" s="1"/>
  <c r="J17" i="8" s="1"/>
  <c r="B5" i="8"/>
  <c r="E5" i="8" s="1"/>
  <c r="J7" i="8" s="1"/>
  <c r="D8" i="8"/>
  <c r="B6" i="8"/>
  <c r="D6" i="8" s="1"/>
  <c r="J8" i="8" s="1"/>
  <c r="B7" i="8"/>
  <c r="D7" i="8" s="1"/>
  <c r="K9" i="8" s="1"/>
  <c r="L9" i="8" s="1"/>
  <c r="B8" i="8"/>
  <c r="E8" i="8" s="1"/>
  <c r="C6" i="7"/>
  <c r="D6" i="7"/>
  <c r="E6" i="7"/>
  <c r="F6" i="7"/>
  <c r="B6" i="7"/>
  <c r="F5" i="7"/>
  <c r="F4" i="7"/>
  <c r="C18" i="6"/>
  <c r="D18" i="6"/>
  <c r="E18" i="6"/>
  <c r="F18" i="6"/>
  <c r="B18" i="6"/>
  <c r="C17" i="6"/>
  <c r="D17" i="6"/>
  <c r="E17" i="6"/>
  <c r="F17" i="6"/>
  <c r="B17" i="6"/>
  <c r="C16" i="6"/>
  <c r="D16" i="6"/>
  <c r="E16" i="6"/>
  <c r="F16" i="6"/>
  <c r="B16" i="6"/>
  <c r="C13" i="6"/>
  <c r="D13" i="6"/>
  <c r="E13" i="6"/>
  <c r="F13" i="6"/>
  <c r="B13" i="6"/>
  <c r="F12" i="6"/>
  <c r="B12" i="6"/>
  <c r="F10" i="6"/>
  <c r="F9" i="6"/>
  <c r="C10" i="6"/>
  <c r="D10" i="6"/>
  <c r="E10" i="6"/>
  <c r="B10" i="6"/>
  <c r="C9" i="6"/>
  <c r="D9" i="6"/>
  <c r="E9" i="6"/>
  <c r="B9" i="6"/>
  <c r="F8" i="6"/>
  <c r="C8" i="6"/>
  <c r="D8" i="6"/>
  <c r="E8" i="6"/>
  <c r="B8" i="6"/>
  <c r="F7" i="6"/>
  <c r="C7" i="6"/>
  <c r="D7" i="6"/>
  <c r="E7" i="6"/>
  <c r="B7" i="6"/>
  <c r="C6" i="6"/>
  <c r="D6" i="6"/>
  <c r="E6" i="6"/>
  <c r="F6" i="6"/>
  <c r="B6" i="6"/>
  <c r="F5" i="6"/>
  <c r="C5" i="6"/>
  <c r="D5" i="6"/>
  <c r="E5" i="6"/>
  <c r="B5" i="6"/>
  <c r="F4" i="6"/>
  <c r="C4" i="6"/>
  <c r="D4" i="6"/>
  <c r="E4" i="6"/>
  <c r="B4" i="6"/>
  <c r="J16" i="5"/>
  <c r="K16" i="5"/>
  <c r="L16" i="5"/>
  <c r="M16" i="5"/>
  <c r="I16" i="5"/>
  <c r="J15" i="5"/>
  <c r="K15" i="5"/>
  <c r="L15" i="5"/>
  <c r="M15" i="5"/>
  <c r="I15" i="5"/>
  <c r="J14" i="5"/>
  <c r="K14" i="5"/>
  <c r="L14" i="5"/>
  <c r="M14" i="5"/>
  <c r="I14" i="5"/>
  <c r="J13" i="5"/>
  <c r="K13" i="5"/>
  <c r="L13" i="5"/>
  <c r="I13" i="5"/>
  <c r="M13" i="5"/>
  <c r="J11" i="5"/>
  <c r="K11" i="5"/>
  <c r="L11" i="5"/>
  <c r="M11" i="5"/>
  <c r="I11" i="5"/>
  <c r="J10" i="5"/>
  <c r="K10" i="5"/>
  <c r="L10" i="5"/>
  <c r="M10" i="5"/>
  <c r="I10" i="5"/>
  <c r="J9" i="5"/>
  <c r="K9" i="5"/>
  <c r="L9" i="5"/>
  <c r="I9" i="5"/>
  <c r="M9" i="5"/>
  <c r="J7" i="5"/>
  <c r="K7" i="5"/>
  <c r="L7" i="5"/>
  <c r="M7" i="5"/>
  <c r="I7" i="5"/>
  <c r="J6" i="5"/>
  <c r="K6" i="5"/>
  <c r="L6" i="5"/>
  <c r="M6" i="5"/>
  <c r="I6" i="5"/>
  <c r="J5" i="5"/>
  <c r="K5" i="5"/>
  <c r="L5" i="5"/>
  <c r="I5" i="5"/>
  <c r="M5" i="5"/>
  <c r="C14" i="5"/>
  <c r="D14" i="5"/>
  <c r="E14" i="5"/>
  <c r="F14" i="5"/>
  <c r="B14" i="5"/>
  <c r="F13" i="5"/>
  <c r="F15" i="5" s="1"/>
  <c r="F11" i="5"/>
  <c r="C10" i="5"/>
  <c r="D10" i="5"/>
  <c r="E10" i="5"/>
  <c r="F10" i="5"/>
  <c r="B10" i="5"/>
  <c r="D9" i="5"/>
  <c r="D11" i="5" s="1"/>
  <c r="F9" i="5"/>
  <c r="E9" i="5" s="1"/>
  <c r="E11" i="5" s="1"/>
  <c r="E6" i="5"/>
  <c r="D6" i="5"/>
  <c r="C6" i="5"/>
  <c r="B6" i="5"/>
  <c r="F6" i="5"/>
  <c r="D5" i="5"/>
  <c r="D7" i="5" s="1"/>
  <c r="E5" i="5"/>
  <c r="E7" i="5" s="1"/>
  <c r="F5" i="5"/>
  <c r="B5" i="5" s="1"/>
  <c r="B7" i="5" s="1"/>
  <c r="F25" i="4"/>
  <c r="F26" i="4"/>
  <c r="F27" i="4"/>
  <c r="F28" i="4"/>
  <c r="F24" i="4"/>
  <c r="C25" i="4"/>
  <c r="D25" i="4"/>
  <c r="E25" i="4"/>
  <c r="B25" i="4"/>
  <c r="C15" i="4"/>
  <c r="C20" i="4" s="1"/>
  <c r="D15" i="4"/>
  <c r="D20" i="4" s="1"/>
  <c r="E15" i="4"/>
  <c r="E20" i="4" s="1"/>
  <c r="B15" i="4"/>
  <c r="B20" i="4" s="1"/>
  <c r="C14" i="4"/>
  <c r="C19" i="4" s="1"/>
  <c r="D14" i="4"/>
  <c r="D19" i="4" s="1"/>
  <c r="E14" i="4"/>
  <c r="E19" i="4" s="1"/>
  <c r="B14" i="4"/>
  <c r="B19" i="4" s="1"/>
  <c r="C5" i="4"/>
  <c r="C10" i="4" s="1"/>
  <c r="C27" i="4" s="1"/>
  <c r="D5" i="4"/>
  <c r="D10" i="4" s="1"/>
  <c r="D27" i="4" s="1"/>
  <c r="E5" i="4"/>
  <c r="E10" i="4" s="1"/>
  <c r="E27" i="4" s="1"/>
  <c r="B5" i="4"/>
  <c r="B10" i="4" s="1"/>
  <c r="B27" i="4" s="1"/>
  <c r="C4" i="4"/>
  <c r="C9" i="4" s="1"/>
  <c r="C24" i="4" s="1"/>
  <c r="C26" i="4" s="1"/>
  <c r="C28" i="4" s="1"/>
  <c r="D4" i="4"/>
  <c r="D9" i="4" s="1"/>
  <c r="D24" i="4" s="1"/>
  <c r="D26" i="4" s="1"/>
  <c r="D28" i="4" s="1"/>
  <c r="E4" i="4"/>
  <c r="E9" i="4" s="1"/>
  <c r="E24" i="4" s="1"/>
  <c r="E26" i="4" s="1"/>
  <c r="B4" i="4"/>
  <c r="B9" i="4" s="1"/>
  <c r="B24" i="4" s="1"/>
  <c r="B26" i="4" s="1"/>
  <c r="B28" i="4" s="1"/>
  <c r="C57" i="3"/>
  <c r="D57" i="3"/>
  <c r="E57" i="3"/>
  <c r="F57" i="3"/>
  <c r="B57" i="3"/>
  <c r="C56" i="3"/>
  <c r="D56" i="3"/>
  <c r="E56" i="3"/>
  <c r="F56" i="3"/>
  <c r="B56" i="3"/>
  <c r="C55" i="3"/>
  <c r="D55" i="3"/>
  <c r="E55" i="3"/>
  <c r="F55" i="3"/>
  <c r="B55" i="3"/>
  <c r="F54" i="3"/>
  <c r="C54" i="3"/>
  <c r="D54" i="3"/>
  <c r="E54" i="3"/>
  <c r="B54" i="3"/>
  <c r="F53" i="3"/>
  <c r="C53" i="3"/>
  <c r="D53" i="3"/>
  <c r="E53" i="3"/>
  <c r="B53" i="3"/>
  <c r="F52" i="3"/>
  <c r="C52" i="3"/>
  <c r="D52" i="3"/>
  <c r="E52" i="3"/>
  <c r="B52" i="3"/>
  <c r="C48" i="3"/>
  <c r="D48" i="3"/>
  <c r="E48" i="3"/>
  <c r="F48" i="3"/>
  <c r="B48" i="3"/>
  <c r="C47" i="3"/>
  <c r="D47" i="3"/>
  <c r="E47" i="3"/>
  <c r="F47" i="3"/>
  <c r="B47" i="3"/>
  <c r="F46" i="3"/>
  <c r="C46" i="3"/>
  <c r="D46" i="3"/>
  <c r="E46" i="3"/>
  <c r="B46" i="3"/>
  <c r="H27" i="1"/>
  <c r="G25" i="1"/>
  <c r="H25" i="1"/>
  <c r="F25" i="1"/>
  <c r="F33" i="3"/>
  <c r="C33" i="3"/>
  <c r="D33" i="3"/>
  <c r="E33" i="3"/>
  <c r="B33" i="3"/>
  <c r="F21" i="3"/>
  <c r="E19" i="3"/>
  <c r="F19" i="3" s="1"/>
  <c r="D19" i="3"/>
  <c r="E21" i="3" s="1"/>
  <c r="C19" i="3"/>
  <c r="D21" i="3" s="1"/>
  <c r="B19" i="3"/>
  <c r="C21" i="3" s="1"/>
  <c r="F7" i="3"/>
  <c r="E5" i="3"/>
  <c r="F5" i="3" s="1"/>
  <c r="D5" i="3"/>
  <c r="E7" i="3" s="1"/>
  <c r="C5" i="3"/>
  <c r="D7" i="3" s="1"/>
  <c r="B5" i="3"/>
  <c r="C7" i="3" s="1"/>
  <c r="C12" i="2"/>
  <c r="D12" i="2"/>
  <c r="E6" i="2"/>
  <c r="E13" i="2" s="1"/>
  <c r="E5" i="2"/>
  <c r="E12" i="2" s="1"/>
  <c r="D6" i="2"/>
  <c r="D13" i="2" s="1"/>
  <c r="D5" i="2"/>
  <c r="C6" i="2"/>
  <c r="C13" i="2" s="1"/>
  <c r="C5" i="2"/>
  <c r="B6" i="2"/>
  <c r="B13" i="2" s="1"/>
  <c r="B5" i="2"/>
  <c r="B12" i="2" s="1"/>
  <c r="E4" i="2"/>
  <c r="E11" i="2" s="1"/>
  <c r="E14" i="2" s="1"/>
  <c r="D4" i="2"/>
  <c r="D11" i="2" s="1"/>
  <c r="C4" i="2"/>
  <c r="C11" i="2" s="1"/>
  <c r="B4" i="2"/>
  <c r="B11" i="2" s="1"/>
  <c r="C77" i="1"/>
  <c r="B77" i="1"/>
  <c r="D76" i="1"/>
  <c r="D75" i="1"/>
  <c r="D74" i="1"/>
  <c r="C55" i="1"/>
  <c r="D55" i="1"/>
  <c r="B55" i="1"/>
  <c r="C51" i="1"/>
  <c r="D51" i="1"/>
  <c r="B51" i="1"/>
  <c r="E32" i="1"/>
  <c r="E33" i="1"/>
  <c r="E34" i="1"/>
  <c r="E35" i="1"/>
  <c r="E36" i="1"/>
  <c r="E37" i="1"/>
  <c r="E38" i="1"/>
  <c r="E39" i="1"/>
  <c r="E40" i="1"/>
  <c r="E41" i="1"/>
  <c r="E42" i="1"/>
  <c r="E31" i="1"/>
  <c r="F23" i="1"/>
  <c r="F20" i="1"/>
  <c r="D21" i="10" l="1"/>
  <c r="C10" i="10"/>
  <c r="D10" i="10" s="1"/>
  <c r="D7" i="10"/>
  <c r="C27" i="9"/>
  <c r="C28" i="9" s="1"/>
  <c r="E7" i="8"/>
  <c r="D17" i="8"/>
  <c r="K19" i="8" s="1"/>
  <c r="L19" i="8" s="1"/>
  <c r="E18" i="8"/>
  <c r="C7" i="8"/>
  <c r="J5" i="8" s="1"/>
  <c r="E6" i="8"/>
  <c r="K8" i="8" s="1"/>
  <c r="L8" i="8" s="1"/>
  <c r="C15" i="8"/>
  <c r="D16" i="8"/>
  <c r="J18" i="8" s="1"/>
  <c r="L18" i="8" s="1"/>
  <c r="E17" i="8"/>
  <c r="E19" i="8" s="1"/>
  <c r="C6" i="8"/>
  <c r="I5" i="8" s="1"/>
  <c r="C18" i="8"/>
  <c r="K15" i="8" s="1"/>
  <c r="D15" i="8"/>
  <c r="B19" i="8"/>
  <c r="C8" i="8"/>
  <c r="K5" i="8" s="1"/>
  <c r="B9" i="8"/>
  <c r="D5" i="8"/>
  <c r="C5" i="8"/>
  <c r="F7" i="5"/>
  <c r="F16" i="5" s="1"/>
  <c r="C9" i="5"/>
  <c r="C11" i="5" s="1"/>
  <c r="B13" i="5"/>
  <c r="B15" i="5" s="1"/>
  <c r="C13" i="5"/>
  <c r="C15" i="5" s="1"/>
  <c r="C5" i="5"/>
  <c r="C7" i="5" s="1"/>
  <c r="C16" i="5" s="1"/>
  <c r="B9" i="5"/>
  <c r="B11" i="5" s="1"/>
  <c r="B16" i="5" s="1"/>
  <c r="E13" i="5"/>
  <c r="E15" i="5" s="1"/>
  <c r="E16" i="5" s="1"/>
  <c r="D13" i="5"/>
  <c r="D15" i="5" s="1"/>
  <c r="D16" i="5" s="1"/>
  <c r="E28" i="4"/>
  <c r="F12" i="2"/>
  <c r="F5" i="2"/>
  <c r="D14" i="2"/>
  <c r="F13" i="2"/>
  <c r="C14" i="2"/>
  <c r="F11" i="2"/>
  <c r="F14" i="2" s="1"/>
  <c r="B14" i="2"/>
  <c r="C7" i="2"/>
  <c r="C4" i="3" s="1"/>
  <c r="C6" i="3" s="1"/>
  <c r="C8" i="3" s="1"/>
  <c r="B7" i="2"/>
  <c r="F4" i="2"/>
  <c r="E7" i="2"/>
  <c r="E4" i="3" s="1"/>
  <c r="E6" i="3" s="1"/>
  <c r="E8" i="3" s="1"/>
  <c r="D7" i="2"/>
  <c r="D4" i="3" s="1"/>
  <c r="D6" i="3" s="1"/>
  <c r="D8" i="3" s="1"/>
  <c r="F6" i="2"/>
  <c r="D77" i="1"/>
  <c r="D19" i="8" l="1"/>
  <c r="I17" i="8"/>
  <c r="L17" i="8" s="1"/>
  <c r="C9" i="8"/>
  <c r="H5" i="8"/>
  <c r="L5" i="8" s="1"/>
  <c r="C19" i="8"/>
  <c r="H15" i="8"/>
  <c r="L15" i="8" s="1"/>
  <c r="D9" i="8"/>
  <c r="I7" i="8"/>
  <c r="L7" i="8" s="1"/>
  <c r="E9" i="8"/>
  <c r="E32" i="3"/>
  <c r="E34" i="3" s="1"/>
  <c r="E38" i="3"/>
  <c r="E40" i="3" s="1"/>
  <c r="E42" i="3" s="1"/>
  <c r="E14" i="3"/>
  <c r="E13" i="3"/>
  <c r="E18" i="3" s="1"/>
  <c r="E20" i="3" s="1"/>
  <c r="E22" i="3" s="1"/>
  <c r="E26" i="3" s="1"/>
  <c r="E28" i="3" s="1"/>
  <c r="F7" i="2"/>
  <c r="B4" i="3"/>
  <c r="D38" i="3"/>
  <c r="D40" i="3" s="1"/>
  <c r="D42" i="3" s="1"/>
  <c r="D32" i="3"/>
  <c r="D34" i="3" s="1"/>
  <c r="D13" i="3"/>
  <c r="D18" i="3" s="1"/>
  <c r="D20" i="3" s="1"/>
  <c r="D22" i="3" s="1"/>
  <c r="D26" i="3" s="1"/>
  <c r="D28" i="3" s="1"/>
  <c r="D14" i="3"/>
  <c r="C14" i="3"/>
  <c r="C38" i="3"/>
  <c r="C40" i="3" s="1"/>
  <c r="C42" i="3" s="1"/>
  <c r="C32" i="3"/>
  <c r="C34" i="3" s="1"/>
  <c r="C13" i="3"/>
  <c r="C18" i="3" s="1"/>
  <c r="C20" i="3" s="1"/>
  <c r="C22" i="3" s="1"/>
  <c r="C26" i="3" s="1"/>
  <c r="C28" i="3" s="1"/>
  <c r="B6" i="3" l="1"/>
  <c r="B8" i="3" s="1"/>
  <c r="F4" i="3"/>
  <c r="F6" i="3" s="1"/>
  <c r="F8" i="3" s="1"/>
  <c r="B32" i="3" l="1"/>
  <c r="B13" i="3"/>
  <c r="B14" i="3"/>
  <c r="F14" i="3" s="1"/>
  <c r="B38" i="3"/>
  <c r="F13" i="3" l="1"/>
  <c r="B18" i="3"/>
  <c r="B40" i="3"/>
  <c r="B42" i="3" s="1"/>
  <c r="F38" i="3"/>
  <c r="F40" i="3" s="1"/>
  <c r="F42" i="3" s="1"/>
  <c r="F32" i="3"/>
  <c r="F34" i="3" s="1"/>
  <c r="B34" i="3"/>
  <c r="B20" i="3" l="1"/>
  <c r="B22" i="3" s="1"/>
  <c r="B26" i="3" s="1"/>
  <c r="F18" i="3"/>
  <c r="F20" i="3" s="1"/>
  <c r="F22" i="3" s="1"/>
  <c r="F26" i="3" l="1"/>
  <c r="F28" i="3" s="1"/>
  <c r="B28" i="3"/>
</calcChain>
</file>

<file path=xl/sharedStrings.xml><?xml version="1.0" encoding="utf-8"?>
<sst xmlns="http://schemas.openxmlformats.org/spreadsheetml/2006/main" count="597" uniqueCount="243">
  <si>
    <t>Aylar</t>
  </si>
  <si>
    <t>A Mamulü</t>
  </si>
  <si>
    <t>X Hammaddesi</t>
  </si>
  <si>
    <t>Ocak</t>
  </si>
  <si>
    <t>Şubat</t>
  </si>
  <si>
    <t>Mart</t>
  </si>
  <si>
    <t>Nisan</t>
  </si>
  <si>
    <t>Mayıs</t>
  </si>
  <si>
    <t>Haziran</t>
  </si>
  <si>
    <t>Temmuz</t>
  </si>
  <si>
    <t>Ağustos</t>
  </si>
  <si>
    <t>Eylül</t>
  </si>
  <si>
    <t>Ekim</t>
  </si>
  <si>
    <t>Kasım</t>
  </si>
  <si>
    <t>Aralık</t>
  </si>
  <si>
    <t>Birim Fiyat</t>
  </si>
  <si>
    <t>A Mamulu</t>
  </si>
  <si>
    <t>Orta Karadeniz</t>
  </si>
  <si>
    <t>Doğu Karadeniz</t>
  </si>
  <si>
    <t>Batı Karadeniz</t>
  </si>
  <si>
    <t>Saatlik Ücret</t>
  </si>
  <si>
    <t>Birim</t>
  </si>
  <si>
    <t>Üretim Saati</t>
  </si>
  <si>
    <t>Z Maliyet Yeri</t>
  </si>
  <si>
    <t>İşçi Sayısı</t>
  </si>
  <si>
    <t>Yıllık Çalışma Kapasitesi (saat)</t>
  </si>
  <si>
    <t>Faaliyet hacminin gerektirdiği ortak maliyetler</t>
  </si>
  <si>
    <t>Dolaylı İşçilik</t>
  </si>
  <si>
    <t>Amortisman</t>
  </si>
  <si>
    <t>Sigorta Giderleri</t>
  </si>
  <si>
    <t>Enerji</t>
  </si>
  <si>
    <t>Dolaylı Gereç</t>
  </si>
  <si>
    <t>Maliyetler</t>
  </si>
  <si>
    <t>Sabit</t>
  </si>
  <si>
    <t>Değişken</t>
  </si>
  <si>
    <t>Toplam (TL)</t>
  </si>
  <si>
    <t>Toplam</t>
  </si>
  <si>
    <t>PSDG</t>
  </si>
  <si>
    <t>Aylık</t>
  </si>
  <si>
    <t>GYG</t>
  </si>
  <si>
    <t>Olağan Gelir ve Karlar</t>
  </si>
  <si>
    <t>Finansman Gideri</t>
  </si>
  <si>
    <t>ABC Sanayi Şirketi 2023 yılı yatırım bütçesine ilişkin bilgiler:</t>
  </si>
  <si>
    <t>Yatırım Türü</t>
  </si>
  <si>
    <t>Tahmini Başlangıç Tarihi</t>
  </si>
  <si>
    <t>Tahmini Bitiriliş Tarihi</t>
  </si>
  <si>
    <t>Tahmini Maliyet</t>
  </si>
  <si>
    <t>Yönetim Binası</t>
  </si>
  <si>
    <t>Ek Bina Yapımı</t>
  </si>
  <si>
    <t>Makine Alımı</t>
  </si>
  <si>
    <t>Jeneratör Alımı</t>
  </si>
  <si>
    <t>Kayıt Tutarı</t>
  </si>
  <si>
    <t>Birikmiş Amortisman</t>
  </si>
  <si>
    <t>Net Defter Değeri</t>
  </si>
  <si>
    <t>Makine ve Teçhizat</t>
  </si>
  <si>
    <t>Satış Mağazası</t>
  </si>
  <si>
    <t>TOPLAM</t>
  </si>
  <si>
    <t>Bilanço Bilgileri</t>
  </si>
  <si>
    <t>Banka Kredileri</t>
  </si>
  <si>
    <t>Sermaye</t>
  </si>
  <si>
    <t>Geçmiş Yıllar Karları</t>
  </si>
  <si>
    <t>Ödenecek Vergi ve Fonlar</t>
  </si>
  <si>
    <t>Tablo 1/a: Satış Bütçesi (Miktar)</t>
  </si>
  <si>
    <t>BÖLGE</t>
  </si>
  <si>
    <t>1.</t>
  </si>
  <si>
    <t>2.</t>
  </si>
  <si>
    <t>3.</t>
  </si>
  <si>
    <t>4.</t>
  </si>
  <si>
    <t>Tablo 1/b: Satış Bütçesi (BİN TL)</t>
  </si>
  <si>
    <t>Tablo 2 : Üretim Miktarı Bütçesi</t>
  </si>
  <si>
    <t>Satış Miktarı</t>
  </si>
  <si>
    <t>(+) DSMST</t>
  </si>
  <si>
    <t>Ara Toplam</t>
  </si>
  <si>
    <t>(-) DBMST</t>
  </si>
  <si>
    <t>Tablo 3 : Hammadde Miktarı Bütçesi</t>
  </si>
  <si>
    <t>Sorumluluk Yeri</t>
  </si>
  <si>
    <t>A Mamulüne Göre</t>
  </si>
  <si>
    <t>Z Maliyet Yerine Göre</t>
  </si>
  <si>
    <t>Tablo 4/a : Hammadde Alımı Bütçesi (Miktar)</t>
  </si>
  <si>
    <t>Üretim İçin Gerekli Hammadde</t>
  </si>
  <si>
    <t>(+) DSHMST</t>
  </si>
  <si>
    <t>Gerekli Miktar</t>
  </si>
  <si>
    <t>(-) DSHMST</t>
  </si>
  <si>
    <t>Alımı Gerekli Miktar</t>
  </si>
  <si>
    <t>Tablo 4/b : Hammadde Alımı Bütçesi (TL)</t>
  </si>
  <si>
    <t>Alış Maliyeti</t>
  </si>
  <si>
    <t>Tutar</t>
  </si>
  <si>
    <t>Tablo 5: Üretim İçin Gerekli Hammadde Maliyeti Bütçesi (TL)</t>
  </si>
  <si>
    <t>Miktar</t>
  </si>
  <si>
    <t>Fiyat</t>
  </si>
  <si>
    <t>Tablo 6: Dolaysız İşçilik Bütçesi (TL)</t>
  </si>
  <si>
    <t>Üretilecek Birim</t>
  </si>
  <si>
    <t>Standart DİS</t>
  </si>
  <si>
    <t>Gerekli DİS</t>
  </si>
  <si>
    <t>Saat Ücreti</t>
  </si>
  <si>
    <t>GÜG Yükleme Oranı</t>
  </si>
  <si>
    <t>Tablo 7: Üretime Yüklenecek GÜG Bütçesi (TL)</t>
  </si>
  <si>
    <t>Yükleme Oranı</t>
  </si>
  <si>
    <t>Tablo 8: TMM Bütçesi (TL)</t>
  </si>
  <si>
    <t>Hammadde</t>
  </si>
  <si>
    <t>Dolaysız İşçilik</t>
  </si>
  <si>
    <t>GÜG</t>
  </si>
  <si>
    <t>TMM</t>
  </si>
  <si>
    <t>Üretilen</t>
  </si>
  <si>
    <t>Birim Maliyet</t>
  </si>
  <si>
    <t>Tablo 9/a:  Mamul Stok Bütçesi (Miktar)</t>
  </si>
  <si>
    <t>A Mamülü</t>
  </si>
  <si>
    <t>Dönem Başı</t>
  </si>
  <si>
    <t>Dönem Sonu</t>
  </si>
  <si>
    <t>Tablo 9/b:  Mamul Stok Bütçesi (Bin TL)</t>
  </si>
  <si>
    <t>Tablo 9/c:  Hammadde Stok Bütçesi (Miktar)</t>
  </si>
  <si>
    <t>Tablo 9/d:  Hammadde Stok Bütçesi (Bin TL)</t>
  </si>
  <si>
    <t>Tablo 10:  SMM Bütçesi (Bin TL)</t>
  </si>
  <si>
    <t>DBMST</t>
  </si>
  <si>
    <t>(+) TMM</t>
  </si>
  <si>
    <t>(=) Satılabilir Stok</t>
  </si>
  <si>
    <t>(-) DSMST</t>
  </si>
  <si>
    <t>(=) SMM</t>
  </si>
  <si>
    <t>Tablo 11:  Pazarlama Satış Dağıtım Giderleri Bütçesi (Bin TL)</t>
  </si>
  <si>
    <t>Bölge</t>
  </si>
  <si>
    <t>Toplam 1</t>
  </si>
  <si>
    <t>Toplam 2</t>
  </si>
  <si>
    <t>Toplam 3</t>
  </si>
  <si>
    <t>Genel Toplam</t>
  </si>
  <si>
    <t>Tablo 12:  Genel Yönetim Giderleri Bütçesi (Bin TL)</t>
  </si>
  <si>
    <t>Satışlar</t>
  </si>
  <si>
    <t>(-) SMM</t>
  </si>
  <si>
    <t>Brüt Satış Karı</t>
  </si>
  <si>
    <t>(-) PSDG</t>
  </si>
  <si>
    <t>(-) Genel Yön. Gid.</t>
  </si>
  <si>
    <t>Faaliyet Karı</t>
  </si>
  <si>
    <t>(+) Olağan Gel. Ve K.</t>
  </si>
  <si>
    <t>(-) Olağan Gid. Ve Z.</t>
  </si>
  <si>
    <t>(-) Finansman Gideri</t>
  </si>
  <si>
    <t>Olağan Kar</t>
  </si>
  <si>
    <t>(+) Olağandışı Gel. Ve K.</t>
  </si>
  <si>
    <t>(-) Olağandışı Gid. Ve Z.</t>
  </si>
  <si>
    <t>Dönem Karı</t>
  </si>
  <si>
    <t>(-) Vergi (%40)</t>
  </si>
  <si>
    <t>Dönem Net Karı</t>
  </si>
  <si>
    <t>Tablo 13:  Bütçelenmiş Gelir Tablosu (Bin TL)</t>
  </si>
  <si>
    <t>Tablo 14:  Yatırım Bütçesi (Bin TL)</t>
  </si>
  <si>
    <t>Ek Bina</t>
  </si>
  <si>
    <t>DÖNEM</t>
  </si>
  <si>
    <t>Satış Tutarı</t>
  </si>
  <si>
    <t>Tahsilatlar</t>
  </si>
  <si>
    <t>Tablo 15/a:  Satışlardan Doğan Nakit Girişi (Bin TL)</t>
  </si>
  <si>
    <t>Tablo 15/b:  Satışlardan Doğan Nakit Girişi Bütçesi (Bin TL)</t>
  </si>
  <si>
    <t>Peşin Satışlar</t>
  </si>
  <si>
    <t>Vadeli Satışlar</t>
  </si>
  <si>
    <t>1. Çeyrek</t>
  </si>
  <si>
    <t>2. Çeyrek</t>
  </si>
  <si>
    <t>3. Çeyrek</t>
  </si>
  <si>
    <t>4. Çeyrek</t>
  </si>
  <si>
    <t>Tablo 16/a:  Alışlardan Doğan Nakit Çıkışı (Bin TL)</t>
  </si>
  <si>
    <t>Alış Tutarı</t>
  </si>
  <si>
    <t>Ödemeler</t>
  </si>
  <si>
    <t>Tablo 16/b:  Alışlardan Doğan Nakit Çıkışı Bütçesi (Bin TL)</t>
  </si>
  <si>
    <t>Peşin Alışlar</t>
  </si>
  <si>
    <t>Vadeli Alışlar</t>
  </si>
  <si>
    <t>Tablo 17:  Üretim Maliyetlerinden Doğan Nakit Çıkışı (Bin TL)</t>
  </si>
  <si>
    <t>(+) Değişken</t>
  </si>
  <si>
    <t>İşçilik</t>
  </si>
  <si>
    <t>Tablo 18:  Faaliyet Giderlerinden Doğan Nakit Çıkışı (Bin TL)</t>
  </si>
  <si>
    <t>Tablo 19:  Diğer İşlemlerden Doğan Nakit Çıkışı (Bin TL)</t>
  </si>
  <si>
    <t>İşlem</t>
  </si>
  <si>
    <t>Bina Yapımı</t>
  </si>
  <si>
    <t>Temettü Ödemesi</t>
  </si>
  <si>
    <t>Vergi Ödemesi</t>
  </si>
  <si>
    <t>Tablo 20:  Nakit Bütçesi (Bin TL)</t>
  </si>
  <si>
    <t>A) D.B. Nakit Mevcudu</t>
  </si>
  <si>
    <t>B) D.İ. Nakit Girişleri</t>
  </si>
  <si>
    <t>Kira Gelirleri</t>
  </si>
  <si>
    <t>C) D.İ. Nakit Çıkışları</t>
  </si>
  <si>
    <t>Temettü</t>
  </si>
  <si>
    <t>D) D.S. Nakit Mevcudu (A+B-C)</t>
  </si>
  <si>
    <t>E) Nakit Artış - Azalış (B-C)</t>
  </si>
  <si>
    <t>Tablo 21:  Satışlardan Doğan Ticari Alacaklar (Bin TL)</t>
  </si>
  <si>
    <t>Dönemi</t>
  </si>
  <si>
    <t>D.B. Alacaklar</t>
  </si>
  <si>
    <t>Dönem Alacakları</t>
  </si>
  <si>
    <t>D.S. Alacaklar</t>
  </si>
  <si>
    <t>D.B. Borçlar</t>
  </si>
  <si>
    <t>D.S. Borçlar</t>
  </si>
  <si>
    <t>Tablo 22:  Alışlardan Dopan Ticari Borçlar (Bin TL)</t>
  </si>
  <si>
    <t>Tablo 22:  Bütçelenmiş Bilanço (Bin TL)</t>
  </si>
  <si>
    <t>Dönen Varlıklar</t>
  </si>
  <si>
    <t>Kasa</t>
  </si>
  <si>
    <t>Ticari Alacaklar</t>
  </si>
  <si>
    <t>Hammadde Stoku</t>
  </si>
  <si>
    <t>Mamul Stoku</t>
  </si>
  <si>
    <t>Binalar</t>
  </si>
  <si>
    <t>Duran Varlıklar</t>
  </si>
  <si>
    <t>(-) Birikmiş Amortisman</t>
  </si>
  <si>
    <t>AKTİF TOPLAMI</t>
  </si>
  <si>
    <t>Ticari Borçlar</t>
  </si>
  <si>
    <t>Ödenecek Vergiler</t>
  </si>
  <si>
    <t>ÖZKAYNAK TOPLAMI</t>
  </si>
  <si>
    <t>KVYK TOPLAMI</t>
  </si>
  <si>
    <t>DÖNEN VARLIK TOPLAMI</t>
  </si>
  <si>
    <t>DURAN VARLIK TOPLAMI</t>
  </si>
  <si>
    <t>TL</t>
  </si>
  <si>
    <t>PASİF TOPLAMI</t>
  </si>
  <si>
    <t>Fiili Satışlar</t>
  </si>
  <si>
    <t>Bütçelenmiş Satışlar</t>
  </si>
  <si>
    <t>Fark</t>
  </si>
  <si>
    <t>Satış Bütçesi Kontrol Raporu</t>
  </si>
  <si>
    <t>Dönem</t>
  </si>
  <si>
    <t>A Mamulu Birim Başına Satış Fiyatı (Gerçekleşen)</t>
  </si>
  <si>
    <t>A Mamulu Satış Adeti (Gerçekleşen)</t>
  </si>
  <si>
    <t>Fiili</t>
  </si>
  <si>
    <t>Birikimli Toplam</t>
  </si>
  <si>
    <t>Satış Müdürüne Verilen Satış Miktarı Kontrol Raporu</t>
  </si>
  <si>
    <t>Sorumlu</t>
  </si>
  <si>
    <t>Satış Şefi</t>
  </si>
  <si>
    <t>Satış Tutar Kontrol Raporu</t>
  </si>
  <si>
    <t>Sigorta</t>
  </si>
  <si>
    <t>Fiili GÜG(TL)</t>
  </si>
  <si>
    <t>Bütçelenmiş GÜG(TL)</t>
  </si>
  <si>
    <t>Fark(TL)</t>
  </si>
  <si>
    <t>ABC GÜG BÜTÇESİ SORUMLULUK RAPORU (43.000 SAAT)</t>
  </si>
  <si>
    <t>ABC ÜMM BÜTÇESİ SORUMLULUK RAPORU</t>
  </si>
  <si>
    <t>MALİYETLER</t>
  </si>
  <si>
    <t>FİİLİ(TL)</t>
  </si>
  <si>
    <t>BÜTÇELENMİŞ(TL)</t>
  </si>
  <si>
    <t>FARK(TL)</t>
  </si>
  <si>
    <t>ABC MALİYET KONTROL RAPORU</t>
  </si>
  <si>
    <t>Dönem: Aralık 2022 Sorumluluk Merkezi: Z Atölyesi</t>
  </si>
  <si>
    <t>Kontrol Edilebilir</t>
  </si>
  <si>
    <t>SATIŞLAR</t>
  </si>
  <si>
    <t>Bütçelenmiş</t>
  </si>
  <si>
    <t>SMM</t>
  </si>
  <si>
    <t>ABC İşletmesi Bütçelenmiş Gelir Tablosu</t>
  </si>
  <si>
    <t>(+)DBMST</t>
  </si>
  <si>
    <t>(-)DSMST</t>
  </si>
  <si>
    <t>BRÜT SATIŞ KARI</t>
  </si>
  <si>
    <t>(-)P.S.D.F</t>
  </si>
  <si>
    <t>(-)G.Y.G</t>
  </si>
  <si>
    <t>FAALİYET GİD.</t>
  </si>
  <si>
    <t>FAALİYET KARI</t>
  </si>
  <si>
    <t>OLAĞAN KAR</t>
  </si>
  <si>
    <t>DÖNEM KARI</t>
  </si>
  <si>
    <t>DÖNEM NET KARI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</si>
</sst>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charset val="162"/>
      <scheme val="minor"/>
    </font>
    <font>
      <b/>
      <sz val="11"/>
      <color theme="1"/>
      <name val="Calibri"/>
      <family val="2"/>
      <charset val="162"/>
      <scheme val="minor"/>
    </font>
    <font>
      <sz val="8"/>
      <name val="Calibri"/>
      <family val="2"/>
      <scheme val="minor"/>
    </font>
    <font>
      <b/>
      <sz val="11"/>
      <color rgb="FFFF0000"/>
      <name val="Calibri"/>
      <family val="2"/>
      <charset val="162"/>
      <scheme val="minor"/>
    </font>
    <font>
      <sz val="11"/>
      <name val="Calibri"/>
      <family val="2"/>
      <scheme val="minor"/>
    </font>
    <font>
      <b/>
      <sz val="11"/>
      <name val="Calibri"/>
      <family val="2"/>
      <charset val="16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2" fillId="0" borderId="0" xfId="0" applyFont="1"/>
    <xf numFmtId="3" fontId="0" fillId="0" borderId="0" xfId="0" applyNumberFormat="1"/>
    <xf numFmtId="0" fontId="2" fillId="0" borderId="1" xfId="0" applyFont="1" applyBorder="1"/>
    <xf numFmtId="0" fontId="2" fillId="0" borderId="1" xfId="0" applyFont="1" applyBorder="1" applyAlignment="1">
      <alignment horizontal="center"/>
    </xf>
    <xf numFmtId="0" fontId="0" fillId="0" borderId="1" xfId="0" applyBorder="1"/>
    <xf numFmtId="0" fontId="0" fillId="0" borderId="0" xfId="0" applyAlignment="1">
      <alignment horizontal="center" wrapText="1"/>
    </xf>
    <xf numFmtId="3" fontId="0" fillId="0" borderId="1" xfId="0" applyNumberFormat="1" applyBorder="1"/>
    <xf numFmtId="0" fontId="2" fillId="0" borderId="1" xfId="0" applyFont="1" applyBorder="1" applyAlignment="1">
      <alignment horizontal="center" wrapText="1"/>
    </xf>
    <xf numFmtId="0" fontId="2" fillId="0" borderId="2" xfId="0" applyFont="1" applyBorder="1"/>
    <xf numFmtId="3" fontId="0" fillId="0" borderId="2" xfId="0" applyNumberFormat="1" applyBorder="1"/>
    <xf numFmtId="0" fontId="0" fillId="0" borderId="2" xfId="0" applyBorder="1"/>
    <xf numFmtId="0" fontId="4" fillId="0" borderId="0" xfId="0" applyFont="1" applyAlignment="1">
      <alignment horizontal="center"/>
    </xf>
    <xf numFmtId="0" fontId="1" fillId="0" borderId="0" xfId="0" applyFont="1"/>
    <xf numFmtId="3" fontId="5" fillId="0" borderId="0" xfId="0" applyNumberFormat="1" applyFont="1"/>
    <xf numFmtId="3" fontId="2" fillId="0" borderId="0" xfId="0" applyNumberFormat="1" applyFont="1"/>
    <xf numFmtId="0" fontId="0" fillId="0" borderId="3" xfId="0" applyBorder="1"/>
    <xf numFmtId="0" fontId="6" fillId="0" borderId="0" xfId="0" applyFont="1" applyAlignment="1">
      <alignment horizontal="center"/>
    </xf>
    <xf numFmtId="0" fontId="6" fillId="0" borderId="0" xfId="0" applyFont="1"/>
    <xf numFmtId="3" fontId="0" fillId="0" borderId="4" xfId="0" applyNumberFormat="1" applyBorder="1"/>
    <xf numFmtId="0" fontId="0" fillId="0" borderId="4" xfId="0" applyBorder="1"/>
    <xf numFmtId="0" fontId="4" fillId="0" borderId="0" xfId="0" applyFont="1"/>
    <xf numFmtId="164" fontId="0" fillId="0" borderId="4" xfId="0" applyNumberFormat="1" applyBorder="1"/>
    <xf numFmtId="164" fontId="2" fillId="0" borderId="4" xfId="0" applyNumberFormat="1" applyFont="1" applyBorder="1"/>
    <xf numFmtId="9" fontId="2" fillId="0" borderId="2" xfId="0" applyNumberFormat="1" applyFont="1" applyBorder="1"/>
    <xf numFmtId="164" fontId="0" fillId="0" borderId="0" xfId="0" applyNumberFormat="1"/>
    <xf numFmtId="164" fontId="2" fillId="0" borderId="0" xfId="0" applyNumberFormat="1" applyFont="1"/>
    <xf numFmtId="0" fontId="6" fillId="0" borderId="2" xfId="0" applyFont="1" applyBorder="1" applyAlignment="1">
      <alignment horizontal="center"/>
    </xf>
    <xf numFmtId="0" fontId="2" fillId="0" borderId="4" xfId="0" applyFont="1" applyBorder="1"/>
    <xf numFmtId="3" fontId="2" fillId="0" borderId="4" xfId="0" applyNumberFormat="1" applyFont="1" applyBorder="1"/>
    <xf numFmtId="0" fontId="2" fillId="0" borderId="0" xfId="0" applyFont="1" applyAlignment="1">
      <alignment wrapText="1"/>
    </xf>
    <xf numFmtId="0" fontId="2" fillId="0" borderId="0" xfId="0" applyFont="1" applyAlignment="1">
      <alignment horizontal="center" vertical="center" wrapText="1"/>
    </xf>
    <xf numFmtId="0" fontId="2" fillId="0" borderId="5" xfId="0" applyFont="1" applyBorder="1"/>
    <xf numFmtId="0" fontId="0" fillId="0" borderId="6" xfId="0" applyBorder="1"/>
    <xf numFmtId="0" fontId="0" fillId="0" borderId="7" xfId="0" applyBorder="1"/>
    <xf numFmtId="0" fontId="2" fillId="0" borderId="8" xfId="0" applyFont="1" applyBorder="1"/>
    <xf numFmtId="0" fontId="1" fillId="0" borderId="2" xfId="0" applyFont="1" applyBorder="1"/>
    <xf numFmtId="0" fontId="0" fillId="0" borderId="9" xfId="0" applyBorder="1"/>
    <xf numFmtId="0" fontId="0" fillId="0" borderId="10" xfId="0" applyBorder="1"/>
    <xf numFmtId="0" fontId="2" fillId="0" borderId="1" xfId="0" applyFont="1" applyBorder="1" applyAlignment="1">
      <alignment horizontal="center"/>
    </xf>
    <xf numFmtId="0" fontId="2" fillId="0" borderId="0" xfId="0" applyFont="1" applyAlignment="1">
      <alignment horizontal="center"/>
    </xf>
    <xf numFmtId="0" fontId="4" fillId="0" borderId="0" xfId="0" applyFont="1" applyAlignment="1">
      <alignment horizontal="center"/>
    </xf>
    <xf numFmtId="0" fontId="2" fillId="0" borderId="2" xfId="0" applyFont="1" applyBorder="1" applyAlignment="1">
      <alignment horizontal="center"/>
    </xf>
    <xf numFmtId="0" fontId="0" fillId="0" borderId="0" xfId="0" applyAlignment="1">
      <alignment horizontal="center"/>
    </xf>
    <xf numFmtId="0" fontId="2" fillId="0" borderId="0" xfId="0" applyFont="1" applyAlignment="1">
      <alignment horizontal="center" vertical="center"/>
    </xf>
    <xf numFmtId="17" fontId="2"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47626</xdr:rowOff>
    </xdr:from>
    <xdr:to>
      <xdr:col>9</xdr:col>
      <xdr:colOff>57150</xdr:colOff>
      <xdr:row>6</xdr:row>
      <xdr:rowOff>85726</xdr:rowOff>
    </xdr:to>
    <xdr:sp macro="" textlink="">
      <xdr:nvSpPr>
        <xdr:cNvPr id="2" name="Metin kutusu 1">
          <a:extLst>
            <a:ext uri="{FF2B5EF4-FFF2-40B4-BE49-F238E27FC236}">
              <a16:creationId xmlns:a16="http://schemas.microsoft.com/office/drawing/2014/main" id="{84BC74B3-772E-3FB5-7FD4-B73893176AA8}"/>
            </a:ext>
          </a:extLst>
        </xdr:cNvPr>
        <xdr:cNvSpPr txBox="1"/>
      </xdr:nvSpPr>
      <xdr:spPr>
        <a:xfrm>
          <a:off x="76200" y="47626"/>
          <a:ext cx="546735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SATIŞ,</a:t>
          </a:r>
          <a:r>
            <a:rPr lang="tr-TR" sz="1100" baseline="0"/>
            <a:t> ÜRETİM VE FAALİYET BİLGİLERİ</a:t>
          </a:r>
        </a:p>
        <a:p>
          <a:r>
            <a:rPr lang="tr-TR" sz="1100" baseline="0"/>
            <a:t>* ABC sanayi işletmesi 2023 yılı için A mamulünü X hammaddesinden 2 saatte üreterek Batı, Orta ve Doğu Karadeniz Bölgelerinde satmayı planlamaktadır. 2022 yılı başında 12.000 birim A mamulü ve 20.000 birim X hammaddesi stoku, yılsonunda ise 10000 birim A mamulü, 16000 birim X hammaddesi stoku bulunacağı tahmin edilmektedir. Ay Sonları itibariyle işletmenin arzulanan stokları:</a:t>
          </a:r>
          <a:endParaRPr lang="tr-TR" sz="1100"/>
        </a:p>
      </xdr:txBody>
    </xdr:sp>
    <xdr:clientData/>
  </xdr:twoCellAnchor>
  <xdr:twoCellAnchor>
    <xdr:from>
      <xdr:col>0</xdr:col>
      <xdr:colOff>0</xdr:colOff>
      <xdr:row>26</xdr:row>
      <xdr:rowOff>114300</xdr:rowOff>
    </xdr:from>
    <xdr:to>
      <xdr:col>5</xdr:col>
      <xdr:colOff>876300</xdr:colOff>
      <xdr:row>28</xdr:row>
      <xdr:rowOff>114300</xdr:rowOff>
    </xdr:to>
    <xdr:sp macro="" textlink="">
      <xdr:nvSpPr>
        <xdr:cNvPr id="3" name="Metin kutusu 2">
          <a:extLst>
            <a:ext uri="{FF2B5EF4-FFF2-40B4-BE49-F238E27FC236}">
              <a16:creationId xmlns:a16="http://schemas.microsoft.com/office/drawing/2014/main" id="{778D33BD-774C-F58A-5E98-EC45D95E88F6}"/>
            </a:ext>
          </a:extLst>
        </xdr:cNvPr>
        <xdr:cNvSpPr txBox="1"/>
      </xdr:nvSpPr>
      <xdr:spPr>
        <a:xfrm>
          <a:off x="0" y="5257800"/>
          <a:ext cx="638175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 mamulünün bölgelere ve aylara göre satışlarının aşağıdaki gibi olacağı tahmin edilmektedir.</a:t>
          </a:r>
        </a:p>
      </xdr:txBody>
    </xdr:sp>
    <xdr:clientData/>
  </xdr:twoCellAnchor>
  <xdr:twoCellAnchor>
    <xdr:from>
      <xdr:col>0</xdr:col>
      <xdr:colOff>0</xdr:colOff>
      <xdr:row>43</xdr:row>
      <xdr:rowOff>1</xdr:rowOff>
    </xdr:from>
    <xdr:to>
      <xdr:col>5</xdr:col>
      <xdr:colOff>819150</xdr:colOff>
      <xdr:row>46</xdr:row>
      <xdr:rowOff>76201</xdr:rowOff>
    </xdr:to>
    <xdr:sp macro="" textlink="">
      <xdr:nvSpPr>
        <xdr:cNvPr id="4" name="Metin kutusu 3">
          <a:extLst>
            <a:ext uri="{FF2B5EF4-FFF2-40B4-BE49-F238E27FC236}">
              <a16:creationId xmlns:a16="http://schemas.microsoft.com/office/drawing/2014/main" id="{7FDCD700-218D-4BB1-B01B-6C40B08EA48E}"/>
            </a:ext>
          </a:extLst>
        </xdr:cNvPr>
        <xdr:cNvSpPr txBox="1"/>
      </xdr:nvSpPr>
      <xdr:spPr>
        <a:xfrm>
          <a:off x="0" y="8001001"/>
          <a:ext cx="5334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Pazarlama satış ve dağıtım giderleri 400.000 TL sabit ve satış üzerinden %2 değişken olarak,</a:t>
          </a:r>
          <a:r>
            <a:rPr lang="tr-TR" sz="1100" baseline="0"/>
            <a:t> genel yönetim giderleri ise 800.000 TL sabit ve satış geliri üzerinden %1 değişken olarak tahmin edilmektedir.</a:t>
          </a:r>
          <a:endParaRPr lang="tr-TR" sz="1100"/>
        </a:p>
      </xdr:txBody>
    </xdr:sp>
    <xdr:clientData/>
  </xdr:twoCellAnchor>
  <xdr:twoCellAnchor>
    <xdr:from>
      <xdr:col>4</xdr:col>
      <xdr:colOff>409575</xdr:colOff>
      <xdr:row>47</xdr:row>
      <xdr:rowOff>66675</xdr:rowOff>
    </xdr:from>
    <xdr:to>
      <xdr:col>7</xdr:col>
      <xdr:colOff>142875</xdr:colOff>
      <xdr:row>54</xdr:row>
      <xdr:rowOff>9525</xdr:rowOff>
    </xdr:to>
    <xdr:sp macro="" textlink="">
      <xdr:nvSpPr>
        <xdr:cNvPr id="5" name="Metin kutusu 4">
          <a:extLst>
            <a:ext uri="{FF2B5EF4-FFF2-40B4-BE49-F238E27FC236}">
              <a16:creationId xmlns:a16="http://schemas.microsoft.com/office/drawing/2014/main" id="{D8168F3C-93B4-7B7F-9AF1-9072B122678D}"/>
            </a:ext>
          </a:extLst>
        </xdr:cNvPr>
        <xdr:cNvSpPr txBox="1"/>
      </xdr:nvSpPr>
      <xdr:spPr>
        <a:xfrm>
          <a:off x="4057650" y="8829675"/>
          <a:ext cx="319087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Pazarlama satış ve dağıtım giderleri ile genel yönetim</a:t>
          </a:r>
          <a:r>
            <a:rPr lang="tr-TR" sz="1100" baseline="0"/>
            <a:t> giderlerinin sabit bölümleri üçer aylık maliyet dönemlerine eşit olarak dağıtılacaktır. Amortisman dışında ki tüm faaliyet giderlerinin gerçekleştiği maliyet dönemi sonunda nakden ödendiği varsayılacaktır.</a:t>
          </a:r>
          <a:endParaRPr lang="tr-TR" sz="1100"/>
        </a:p>
      </xdr:txBody>
    </xdr:sp>
    <xdr:clientData/>
  </xdr:twoCellAnchor>
  <xdr:twoCellAnchor>
    <xdr:from>
      <xdr:col>0</xdr:col>
      <xdr:colOff>0</xdr:colOff>
      <xdr:row>56</xdr:row>
      <xdr:rowOff>0</xdr:rowOff>
    </xdr:from>
    <xdr:to>
      <xdr:col>5</xdr:col>
      <xdr:colOff>819150</xdr:colOff>
      <xdr:row>60</xdr:row>
      <xdr:rowOff>114300</xdr:rowOff>
    </xdr:to>
    <xdr:sp macro="" textlink="">
      <xdr:nvSpPr>
        <xdr:cNvPr id="6" name="Metin kutusu 5">
          <a:extLst>
            <a:ext uri="{FF2B5EF4-FFF2-40B4-BE49-F238E27FC236}">
              <a16:creationId xmlns:a16="http://schemas.microsoft.com/office/drawing/2014/main" id="{0FE3BFBB-0A10-4341-9BBF-BF091361F244}"/>
            </a:ext>
          </a:extLst>
        </xdr:cNvPr>
        <xdr:cNvSpPr txBox="1"/>
      </xdr:nvSpPr>
      <xdr:spPr>
        <a:xfrm>
          <a:off x="0" y="10477500"/>
          <a:ext cx="550545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ABC sanayi işletmesinin bütçelenmiş gelir tablosunun</a:t>
          </a:r>
          <a:r>
            <a:rPr lang="tr-TR" sz="1100" baseline="0"/>
            <a:t> düzenlene bilmesi için gerekli olan olağan gelir ve karlar 238.000 TL tahmin edilmekte olup her üç aylık dönemin başında peşin olarak tahsil edilecektir. Finansman giderleri ise  200.000 TL tahmin edilmekte olup Ocak ayı içinde ödenecektir.</a:t>
          </a:r>
          <a:endParaRPr lang="tr-TR" sz="1100"/>
        </a:p>
      </xdr:txBody>
    </xdr:sp>
    <xdr:clientData/>
  </xdr:twoCellAnchor>
  <xdr:twoCellAnchor>
    <xdr:from>
      <xdr:col>4</xdr:col>
      <xdr:colOff>200025</xdr:colOff>
      <xdr:row>64</xdr:row>
      <xdr:rowOff>180975</xdr:rowOff>
    </xdr:from>
    <xdr:to>
      <xdr:col>7</xdr:col>
      <xdr:colOff>771525</xdr:colOff>
      <xdr:row>70</xdr:row>
      <xdr:rowOff>104775</xdr:rowOff>
    </xdr:to>
    <xdr:sp macro="" textlink="">
      <xdr:nvSpPr>
        <xdr:cNvPr id="7" name="Metin kutusu 6">
          <a:extLst>
            <a:ext uri="{FF2B5EF4-FFF2-40B4-BE49-F238E27FC236}">
              <a16:creationId xmlns:a16="http://schemas.microsoft.com/office/drawing/2014/main" id="{C861AA8A-1515-9B83-EA15-4EA4769D4AA9}"/>
            </a:ext>
          </a:extLst>
        </xdr:cNvPr>
        <xdr:cNvSpPr txBox="1"/>
      </xdr:nvSpPr>
      <xdr:spPr>
        <a:xfrm>
          <a:off x="4410075" y="12182475"/>
          <a:ext cx="40290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Ek Bina yapımına Mayıs ayında başlanacak</a:t>
          </a:r>
          <a:r>
            <a:rPr lang="tr-TR" sz="1100" baseline="0"/>
            <a:t> 1 milyonluk harcama Haziran ayı içinde, diğer 2 milyonluk harcama ise Temmuz ve Ağustos aylarında ödenecektir.</a:t>
          </a:r>
        </a:p>
        <a:p>
          <a:r>
            <a:rPr lang="tr-TR" sz="1100" baseline="0"/>
            <a:t>Makine alımı Nisan ayında gerçekleştirilecek ve aynı ay içerisinde nakden ödenecek</a:t>
          </a:r>
        </a:p>
      </xdr:txBody>
    </xdr:sp>
    <xdr:clientData/>
  </xdr:twoCellAnchor>
  <xdr:twoCellAnchor>
    <xdr:from>
      <xdr:col>4</xdr:col>
      <xdr:colOff>304800</xdr:colOff>
      <xdr:row>71</xdr:row>
      <xdr:rowOff>19049</xdr:rowOff>
    </xdr:from>
    <xdr:to>
      <xdr:col>8</xdr:col>
      <xdr:colOff>104775</xdr:colOff>
      <xdr:row>100</xdr:row>
      <xdr:rowOff>76200</xdr:rowOff>
    </xdr:to>
    <xdr:sp macro="" textlink="">
      <xdr:nvSpPr>
        <xdr:cNvPr id="8" name="Metin kutusu 7">
          <a:extLst>
            <a:ext uri="{FF2B5EF4-FFF2-40B4-BE49-F238E27FC236}">
              <a16:creationId xmlns:a16="http://schemas.microsoft.com/office/drawing/2014/main" id="{F6FEE869-1EB6-51C9-42A5-5CC65C745BC2}"/>
            </a:ext>
          </a:extLst>
        </xdr:cNvPr>
        <xdr:cNvSpPr txBox="1"/>
      </xdr:nvSpPr>
      <xdr:spPr>
        <a:xfrm>
          <a:off x="4514850" y="13354049"/>
          <a:ext cx="4200525" cy="5581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Nakit Bütçesi Bilgileri:</a:t>
          </a:r>
        </a:p>
        <a:p>
          <a:r>
            <a:rPr lang="tr-TR" sz="1100"/>
            <a:t>*</a:t>
          </a:r>
          <a:r>
            <a:rPr lang="tr-TR" sz="1100" baseline="0"/>
            <a:t> Dönem başı nakit mevcudu 5 milyon TL olarak tahmin edilir.</a:t>
          </a:r>
        </a:p>
        <a:p>
          <a:endParaRPr lang="tr-TR" sz="1100" baseline="0"/>
        </a:p>
        <a:p>
          <a:r>
            <a:rPr lang="tr-TR" sz="1100" baseline="0"/>
            <a:t>* Satışlardan doğan nakit girişleri:</a:t>
          </a:r>
        </a:p>
        <a:p>
          <a:r>
            <a:rPr lang="tr-TR" sz="1100" baseline="0"/>
            <a:t>Şirket satışlarının %10'u peşin, %60'ı ikinci çeyrekte, %30'u üçüncü çeyrekte tahsil edilmektedir. Olağan gelir ve karlar kira geliri olup her çeyrek başında eşit ve peşin olarak tahsil edilmektedir.</a:t>
          </a:r>
        </a:p>
        <a:p>
          <a:endParaRPr lang="tr-TR" sz="1100" baseline="0"/>
        </a:p>
        <a:p>
          <a:r>
            <a:rPr lang="tr-TR" sz="1100" baseline="0"/>
            <a:t>* Hammadde Alımından Doğan Nakit Çıkışları:</a:t>
          </a:r>
        </a:p>
        <a:p>
          <a:r>
            <a:rPr lang="tr-TR" sz="1100" baseline="0"/>
            <a:t>Şirket %30'u peşin, %60'ı ikinci çeyrekte, %10'u üçüncü çeyrekte ödenmek koşuluyla hammadde alışlarını planlamıştır.</a:t>
          </a:r>
        </a:p>
        <a:p>
          <a:endParaRPr lang="tr-TR" sz="1100" baseline="0"/>
        </a:p>
        <a:p>
          <a:r>
            <a:rPr lang="tr-TR" sz="1100" baseline="0"/>
            <a:t>* Nakit Çıkışı Gerektiren Üretim Maliyeti</a:t>
          </a:r>
        </a:p>
        <a:p>
          <a:r>
            <a:rPr lang="tr-TR" sz="1100" baseline="0"/>
            <a:t>Amortisman dışındaki sabit genel üretim giderleri her çeyrekte eşit olarak ödenecektir. Her çeyreğe düşen değişken GÜG oluştuğu çeyrek sonunda ödenecektir. Dolaysız işçikiler oluştuğu çeyrekte nakden ödenecektir.</a:t>
          </a:r>
        </a:p>
        <a:p>
          <a:endParaRPr lang="tr-TR" sz="1100" baseline="0"/>
        </a:p>
        <a:p>
          <a:r>
            <a:rPr lang="tr-TR" sz="1100"/>
            <a:t>*</a:t>
          </a:r>
          <a:r>
            <a:rPr lang="tr-TR" sz="1100" baseline="0"/>
            <a:t> Nakit Çıkışı Gerektiren Faaliyet Giderleri:</a:t>
          </a:r>
        </a:p>
        <a:p>
          <a:r>
            <a:rPr lang="tr-TR" sz="1100" baseline="0"/>
            <a:t>Amortisman dışında ki sabit pazarlama satış ve dağıtım giderleri her çeyrekte eşit olarak ödenecektir. Her çeyreğe düşen değişken pazarlama satış ve dağıtım giderleri ile genel yönetim giderleri oluştuğu çeyrek sonunda ödenecektir.</a:t>
          </a:r>
        </a:p>
        <a:p>
          <a:endParaRPr lang="tr-TR" sz="1100"/>
        </a:p>
        <a:p>
          <a:r>
            <a:rPr lang="tr-TR" sz="1100"/>
            <a:t>* Nakit çıkışı</a:t>
          </a:r>
          <a:r>
            <a:rPr lang="tr-TR" sz="1100" baseline="0"/>
            <a:t> gerektiren diğer işlemler:</a:t>
          </a:r>
        </a:p>
        <a:p>
          <a:r>
            <a:rPr lang="tr-TR" sz="1100" baseline="0"/>
            <a:t>Bina yapımı için ikinci çeyrekte 1 milyon TL, üçüncü çeyrekte 2 milyon TL ödeme yapılacaktır. Makine alımı, ikinci çeyrekte 962.00 TL nakit çıkışı gerektirecektir. Bir önceki yılın temettü ödemesi 600.000 TL olup birinci ve üçüncü çeyrekte iki eşit taksitte ödenecektir. Finansman gideri olarak 200.000 TL birinci çeyrekte ödenecektir. Bir önceki yılın karı nedeniyle ödenmesi gereken 400.000 TL vergi, ikinci ve dördüncü çeyrekte iki eşit taksitte ödenecektir.</a:t>
          </a:r>
          <a:endParaRPr lang="tr-T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66676</xdr:rowOff>
    </xdr:from>
    <xdr:to>
      <xdr:col>8</xdr:col>
      <xdr:colOff>228600</xdr:colOff>
      <xdr:row>3</xdr:row>
      <xdr:rowOff>66676</xdr:rowOff>
    </xdr:to>
    <xdr:sp macro="" textlink="">
      <xdr:nvSpPr>
        <xdr:cNvPr id="2" name="Metin kutusu 1">
          <a:extLst>
            <a:ext uri="{FF2B5EF4-FFF2-40B4-BE49-F238E27FC236}">
              <a16:creationId xmlns:a16="http://schemas.microsoft.com/office/drawing/2014/main" id="{5E6720BF-241A-431A-3226-33FA67346B7B}"/>
            </a:ext>
          </a:extLst>
        </xdr:cNvPr>
        <xdr:cNvSpPr txBox="1"/>
      </xdr:nvSpPr>
      <xdr:spPr>
        <a:xfrm>
          <a:off x="114300" y="66676"/>
          <a:ext cx="615315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Bu raporlar özellikle satış bölgeleri bazında fiili satışlarşa bütçelenmiş satışları karşılaştırıp sapmaları belirlemektedir.</a:t>
          </a:r>
        </a:p>
      </xdr:txBody>
    </xdr:sp>
    <xdr:clientData/>
  </xdr:twoCellAnchor>
  <xdr:twoCellAnchor>
    <xdr:from>
      <xdr:col>0</xdr:col>
      <xdr:colOff>66675</xdr:colOff>
      <xdr:row>10</xdr:row>
      <xdr:rowOff>76200</xdr:rowOff>
    </xdr:from>
    <xdr:to>
      <xdr:col>8</xdr:col>
      <xdr:colOff>95250</xdr:colOff>
      <xdr:row>12</xdr:row>
      <xdr:rowOff>152400</xdr:rowOff>
    </xdr:to>
    <xdr:sp macro="" textlink="">
      <xdr:nvSpPr>
        <xdr:cNvPr id="3" name="Metin kutusu 2">
          <a:extLst>
            <a:ext uri="{FF2B5EF4-FFF2-40B4-BE49-F238E27FC236}">
              <a16:creationId xmlns:a16="http://schemas.microsoft.com/office/drawing/2014/main" id="{EC52D7E8-91AB-3349-C3DF-75AF75CB95B0}"/>
            </a:ext>
          </a:extLst>
        </xdr:cNvPr>
        <xdr:cNvSpPr txBox="1"/>
      </xdr:nvSpPr>
      <xdr:spPr>
        <a:xfrm>
          <a:off x="66675" y="1981200"/>
          <a:ext cx="60674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Gerekli bilgilerin bulunması halinde satış bölgeleri temelinde fiili ve bütçelenmiş satışların karşılaştırılması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38099</xdr:colOff>
      <xdr:row>0</xdr:row>
      <xdr:rowOff>38101</xdr:rowOff>
    </xdr:from>
    <xdr:to>
      <xdr:col>10</xdr:col>
      <xdr:colOff>581024</xdr:colOff>
      <xdr:row>6</xdr:row>
      <xdr:rowOff>47625</xdr:rowOff>
    </xdr:to>
    <xdr:sp macro="" textlink="">
      <xdr:nvSpPr>
        <xdr:cNvPr id="2" name="Metin kutusu 1">
          <a:extLst>
            <a:ext uri="{FF2B5EF4-FFF2-40B4-BE49-F238E27FC236}">
              <a16:creationId xmlns:a16="http://schemas.microsoft.com/office/drawing/2014/main" id="{DBD7ED5A-F155-B272-033C-5FF3D0EA8D38}"/>
            </a:ext>
          </a:extLst>
        </xdr:cNvPr>
        <xdr:cNvSpPr txBox="1"/>
      </xdr:nvSpPr>
      <xdr:spPr>
        <a:xfrm>
          <a:off x="38099" y="38101"/>
          <a:ext cx="6638925" cy="11525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Sorumluluk raporu</a:t>
          </a:r>
          <a:r>
            <a:rPr lang="tr-TR" sz="1100" baseline="0"/>
            <a:t> hazırlamak suretiyle her maliyet merkezi için başarı değerlemesi yapılabilir. Bununla birlikte burada örnek olma açısından yalnızca genel üretim gideri bütçesi sorumluluk raporu ve üretilen mamullerin maliyeti bütçesi sorumluluk raporu düzenlenecektir.</a:t>
          </a:r>
        </a:p>
        <a:p>
          <a:endParaRPr lang="tr-TR" sz="1100" baseline="0"/>
        </a:p>
        <a:p>
          <a:r>
            <a:rPr lang="tr-TR" sz="1100" baseline="0"/>
            <a:t>Eksek Bütçeleme adlı excel dosyasında ABC firması fiili iş hacmi için bütçelenmiş GÜG (43000 saat için) hesaplanmıştır.</a:t>
          </a:r>
          <a:endParaRPr lang="tr-T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171450</xdr:colOff>
      <xdr:row>0</xdr:row>
      <xdr:rowOff>66675</xdr:rowOff>
    </xdr:from>
    <xdr:to>
      <xdr:col>6</xdr:col>
      <xdr:colOff>352425</xdr:colOff>
      <xdr:row>2</xdr:row>
      <xdr:rowOff>152400</xdr:rowOff>
    </xdr:to>
    <xdr:sp macro="" textlink="">
      <xdr:nvSpPr>
        <xdr:cNvPr id="2" name="Metin kutusu 1">
          <a:extLst>
            <a:ext uri="{FF2B5EF4-FFF2-40B4-BE49-F238E27FC236}">
              <a16:creationId xmlns:a16="http://schemas.microsoft.com/office/drawing/2014/main" id="{99F522F5-4107-673D-6A0A-B57D10F6B898}"/>
            </a:ext>
          </a:extLst>
        </xdr:cNvPr>
        <xdr:cNvSpPr txBox="1"/>
      </xdr:nvSpPr>
      <xdr:spPr>
        <a:xfrm>
          <a:off x="171450" y="66675"/>
          <a:ext cx="3838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r-TR" sz="1100"/>
            <a:t>Kar merkezi yöneticisinin</a:t>
          </a:r>
          <a:r>
            <a:rPr lang="tr-TR" sz="1100" baseline="0"/>
            <a:t> başarı değerlemesi:</a:t>
          </a:r>
          <a:endParaRPr lang="tr-T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I82"/>
  <sheetViews>
    <sheetView tabSelected="1" topLeftCell="A43" workbookViewId="0">
      <selection activeCell="K72" sqref="K72"/>
    </sheetView>
  </sheetViews>
  <sheetFormatPr defaultRowHeight="15" x14ac:dyDescent="0.25"/>
  <cols>
    <col min="1" max="1" width="24.140625" bestFit="1" customWidth="1"/>
    <col min="2" max="2" width="13.7109375" bestFit="1" customWidth="1"/>
    <col min="3" max="3" width="14.28515625" bestFit="1" customWidth="1"/>
    <col min="4" max="4" width="14.85546875" bestFit="1" customWidth="1"/>
    <col min="5" max="5" width="15.5703125" bestFit="1" customWidth="1"/>
    <col min="6" max="6" width="14.28515625" customWidth="1"/>
    <col min="7" max="7" width="22" bestFit="1" customWidth="1"/>
    <col min="8" max="8" width="14.140625" bestFit="1" customWidth="1"/>
    <col min="9" max="9" width="14.85546875" bestFit="1" customWidth="1"/>
  </cols>
  <sheetData>
    <row r="8" spans="1:9" x14ac:dyDescent="0.25">
      <c r="A8" s="1" t="s">
        <v>0</v>
      </c>
      <c r="B8" s="1" t="s">
        <v>1</v>
      </c>
      <c r="C8" s="1" t="s">
        <v>2</v>
      </c>
      <c r="E8" s="3"/>
      <c r="F8" s="3" t="s">
        <v>2</v>
      </c>
      <c r="G8" s="39" t="s">
        <v>16</v>
      </c>
      <c r="H8" s="39"/>
      <c r="I8" s="39"/>
    </row>
    <row r="9" spans="1:9" x14ac:dyDescent="0.25">
      <c r="A9" t="s">
        <v>3</v>
      </c>
      <c r="B9" s="2">
        <v>11800</v>
      </c>
      <c r="C9" s="2">
        <v>19700</v>
      </c>
      <c r="D9" s="1"/>
      <c r="E9" s="5"/>
      <c r="F9" s="5"/>
      <c r="G9" s="3" t="s">
        <v>19</v>
      </c>
      <c r="H9" s="3" t="s">
        <v>17</v>
      </c>
      <c r="I9" s="3" t="s">
        <v>18</v>
      </c>
    </row>
    <row r="10" spans="1:9" x14ac:dyDescent="0.25">
      <c r="A10" t="s">
        <v>4</v>
      </c>
      <c r="B10" s="2">
        <v>11600</v>
      </c>
      <c r="C10" s="2">
        <v>19400</v>
      </c>
      <c r="E10" s="3" t="s">
        <v>15</v>
      </c>
      <c r="F10" s="5">
        <v>100</v>
      </c>
      <c r="G10" s="5">
        <v>1000</v>
      </c>
      <c r="H10" s="5">
        <v>1100</v>
      </c>
      <c r="I10" s="5">
        <v>1100</v>
      </c>
    </row>
    <row r="11" spans="1:9" x14ac:dyDescent="0.25">
      <c r="A11" t="s">
        <v>5</v>
      </c>
      <c r="B11" s="2">
        <v>11400</v>
      </c>
      <c r="C11" s="2">
        <v>19100</v>
      </c>
    </row>
    <row r="12" spans="1:9" x14ac:dyDescent="0.25">
      <c r="A12" t="s">
        <v>6</v>
      </c>
      <c r="B12" s="2">
        <v>11200</v>
      </c>
      <c r="C12" s="2">
        <v>18600</v>
      </c>
      <c r="E12" s="5"/>
      <c r="F12" s="3" t="s">
        <v>21</v>
      </c>
      <c r="G12" s="3" t="s">
        <v>20</v>
      </c>
      <c r="H12" s="3" t="s">
        <v>22</v>
      </c>
    </row>
    <row r="13" spans="1:9" x14ac:dyDescent="0.25">
      <c r="A13" t="s">
        <v>7</v>
      </c>
      <c r="B13" s="2">
        <v>11000</v>
      </c>
      <c r="C13" s="2">
        <v>18100</v>
      </c>
      <c r="E13" s="5" t="s">
        <v>16</v>
      </c>
      <c r="F13" s="5">
        <v>1</v>
      </c>
      <c r="G13" s="5">
        <v>100</v>
      </c>
      <c r="H13" s="5">
        <v>2</v>
      </c>
    </row>
    <row r="14" spans="1:9" x14ac:dyDescent="0.25">
      <c r="A14" t="s">
        <v>8</v>
      </c>
      <c r="B14" s="2">
        <v>10700</v>
      </c>
      <c r="C14" s="2">
        <v>17600</v>
      </c>
    </row>
    <row r="15" spans="1:9" ht="30" x14ac:dyDescent="0.25">
      <c r="A15" t="s">
        <v>9</v>
      </c>
      <c r="B15" s="2">
        <v>10500</v>
      </c>
      <c r="C15" s="2">
        <v>17300</v>
      </c>
      <c r="E15" s="5"/>
      <c r="F15" s="3" t="s">
        <v>24</v>
      </c>
      <c r="G15" s="8" t="s">
        <v>25</v>
      </c>
    </row>
    <row r="16" spans="1:9" x14ac:dyDescent="0.25">
      <c r="A16" t="s">
        <v>10</v>
      </c>
      <c r="B16" s="2">
        <v>10400</v>
      </c>
      <c r="C16" s="2">
        <v>17000</v>
      </c>
      <c r="E16" s="3" t="s">
        <v>23</v>
      </c>
      <c r="F16" s="5">
        <v>20</v>
      </c>
      <c r="G16" s="5">
        <v>45000</v>
      </c>
    </row>
    <row r="17" spans="1:8" x14ac:dyDescent="0.25">
      <c r="A17" t="s">
        <v>11</v>
      </c>
      <c r="B17" s="2">
        <v>10300</v>
      </c>
      <c r="C17" s="2">
        <v>16750</v>
      </c>
    </row>
    <row r="18" spans="1:8" x14ac:dyDescent="0.25">
      <c r="A18" t="s">
        <v>12</v>
      </c>
      <c r="B18" s="2">
        <v>10200</v>
      </c>
      <c r="C18" s="2">
        <v>16500</v>
      </c>
      <c r="E18" s="39" t="s">
        <v>26</v>
      </c>
      <c r="F18" s="39"/>
      <c r="G18" s="39"/>
      <c r="H18" s="5"/>
    </row>
    <row r="19" spans="1:8" x14ac:dyDescent="0.25">
      <c r="A19" t="s">
        <v>13</v>
      </c>
      <c r="B19" s="2">
        <v>10100</v>
      </c>
      <c r="C19" s="2">
        <v>16200</v>
      </c>
      <c r="E19" s="4" t="s">
        <v>32</v>
      </c>
      <c r="F19" s="4" t="s">
        <v>33</v>
      </c>
      <c r="G19" s="4" t="s">
        <v>34</v>
      </c>
      <c r="H19" s="4" t="s">
        <v>35</v>
      </c>
    </row>
    <row r="20" spans="1:8" x14ac:dyDescent="0.25">
      <c r="A20" t="s">
        <v>14</v>
      </c>
      <c r="B20" s="2">
        <v>10000</v>
      </c>
      <c r="C20" s="2">
        <v>16000</v>
      </c>
      <c r="E20" s="5" t="s">
        <v>27</v>
      </c>
      <c r="F20" s="7">
        <f>H20-G20</f>
        <v>250000</v>
      </c>
      <c r="G20" s="7">
        <v>765000</v>
      </c>
      <c r="H20" s="7">
        <v>1015000</v>
      </c>
    </row>
    <row r="21" spans="1:8" x14ac:dyDescent="0.25">
      <c r="E21" s="5" t="s">
        <v>28</v>
      </c>
      <c r="F21" s="7">
        <v>7000000</v>
      </c>
      <c r="G21" s="7"/>
      <c r="H21" s="7">
        <v>7000000</v>
      </c>
    </row>
    <row r="22" spans="1:8" x14ac:dyDescent="0.25">
      <c r="E22" s="5" t="s">
        <v>29</v>
      </c>
      <c r="F22" s="7">
        <v>3000000</v>
      </c>
      <c r="G22" s="7"/>
      <c r="H22" s="7">
        <v>3000000</v>
      </c>
    </row>
    <row r="23" spans="1:8" x14ac:dyDescent="0.25">
      <c r="E23" s="5" t="s">
        <v>30</v>
      </c>
      <c r="F23" s="7">
        <f>H23-G23</f>
        <v>1000000</v>
      </c>
      <c r="G23" s="7">
        <v>990000</v>
      </c>
      <c r="H23" s="7">
        <v>1990000</v>
      </c>
    </row>
    <row r="24" spans="1:8" x14ac:dyDescent="0.25">
      <c r="E24" s="5" t="s">
        <v>31</v>
      </c>
      <c r="F24" s="7"/>
      <c r="G24" s="7">
        <v>495000</v>
      </c>
      <c r="H24" s="7">
        <v>495000</v>
      </c>
    </row>
    <row r="25" spans="1:8" x14ac:dyDescent="0.25">
      <c r="E25" s="16" t="s">
        <v>36</v>
      </c>
      <c r="F25" s="2">
        <f>SUM(F20:F24)</f>
        <v>11250000</v>
      </c>
      <c r="G25" s="2">
        <f t="shared" ref="G25:H25" si="0">SUM(G20:G24)</f>
        <v>2250000</v>
      </c>
      <c r="H25" s="2">
        <f t="shared" si="0"/>
        <v>13500000</v>
      </c>
    </row>
    <row r="27" spans="1:8" x14ac:dyDescent="0.25">
      <c r="G27" s="1" t="s">
        <v>95</v>
      </c>
      <c r="H27">
        <f>H25/G16</f>
        <v>300</v>
      </c>
    </row>
    <row r="30" spans="1:8" x14ac:dyDescent="0.25">
      <c r="A30" s="9" t="s">
        <v>0</v>
      </c>
      <c r="B30" s="9" t="s">
        <v>19</v>
      </c>
      <c r="C30" s="9" t="s">
        <v>17</v>
      </c>
      <c r="D30" s="9" t="s">
        <v>18</v>
      </c>
      <c r="E30" s="9" t="s">
        <v>36</v>
      </c>
    </row>
    <row r="31" spans="1:8" x14ac:dyDescent="0.25">
      <c r="A31" t="s">
        <v>3</v>
      </c>
      <c r="B31" s="2">
        <v>600</v>
      </c>
      <c r="C31" s="2">
        <v>800</v>
      </c>
      <c r="D31" s="2">
        <v>500</v>
      </c>
      <c r="E31" s="2">
        <f>SUM(B31:D31)</f>
        <v>1900</v>
      </c>
    </row>
    <row r="32" spans="1:8" x14ac:dyDescent="0.25">
      <c r="A32" t="s">
        <v>4</v>
      </c>
      <c r="B32" s="2">
        <v>600</v>
      </c>
      <c r="C32" s="2">
        <v>900</v>
      </c>
      <c r="D32" s="2">
        <v>400</v>
      </c>
      <c r="E32" s="2">
        <f t="shared" ref="E32:E42" si="1">SUM(B32:D32)</f>
        <v>1900</v>
      </c>
    </row>
    <row r="33" spans="1:5" x14ac:dyDescent="0.25">
      <c r="A33" t="s">
        <v>5</v>
      </c>
      <c r="B33" s="2">
        <v>500</v>
      </c>
      <c r="C33" s="2">
        <v>900</v>
      </c>
      <c r="D33" s="2">
        <v>500</v>
      </c>
      <c r="E33" s="2">
        <f t="shared" si="1"/>
        <v>1900</v>
      </c>
    </row>
    <row r="34" spans="1:5" x14ac:dyDescent="0.25">
      <c r="A34" t="s">
        <v>6</v>
      </c>
      <c r="B34" s="2">
        <v>800</v>
      </c>
      <c r="C34" s="2">
        <v>1200</v>
      </c>
      <c r="D34" s="2">
        <v>600</v>
      </c>
      <c r="E34" s="2">
        <f t="shared" si="1"/>
        <v>2600</v>
      </c>
    </row>
    <row r="35" spans="1:5" x14ac:dyDescent="0.25">
      <c r="A35" t="s">
        <v>7</v>
      </c>
      <c r="B35" s="2">
        <v>900</v>
      </c>
      <c r="C35" s="2">
        <v>1200</v>
      </c>
      <c r="D35" s="2">
        <v>600</v>
      </c>
      <c r="E35" s="2">
        <f t="shared" si="1"/>
        <v>2700</v>
      </c>
    </row>
    <row r="36" spans="1:5" x14ac:dyDescent="0.25">
      <c r="A36" t="s">
        <v>8</v>
      </c>
      <c r="B36" s="2">
        <v>900</v>
      </c>
      <c r="C36" s="2">
        <v>1200</v>
      </c>
      <c r="D36" s="2">
        <v>700</v>
      </c>
      <c r="E36" s="2">
        <f t="shared" si="1"/>
        <v>2800</v>
      </c>
    </row>
    <row r="37" spans="1:5" x14ac:dyDescent="0.25">
      <c r="A37" t="s">
        <v>9</v>
      </c>
      <c r="B37" s="2">
        <v>500</v>
      </c>
      <c r="C37" s="2">
        <v>700</v>
      </c>
      <c r="D37" s="2">
        <v>500</v>
      </c>
      <c r="E37" s="2">
        <f t="shared" si="1"/>
        <v>1700</v>
      </c>
    </row>
    <row r="38" spans="1:5" x14ac:dyDescent="0.25">
      <c r="A38" t="s">
        <v>10</v>
      </c>
      <c r="B38" s="2">
        <v>500</v>
      </c>
      <c r="C38" s="2">
        <v>700</v>
      </c>
      <c r="D38" s="2">
        <v>400</v>
      </c>
      <c r="E38" s="2">
        <f t="shared" si="1"/>
        <v>1600</v>
      </c>
    </row>
    <row r="39" spans="1:5" x14ac:dyDescent="0.25">
      <c r="A39" t="s">
        <v>11</v>
      </c>
      <c r="B39" s="2">
        <v>500</v>
      </c>
      <c r="C39" s="2">
        <v>600</v>
      </c>
      <c r="D39" s="2">
        <v>400</v>
      </c>
      <c r="E39" s="2">
        <f t="shared" si="1"/>
        <v>1500</v>
      </c>
    </row>
    <row r="40" spans="1:5" x14ac:dyDescent="0.25">
      <c r="A40" t="s">
        <v>12</v>
      </c>
      <c r="B40" s="2">
        <v>400</v>
      </c>
      <c r="C40" s="2">
        <v>600</v>
      </c>
      <c r="D40" s="2">
        <v>500</v>
      </c>
      <c r="E40" s="2">
        <f t="shared" si="1"/>
        <v>1500</v>
      </c>
    </row>
    <row r="41" spans="1:5" x14ac:dyDescent="0.25">
      <c r="A41" t="s">
        <v>13</v>
      </c>
      <c r="B41" s="2">
        <v>500</v>
      </c>
      <c r="C41" s="2">
        <v>500</v>
      </c>
      <c r="D41" s="2">
        <v>500</v>
      </c>
      <c r="E41" s="2">
        <f t="shared" si="1"/>
        <v>1500</v>
      </c>
    </row>
    <row r="42" spans="1:5" x14ac:dyDescent="0.25">
      <c r="A42" t="s">
        <v>14</v>
      </c>
      <c r="B42" s="2">
        <v>300</v>
      </c>
      <c r="C42" s="2">
        <v>700</v>
      </c>
      <c r="D42" s="2">
        <v>400</v>
      </c>
      <c r="E42" s="2">
        <f t="shared" si="1"/>
        <v>1400</v>
      </c>
    </row>
    <row r="48" spans="1:5" x14ac:dyDescent="0.25">
      <c r="A48" s="9" t="s">
        <v>37</v>
      </c>
      <c r="B48" s="9" t="s">
        <v>19</v>
      </c>
      <c r="C48" s="9" t="s">
        <v>17</v>
      </c>
      <c r="D48" s="9" t="s">
        <v>18</v>
      </c>
    </row>
    <row r="49" spans="1:4" x14ac:dyDescent="0.25">
      <c r="A49" t="s">
        <v>38</v>
      </c>
      <c r="B49" s="2">
        <v>40000</v>
      </c>
      <c r="C49" s="2">
        <v>20000</v>
      </c>
      <c r="D49" s="2">
        <v>20000</v>
      </c>
    </row>
    <row r="50" spans="1:4" x14ac:dyDescent="0.25">
      <c r="A50" t="s">
        <v>28</v>
      </c>
      <c r="B50" s="2">
        <v>140000</v>
      </c>
      <c r="C50" s="2">
        <v>100000</v>
      </c>
      <c r="D50" s="2">
        <v>80000</v>
      </c>
    </row>
    <row r="51" spans="1:4" x14ac:dyDescent="0.25">
      <c r="A51" t="s">
        <v>36</v>
      </c>
      <c r="B51" s="10">
        <f>SUM(B49:B50)</f>
        <v>180000</v>
      </c>
      <c r="C51" s="10">
        <f t="shared" ref="C51:D51" si="2">SUM(C49:C50)</f>
        <v>120000</v>
      </c>
      <c r="D51" s="10">
        <f t="shared" si="2"/>
        <v>100000</v>
      </c>
    </row>
    <row r="52" spans="1:4" x14ac:dyDescent="0.25">
      <c r="A52" s="1" t="s">
        <v>39</v>
      </c>
      <c r="B52" s="2"/>
      <c r="C52" s="2"/>
      <c r="D52" s="2"/>
    </row>
    <row r="53" spans="1:4" x14ac:dyDescent="0.25">
      <c r="A53" t="s">
        <v>38</v>
      </c>
      <c r="B53" s="2">
        <v>80000</v>
      </c>
      <c r="C53" s="2">
        <v>40000</v>
      </c>
      <c r="D53" s="2">
        <v>40000</v>
      </c>
    </row>
    <row r="54" spans="1:4" x14ac:dyDescent="0.25">
      <c r="A54" t="s">
        <v>28</v>
      </c>
      <c r="B54" s="2">
        <v>280000</v>
      </c>
      <c r="C54" s="2">
        <v>200000</v>
      </c>
      <c r="D54" s="2">
        <v>160000</v>
      </c>
    </row>
    <row r="55" spans="1:4" x14ac:dyDescent="0.25">
      <c r="A55" t="s">
        <v>36</v>
      </c>
      <c r="B55" s="10">
        <f>SUM(B53:B54)</f>
        <v>360000</v>
      </c>
      <c r="C55" s="10">
        <f t="shared" ref="C55:D55" si="3">SUM(C53:C54)</f>
        <v>240000</v>
      </c>
      <c r="D55" s="10">
        <f t="shared" si="3"/>
        <v>200000</v>
      </c>
    </row>
    <row r="62" spans="1:4" x14ac:dyDescent="0.25">
      <c r="A62" t="s">
        <v>40</v>
      </c>
      <c r="B62" s="2">
        <v>238000</v>
      </c>
    </row>
    <row r="63" spans="1:4" x14ac:dyDescent="0.25">
      <c r="A63" t="s">
        <v>41</v>
      </c>
      <c r="B63" s="2">
        <v>200000</v>
      </c>
    </row>
    <row r="65" spans="1:4" x14ac:dyDescent="0.25">
      <c r="A65" s="40" t="s">
        <v>42</v>
      </c>
      <c r="B65" s="40"/>
      <c r="C65" s="40"/>
      <c r="D65" s="40"/>
    </row>
    <row r="66" spans="1:4" x14ac:dyDescent="0.25">
      <c r="A66" s="1" t="s">
        <v>43</v>
      </c>
      <c r="B66" s="1" t="s">
        <v>44</v>
      </c>
      <c r="C66" s="1" t="s">
        <v>45</v>
      </c>
      <c r="D66" s="1" t="s">
        <v>46</v>
      </c>
    </row>
    <row r="67" spans="1:4" x14ac:dyDescent="0.25">
      <c r="A67" t="s">
        <v>48</v>
      </c>
      <c r="B67">
        <v>2023</v>
      </c>
      <c r="C67">
        <v>2024</v>
      </c>
      <c r="D67" s="2">
        <v>3000000</v>
      </c>
    </row>
    <row r="68" spans="1:4" x14ac:dyDescent="0.25">
      <c r="A68" t="s">
        <v>49</v>
      </c>
      <c r="B68">
        <v>2023</v>
      </c>
      <c r="C68">
        <v>2024</v>
      </c>
      <c r="D68" s="2">
        <v>962000</v>
      </c>
    </row>
    <row r="69" spans="1:4" x14ac:dyDescent="0.25">
      <c r="A69" t="s">
        <v>50</v>
      </c>
      <c r="B69">
        <v>2024</v>
      </c>
      <c r="C69">
        <v>2024</v>
      </c>
      <c r="D69" s="2">
        <v>550000</v>
      </c>
    </row>
    <row r="72" spans="1:4" x14ac:dyDescent="0.25">
      <c r="A72" s="40" t="s">
        <v>57</v>
      </c>
      <c r="B72" s="40"/>
      <c r="C72" s="40"/>
      <c r="D72" s="40"/>
    </row>
    <row r="73" spans="1:4" x14ac:dyDescent="0.25">
      <c r="B73" s="9" t="s">
        <v>51</v>
      </c>
      <c r="C73" s="9" t="s">
        <v>52</v>
      </c>
      <c r="D73" s="9" t="s">
        <v>53</v>
      </c>
    </row>
    <row r="74" spans="1:4" x14ac:dyDescent="0.25">
      <c r="A74" t="s">
        <v>54</v>
      </c>
      <c r="B74" s="2">
        <v>41038000</v>
      </c>
      <c r="C74" s="2">
        <v>7000000</v>
      </c>
      <c r="D74" s="2">
        <f>B74-C74</f>
        <v>34038000</v>
      </c>
    </row>
    <row r="75" spans="1:4" x14ac:dyDescent="0.25">
      <c r="A75" t="s">
        <v>47</v>
      </c>
      <c r="B75" s="2">
        <v>17000000</v>
      </c>
      <c r="C75" s="2">
        <v>9000000</v>
      </c>
      <c r="D75" s="2">
        <f t="shared" ref="D75:D76" si="4">B75-C75</f>
        <v>8000000</v>
      </c>
    </row>
    <row r="76" spans="1:4" x14ac:dyDescent="0.25">
      <c r="A76" s="11" t="s">
        <v>55</v>
      </c>
      <c r="B76" s="10">
        <v>15000000</v>
      </c>
      <c r="C76" s="10">
        <v>6000000</v>
      </c>
      <c r="D76" s="10">
        <f t="shared" si="4"/>
        <v>9000000</v>
      </c>
    </row>
    <row r="77" spans="1:4" x14ac:dyDescent="0.25">
      <c r="A77" s="1" t="s">
        <v>56</v>
      </c>
      <c r="B77" s="2">
        <f>SUM(B74:B76)</f>
        <v>73038000</v>
      </c>
      <c r="C77" s="2">
        <f t="shared" ref="C77:D77" si="5">SUM(C74:C76)</f>
        <v>22000000</v>
      </c>
      <c r="D77" s="2">
        <f t="shared" si="5"/>
        <v>51038000</v>
      </c>
    </row>
    <row r="79" spans="1:4" x14ac:dyDescent="0.25">
      <c r="A79" t="s">
        <v>58</v>
      </c>
      <c r="B79" s="2">
        <v>2000000</v>
      </c>
    </row>
    <row r="80" spans="1:4" x14ac:dyDescent="0.25">
      <c r="A80" t="s">
        <v>59</v>
      </c>
      <c r="B80" s="2">
        <v>55688000</v>
      </c>
    </row>
    <row r="81" spans="1:2" x14ac:dyDescent="0.25">
      <c r="A81" t="s">
        <v>60</v>
      </c>
      <c r="B81" s="2">
        <v>9400000</v>
      </c>
    </row>
    <row r="82" spans="1:2" x14ac:dyDescent="0.25">
      <c r="A82" t="s">
        <v>61</v>
      </c>
      <c r="B82" s="2">
        <v>400000</v>
      </c>
    </row>
  </sheetData>
  <mergeCells count="4">
    <mergeCell ref="G8:I8"/>
    <mergeCell ref="E18:G18"/>
    <mergeCell ref="A65:D65"/>
    <mergeCell ref="A72:D72"/>
  </mergeCells>
  <phoneticPr fontId="3"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2528-08AA-4CEC-B2B9-E75D607F0529}">
  <dimension ref="A5:L32"/>
  <sheetViews>
    <sheetView workbookViewId="0">
      <selection activeCell="J8" sqref="J8"/>
    </sheetView>
  </sheetViews>
  <sheetFormatPr defaultRowHeight="15" x14ac:dyDescent="0.25"/>
  <cols>
    <col min="1" max="1" width="14.85546875" bestFit="1" customWidth="1"/>
    <col min="2" max="2" width="13.5703125" bestFit="1" customWidth="1"/>
    <col min="3" max="3" width="19" bestFit="1" customWidth="1"/>
    <col min="4" max="4" width="11.140625" bestFit="1" customWidth="1"/>
    <col min="5" max="5" width="13.140625" customWidth="1"/>
    <col min="9" max="9" width="13.5703125" bestFit="1" customWidth="1"/>
    <col min="12" max="12" width="11" customWidth="1"/>
  </cols>
  <sheetData>
    <row r="5" spans="1:12" x14ac:dyDescent="0.25">
      <c r="A5" s="41" t="s">
        <v>206</v>
      </c>
      <c r="B5" s="41"/>
      <c r="C5" s="41"/>
      <c r="D5" s="41"/>
    </row>
    <row r="6" spans="1:12" x14ac:dyDescent="0.25">
      <c r="A6" s="1" t="s">
        <v>63</v>
      </c>
      <c r="B6" s="1" t="s">
        <v>203</v>
      </c>
      <c r="C6" s="1" t="s">
        <v>204</v>
      </c>
      <c r="D6" s="1" t="s">
        <v>205</v>
      </c>
    </row>
    <row r="7" spans="1:12" x14ac:dyDescent="0.25">
      <c r="A7" s="13" t="s">
        <v>19</v>
      </c>
      <c r="B7" s="2">
        <v>6500000</v>
      </c>
      <c r="C7" s="2">
        <f>VLOOKUP(A7,'Satış Bütçesi'!$A$11:$F$13,6,0)*1000</f>
        <v>7000000</v>
      </c>
      <c r="D7" s="2">
        <f>B7-C7</f>
        <v>-500000</v>
      </c>
    </row>
    <row r="8" spans="1:12" x14ac:dyDescent="0.25">
      <c r="A8" s="13" t="s">
        <v>17</v>
      </c>
      <c r="B8" s="2">
        <v>12000000</v>
      </c>
      <c r="C8" s="2">
        <f>VLOOKUP(A8,'Satış Bütçesi'!$A$11:$F$13,6,0)*1000</f>
        <v>11000000</v>
      </c>
      <c r="D8" s="2">
        <f t="shared" ref="D8:D10" si="0">B8-C8</f>
        <v>1000000</v>
      </c>
    </row>
    <row r="9" spans="1:12" x14ac:dyDescent="0.25">
      <c r="A9" s="13" t="s">
        <v>18</v>
      </c>
      <c r="B9" s="2">
        <v>6650000</v>
      </c>
      <c r="C9" s="2">
        <f>VLOOKUP(A9,'Satış Bütçesi'!$A$11:$F$13,6,0)*1000</f>
        <v>6600000</v>
      </c>
      <c r="D9" s="2">
        <f t="shared" si="0"/>
        <v>50000</v>
      </c>
    </row>
    <row r="10" spans="1:12" x14ac:dyDescent="0.25">
      <c r="A10" s="1" t="s">
        <v>56</v>
      </c>
      <c r="B10" s="15">
        <f>SUM(B7:B9)</f>
        <v>25150000</v>
      </c>
      <c r="C10" s="15">
        <f>SUM(C7:C9)</f>
        <v>24600000</v>
      </c>
      <c r="D10" s="15">
        <f t="shared" si="0"/>
        <v>550000</v>
      </c>
    </row>
    <row r="14" spans="1:12" x14ac:dyDescent="0.25">
      <c r="H14" s="1" t="s">
        <v>207</v>
      </c>
      <c r="I14">
        <v>2023</v>
      </c>
    </row>
    <row r="15" spans="1:12" x14ac:dyDescent="0.25">
      <c r="A15" s="1" t="s">
        <v>63</v>
      </c>
      <c r="B15" s="13" t="s">
        <v>19</v>
      </c>
      <c r="H15" s="1" t="s">
        <v>63</v>
      </c>
      <c r="I15" s="13" t="s">
        <v>19</v>
      </c>
      <c r="J15" s="1" t="s">
        <v>213</v>
      </c>
      <c r="K15" t="s">
        <v>214</v>
      </c>
    </row>
    <row r="16" spans="1:12" ht="75" x14ac:dyDescent="0.25">
      <c r="A16" s="1" t="s">
        <v>207</v>
      </c>
      <c r="B16" s="31" t="s">
        <v>208</v>
      </c>
      <c r="C16" s="31" t="s">
        <v>209</v>
      </c>
      <c r="D16" s="31" t="s">
        <v>203</v>
      </c>
      <c r="E16" s="31" t="s">
        <v>204</v>
      </c>
      <c r="F16" s="31"/>
      <c r="H16" s="44" t="s">
        <v>212</v>
      </c>
      <c r="I16" s="44"/>
      <c r="J16" s="44"/>
      <c r="K16" s="44"/>
      <c r="L16" s="44"/>
    </row>
    <row r="17" spans="1:12" x14ac:dyDescent="0.25">
      <c r="A17" t="s">
        <v>150</v>
      </c>
      <c r="B17">
        <v>1100</v>
      </c>
      <c r="C17">
        <f>SUM(I19:I21)</f>
        <v>1500</v>
      </c>
      <c r="D17" s="2">
        <f>B17*C17</f>
        <v>1650000</v>
      </c>
      <c r="E17" s="2">
        <f>HLOOKUP(LEFT(A17,2),'Satış Bütçesi'!$B$10:$E$11,2,0)*1000</f>
        <v>1700000</v>
      </c>
      <c r="H17" s="44" t="s">
        <v>125</v>
      </c>
      <c r="I17" s="1"/>
      <c r="J17" s="1"/>
      <c r="K17" s="40" t="s">
        <v>211</v>
      </c>
      <c r="L17" s="40"/>
    </row>
    <row r="18" spans="1:12" x14ac:dyDescent="0.25">
      <c r="A18" t="s">
        <v>151</v>
      </c>
      <c r="B18">
        <v>950</v>
      </c>
      <c r="C18">
        <f>SUM(I22:I24)</f>
        <v>2500</v>
      </c>
      <c r="D18" s="2">
        <f t="shared" ref="D18:D20" si="1">B18*C18</f>
        <v>2375000</v>
      </c>
      <c r="E18" s="2">
        <f>HLOOKUP(LEFT(A18,2),'Satış Bütçesi'!$B$10:$E$11,2,0)*1000</f>
        <v>2600000</v>
      </c>
      <c r="H18" s="44"/>
      <c r="I18" s="1" t="s">
        <v>210</v>
      </c>
      <c r="J18" s="1" t="s">
        <v>205</v>
      </c>
      <c r="K18" s="1" t="s">
        <v>210</v>
      </c>
      <c r="L18" s="1" t="s">
        <v>205</v>
      </c>
    </row>
    <row r="19" spans="1:12" x14ac:dyDescent="0.25">
      <c r="A19" t="s">
        <v>152</v>
      </c>
      <c r="B19">
        <v>1000</v>
      </c>
      <c r="C19">
        <f>SUM(I25:I27)</f>
        <v>1500</v>
      </c>
      <c r="D19" s="2">
        <f t="shared" si="1"/>
        <v>1500000</v>
      </c>
      <c r="E19" s="2">
        <f>HLOOKUP(LEFT(A19,2),'Satış Bütçesi'!$B$10:$E$11,2,0)*1000</f>
        <v>1500000</v>
      </c>
      <c r="H19" t="s">
        <v>3</v>
      </c>
      <c r="I19">
        <v>500</v>
      </c>
      <c r="J19" s="2">
        <f>'Satış Kontrol Raporu'!I19-'Genel Bilgiler'!B31</f>
        <v>-100</v>
      </c>
    </row>
    <row r="20" spans="1:12" x14ac:dyDescent="0.25">
      <c r="A20" t="s">
        <v>153</v>
      </c>
      <c r="B20">
        <v>1200</v>
      </c>
      <c r="C20">
        <f>SUM(I28:I30)</f>
        <v>1000</v>
      </c>
      <c r="D20" s="2">
        <f t="shared" si="1"/>
        <v>1200000</v>
      </c>
      <c r="E20" s="2">
        <f>HLOOKUP(LEFT(A20,2),'Satış Bütçesi'!$B$10:$E$11,2,0)*1000</f>
        <v>1200000</v>
      </c>
      <c r="H20" t="s">
        <v>4</v>
      </c>
      <c r="I20">
        <v>500</v>
      </c>
      <c r="J20" s="2">
        <f>'Satış Kontrol Raporu'!I20-'Genel Bilgiler'!B32</f>
        <v>-100</v>
      </c>
      <c r="K20">
        <f>SUM($I$19:I20)</f>
        <v>1000</v>
      </c>
      <c r="L20" s="2">
        <f>SUM($J$19:J20)</f>
        <v>-200</v>
      </c>
    </row>
    <row r="21" spans="1:12" x14ac:dyDescent="0.25">
      <c r="A21" s="1" t="s">
        <v>56</v>
      </c>
      <c r="B21" s="2"/>
      <c r="C21" s="2">
        <f t="shared" ref="C21:D21" si="2">SUM(C17:C20)</f>
        <v>6500</v>
      </c>
      <c r="D21" s="2">
        <f t="shared" si="2"/>
        <v>6725000</v>
      </c>
      <c r="E21" s="2">
        <f>SUM(E17:E20)</f>
        <v>7000000</v>
      </c>
      <c r="H21" t="s">
        <v>5</v>
      </c>
      <c r="I21">
        <v>500</v>
      </c>
      <c r="J21" s="2">
        <f>'Satış Kontrol Raporu'!I21-'Genel Bilgiler'!B33</f>
        <v>0</v>
      </c>
      <c r="K21">
        <f>SUM($I$19:I21)</f>
        <v>1500</v>
      </c>
      <c r="L21" s="2">
        <f>SUM($J$19:J21)</f>
        <v>-200</v>
      </c>
    </row>
    <row r="22" spans="1:12" x14ac:dyDescent="0.25">
      <c r="H22" t="s">
        <v>6</v>
      </c>
      <c r="I22">
        <v>800</v>
      </c>
      <c r="J22" s="2">
        <f>'Satış Kontrol Raporu'!I22-'Genel Bilgiler'!B34</f>
        <v>0</v>
      </c>
      <c r="K22">
        <f>SUM($I$19:I22)</f>
        <v>2300</v>
      </c>
      <c r="L22" s="2">
        <f>SUM($J$19:J22)</f>
        <v>-200</v>
      </c>
    </row>
    <row r="23" spans="1:12" x14ac:dyDescent="0.25">
      <c r="A23" s="41" t="s">
        <v>215</v>
      </c>
      <c r="B23" s="41"/>
      <c r="C23" s="41"/>
      <c r="D23" s="41"/>
      <c r="H23" t="s">
        <v>7</v>
      </c>
      <c r="I23">
        <v>900</v>
      </c>
      <c r="J23" s="2">
        <f>'Satış Kontrol Raporu'!I23-'Genel Bilgiler'!B35</f>
        <v>0</v>
      </c>
      <c r="K23">
        <f>SUM($I$19:I23)</f>
        <v>3200</v>
      </c>
      <c r="L23" s="2">
        <f>SUM($J$19:J23)</f>
        <v>-200</v>
      </c>
    </row>
    <row r="24" spans="1:12" x14ac:dyDescent="0.25">
      <c r="A24" s="32" t="s">
        <v>207</v>
      </c>
      <c r="B24" s="33">
        <v>2023</v>
      </c>
      <c r="C24" s="33"/>
      <c r="D24" s="33"/>
      <c r="E24" s="34"/>
      <c r="H24" t="s">
        <v>8</v>
      </c>
      <c r="I24">
        <v>800</v>
      </c>
      <c r="J24" s="2">
        <f>'Satış Kontrol Raporu'!I24-'Genel Bilgiler'!B36</f>
        <v>-100</v>
      </c>
      <c r="K24">
        <f>SUM($I$19:I24)</f>
        <v>4000</v>
      </c>
      <c r="L24" s="2">
        <f>SUM($J$19:J24)</f>
        <v>-300</v>
      </c>
    </row>
    <row r="25" spans="1:12" x14ac:dyDescent="0.25">
      <c r="A25" s="35" t="s">
        <v>63</v>
      </c>
      <c r="B25" s="36" t="s">
        <v>19</v>
      </c>
      <c r="C25" s="9" t="s">
        <v>213</v>
      </c>
      <c r="D25" s="11" t="s">
        <v>214</v>
      </c>
      <c r="E25" s="37"/>
      <c r="H25" t="s">
        <v>9</v>
      </c>
      <c r="I25">
        <v>500</v>
      </c>
      <c r="J25" s="2">
        <f>'Satış Kontrol Raporu'!I25-'Genel Bilgiler'!B37</f>
        <v>0</v>
      </c>
      <c r="K25">
        <f>SUM($I$19:I25)</f>
        <v>4500</v>
      </c>
      <c r="L25" s="2">
        <f>SUM($J$19:J25)</f>
        <v>-300</v>
      </c>
    </row>
    <row r="26" spans="1:12" x14ac:dyDescent="0.25">
      <c r="A26" s="44" t="s">
        <v>125</v>
      </c>
      <c r="B26" s="1"/>
      <c r="C26" s="1"/>
      <c r="D26" s="40" t="s">
        <v>211</v>
      </c>
      <c r="E26" s="40"/>
      <c r="H26" t="s">
        <v>10</v>
      </c>
      <c r="I26">
        <v>500</v>
      </c>
      <c r="J26" s="2">
        <f>'Satış Kontrol Raporu'!I26-'Genel Bilgiler'!B38</f>
        <v>0</v>
      </c>
      <c r="K26">
        <f>SUM($I$19:I26)</f>
        <v>5000</v>
      </c>
      <c r="L26" s="2">
        <f>SUM($J$19:J26)</f>
        <v>-300</v>
      </c>
    </row>
    <row r="27" spans="1:12" x14ac:dyDescent="0.25">
      <c r="A27" s="44"/>
      <c r="B27" s="1" t="s">
        <v>210</v>
      </c>
      <c r="C27" s="1" t="s">
        <v>205</v>
      </c>
      <c r="D27" s="1" t="s">
        <v>210</v>
      </c>
      <c r="E27" s="1" t="s">
        <v>205</v>
      </c>
      <c r="H27" t="s">
        <v>11</v>
      </c>
      <c r="I27">
        <v>500</v>
      </c>
      <c r="J27" s="2">
        <f>'Satış Kontrol Raporu'!I27-'Genel Bilgiler'!B39</f>
        <v>0</v>
      </c>
      <c r="K27">
        <f>SUM($I$19:I27)</f>
        <v>5500</v>
      </c>
      <c r="L27" s="2">
        <f>SUM($J$19:J27)</f>
        <v>-300</v>
      </c>
    </row>
    <row r="28" spans="1:12" x14ac:dyDescent="0.25">
      <c r="A28" t="s">
        <v>150</v>
      </c>
      <c r="B28" s="2">
        <f>D17</f>
        <v>1650000</v>
      </c>
      <c r="C28">
        <f>B28-HLOOKUP(LEFT(A28,2),'Satış Bütçesi'!$B$10:$E$11,2,0)*1000</f>
        <v>-50000</v>
      </c>
      <c r="D28" s="2">
        <f>SUM($B$28:B28)</f>
        <v>1650000</v>
      </c>
      <c r="E28">
        <f>SUM($C$28:C28)</f>
        <v>-50000</v>
      </c>
      <c r="H28" t="s">
        <v>12</v>
      </c>
      <c r="I28">
        <v>300</v>
      </c>
      <c r="J28" s="2">
        <f>'Satış Kontrol Raporu'!I28-'Genel Bilgiler'!B40</f>
        <v>-100</v>
      </c>
      <c r="K28">
        <f>SUM($I$19:I28)</f>
        <v>5800</v>
      </c>
      <c r="L28" s="2">
        <f>SUM($J$19:J28)</f>
        <v>-400</v>
      </c>
    </row>
    <row r="29" spans="1:12" x14ac:dyDescent="0.25">
      <c r="A29" t="s">
        <v>151</v>
      </c>
      <c r="B29" s="2">
        <f t="shared" ref="B29:B31" si="3">D18</f>
        <v>2375000</v>
      </c>
      <c r="C29">
        <f>B29-HLOOKUP(LEFT(A29,2),'Satış Bütçesi'!$B$10:$E$11,2,0)*1000</f>
        <v>-225000</v>
      </c>
      <c r="D29" s="2">
        <f>SUM($B$28:B29)</f>
        <v>4025000</v>
      </c>
      <c r="E29">
        <f>SUM($C$28:C29)</f>
        <v>-275000</v>
      </c>
      <c r="H29" t="s">
        <v>13</v>
      </c>
      <c r="I29">
        <v>400</v>
      </c>
      <c r="J29" s="2">
        <f>'Satış Kontrol Raporu'!I29-'Genel Bilgiler'!B41</f>
        <v>-100</v>
      </c>
      <c r="K29">
        <f>SUM($I$19:I29)</f>
        <v>6200</v>
      </c>
      <c r="L29" s="2">
        <f>SUM($J$19:J29)</f>
        <v>-500</v>
      </c>
    </row>
    <row r="30" spans="1:12" x14ac:dyDescent="0.25">
      <c r="A30" t="s">
        <v>152</v>
      </c>
      <c r="B30" s="2">
        <f t="shared" si="3"/>
        <v>1500000</v>
      </c>
      <c r="C30">
        <f>B30-HLOOKUP(LEFT(A30,2),'Satış Bütçesi'!$B$10:$E$11,2,0)*1000</f>
        <v>0</v>
      </c>
      <c r="D30" s="2">
        <f>SUM($B$28:B30)</f>
        <v>5525000</v>
      </c>
      <c r="E30">
        <f>SUM($C$28:C30)</f>
        <v>-275000</v>
      </c>
      <c r="H30" t="s">
        <v>14</v>
      </c>
      <c r="I30">
        <v>300</v>
      </c>
      <c r="J30" s="2">
        <f>'Satış Kontrol Raporu'!I30-'Genel Bilgiler'!B42</f>
        <v>0</v>
      </c>
      <c r="K30">
        <f>SUM($I$19:I30)</f>
        <v>6500</v>
      </c>
      <c r="L30" s="2">
        <f>SUM($J$19:J30)</f>
        <v>-500</v>
      </c>
    </row>
    <row r="31" spans="1:12" x14ac:dyDescent="0.25">
      <c r="A31" t="s">
        <v>153</v>
      </c>
      <c r="B31" s="2">
        <f t="shared" si="3"/>
        <v>1200000</v>
      </c>
      <c r="C31">
        <f>B31-HLOOKUP(LEFT(A31,2),'Satış Bütçesi'!$B$10:$E$11,2,0)*1000</f>
        <v>0</v>
      </c>
      <c r="D31" s="2">
        <f>SUM($B$28:B31)</f>
        <v>6725000</v>
      </c>
      <c r="E31">
        <f>SUM($C$28:C31)</f>
        <v>-275000</v>
      </c>
      <c r="H31" t="s">
        <v>36</v>
      </c>
      <c r="I31">
        <f>SUM(I19:I30)</f>
        <v>6500</v>
      </c>
      <c r="J31">
        <f>SUM(J19:J30)</f>
        <v>-500</v>
      </c>
    </row>
    <row r="32" spans="1:12" x14ac:dyDescent="0.25">
      <c r="A32" s="1" t="s">
        <v>56</v>
      </c>
      <c r="B32" s="2">
        <f>SUM(B28:B31)</f>
        <v>6725000</v>
      </c>
      <c r="C32" s="2">
        <f>SUM(C28:C31)</f>
        <v>-275000</v>
      </c>
    </row>
  </sheetData>
  <mergeCells count="7">
    <mergeCell ref="A26:A27"/>
    <mergeCell ref="D26:E26"/>
    <mergeCell ref="A5:D5"/>
    <mergeCell ref="H17:H18"/>
    <mergeCell ref="K17:L17"/>
    <mergeCell ref="H16:L16"/>
    <mergeCell ref="A23:D23"/>
  </mergeCells>
  <phoneticPr fontId="3"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A42FD-4A67-4156-A2FC-6096D5B4C7C0}">
  <dimension ref="A8:J28"/>
  <sheetViews>
    <sheetView topLeftCell="A2" workbookViewId="0">
      <selection activeCell="G10" sqref="G10:G12"/>
    </sheetView>
  </sheetViews>
  <sheetFormatPr defaultRowHeight="15" x14ac:dyDescent="0.25"/>
  <cols>
    <col min="1" max="1" width="16.140625" bestFit="1" customWidth="1"/>
    <col min="2" max="2" width="11.85546875" bestFit="1" customWidth="1"/>
    <col min="3" max="3" width="19.85546875" bestFit="1" customWidth="1"/>
    <col min="4" max="4" width="10.140625" bestFit="1" customWidth="1"/>
    <col min="6" max="6" width="12" customWidth="1"/>
    <col min="7" max="8" width="13.42578125" customWidth="1"/>
    <col min="9" max="9" width="17" customWidth="1"/>
    <col min="10" max="10" width="13.140625" customWidth="1"/>
  </cols>
  <sheetData>
    <row r="8" spans="1:10" x14ac:dyDescent="0.25">
      <c r="A8" s="41" t="s">
        <v>220</v>
      </c>
      <c r="B8" s="41"/>
      <c r="C8" s="41"/>
      <c r="D8" s="41"/>
      <c r="G8" s="41" t="s">
        <v>221</v>
      </c>
      <c r="H8" s="41"/>
      <c r="I8" s="41"/>
      <c r="J8" s="41"/>
    </row>
    <row r="9" spans="1:10" x14ac:dyDescent="0.25">
      <c r="A9" s="1" t="s">
        <v>32</v>
      </c>
      <c r="B9" s="1" t="s">
        <v>217</v>
      </c>
      <c r="C9" s="1" t="s">
        <v>218</v>
      </c>
      <c r="D9" s="1" t="s">
        <v>219</v>
      </c>
      <c r="G9" s="1" t="s">
        <v>222</v>
      </c>
      <c r="H9" s="1" t="s">
        <v>223</v>
      </c>
      <c r="I9" s="1" t="s">
        <v>224</v>
      </c>
      <c r="J9" s="1" t="s">
        <v>225</v>
      </c>
    </row>
    <row r="10" spans="1:10" x14ac:dyDescent="0.25">
      <c r="A10" t="s">
        <v>27</v>
      </c>
      <c r="B10" s="2">
        <v>984810</v>
      </c>
      <c r="C10" s="2">
        <v>981000</v>
      </c>
      <c r="D10" s="2">
        <f>B10-C10</f>
        <v>3810</v>
      </c>
      <c r="G10" t="s">
        <v>99</v>
      </c>
      <c r="H10" s="2">
        <v>2640000</v>
      </c>
      <c r="I10" s="2">
        <f>VLOOKUP(G10,'Üretim Bütçesi'!$A$52:$F$54,6,0)</f>
        <v>2100000</v>
      </c>
      <c r="J10" s="2">
        <f>H10-I10</f>
        <v>540000</v>
      </c>
    </row>
    <row r="11" spans="1:10" x14ac:dyDescent="0.25">
      <c r="A11" t="s">
        <v>31</v>
      </c>
      <c r="B11" s="2">
        <v>470000</v>
      </c>
      <c r="C11" s="2">
        <v>473000</v>
      </c>
      <c r="D11" s="2">
        <f t="shared" ref="D11:D15" si="0">B11-C11</f>
        <v>-3000</v>
      </c>
      <c r="G11" t="s">
        <v>100</v>
      </c>
      <c r="H11" s="2">
        <v>4730000</v>
      </c>
      <c r="I11" s="2">
        <f>VLOOKUP(G11,'Üretim Bütçesi'!$A$52:$F$54,6,0)</f>
        <v>4200000</v>
      </c>
      <c r="J11" s="2">
        <f t="shared" ref="J11:J12" si="1">H11-I11</f>
        <v>530000</v>
      </c>
    </row>
    <row r="12" spans="1:10" x14ac:dyDescent="0.25">
      <c r="A12" t="s">
        <v>28</v>
      </c>
      <c r="B12" s="2">
        <v>7000000</v>
      </c>
      <c r="C12" s="2">
        <v>7000000</v>
      </c>
      <c r="D12" s="2">
        <f t="shared" si="0"/>
        <v>0</v>
      </c>
      <c r="G12" t="s">
        <v>101</v>
      </c>
      <c r="H12" s="2">
        <v>13437500</v>
      </c>
      <c r="I12" s="2">
        <f>VLOOKUP(G12,'Üretim Bütçesi'!$A$52:$F$54,6,0)</f>
        <v>12600000</v>
      </c>
      <c r="J12" s="2">
        <f t="shared" si="1"/>
        <v>837500</v>
      </c>
    </row>
    <row r="13" spans="1:10" x14ac:dyDescent="0.25">
      <c r="A13" t="s">
        <v>216</v>
      </c>
      <c r="B13" s="2">
        <v>3000000</v>
      </c>
      <c r="C13" s="2">
        <v>3000000</v>
      </c>
      <c r="D13" s="2">
        <f t="shared" si="0"/>
        <v>0</v>
      </c>
      <c r="G13" s="1" t="s">
        <v>56</v>
      </c>
      <c r="H13" s="15">
        <f>SUM(H10:H12)</f>
        <v>20807500</v>
      </c>
      <c r="I13" s="15">
        <f t="shared" ref="I13:J13" si="2">SUM(I10:I12)</f>
        <v>18900000</v>
      </c>
      <c r="J13" s="15">
        <f t="shared" si="2"/>
        <v>1907500</v>
      </c>
    </row>
    <row r="14" spans="1:10" x14ac:dyDescent="0.25">
      <c r="A14" t="s">
        <v>30</v>
      </c>
      <c r="B14" s="2">
        <v>1982690</v>
      </c>
      <c r="C14" s="2">
        <v>1946000</v>
      </c>
      <c r="D14" s="2">
        <f t="shared" si="0"/>
        <v>36690</v>
      </c>
    </row>
    <row r="15" spans="1:10" x14ac:dyDescent="0.25">
      <c r="A15" s="1" t="s">
        <v>36</v>
      </c>
      <c r="B15" s="2">
        <f>SUM(B10:B14)</f>
        <v>13437500</v>
      </c>
      <c r="C15" s="2">
        <f>SUM(C10:C14)</f>
        <v>13400000</v>
      </c>
      <c r="D15" s="2">
        <f t="shared" si="0"/>
        <v>37500</v>
      </c>
    </row>
    <row r="17" spans="1:5" x14ac:dyDescent="0.25">
      <c r="A17" s="41" t="s">
        <v>226</v>
      </c>
      <c r="B17" s="41"/>
      <c r="C17" s="41"/>
      <c r="D17" s="41"/>
    </row>
    <row r="18" spans="1:5" x14ac:dyDescent="0.25">
      <c r="A18" s="44" t="s">
        <v>227</v>
      </c>
      <c r="B18" s="44"/>
      <c r="C18" s="44"/>
      <c r="D18" s="44"/>
    </row>
    <row r="19" spans="1:5" x14ac:dyDescent="0.25">
      <c r="A19" s="44" t="s">
        <v>32</v>
      </c>
      <c r="B19" s="45">
        <v>44896</v>
      </c>
      <c r="C19" s="44"/>
      <c r="D19" s="40" t="s">
        <v>211</v>
      </c>
      <c r="E19" s="40"/>
    </row>
    <row r="20" spans="1:5" x14ac:dyDescent="0.25">
      <c r="A20" s="44"/>
      <c r="B20" s="1" t="s">
        <v>210</v>
      </c>
      <c r="C20" s="1" t="s">
        <v>205</v>
      </c>
      <c r="D20" s="1" t="s">
        <v>210</v>
      </c>
      <c r="E20" s="1" t="s">
        <v>205</v>
      </c>
    </row>
    <row r="21" spans="1:5" x14ac:dyDescent="0.25">
      <c r="A21" t="s">
        <v>228</v>
      </c>
      <c r="C21" s="2"/>
      <c r="D21" s="2"/>
      <c r="E21" s="2"/>
    </row>
    <row r="22" spans="1:5" x14ac:dyDescent="0.25">
      <c r="A22" t="s">
        <v>99</v>
      </c>
      <c r="B22" s="2">
        <v>144000</v>
      </c>
      <c r="C22" s="2">
        <v>-24000</v>
      </c>
      <c r="D22" s="2">
        <f>H10</f>
        <v>2640000</v>
      </c>
      <c r="E22" s="2">
        <f>D22-I10</f>
        <v>540000</v>
      </c>
    </row>
    <row r="23" spans="1:5" x14ac:dyDescent="0.25">
      <c r="A23" t="s">
        <v>100</v>
      </c>
      <c r="B23" s="2">
        <v>275000</v>
      </c>
      <c r="C23" s="2">
        <v>-25000</v>
      </c>
      <c r="D23" s="2">
        <f>H11</f>
        <v>4730000</v>
      </c>
      <c r="E23" s="2">
        <f>D23-I11</f>
        <v>530000</v>
      </c>
    </row>
    <row r="24" spans="1:5" x14ac:dyDescent="0.25">
      <c r="A24" t="s">
        <v>101</v>
      </c>
      <c r="B24" s="2"/>
      <c r="C24" s="2"/>
      <c r="D24" s="2"/>
      <c r="E24" s="2"/>
    </row>
    <row r="25" spans="1:5" x14ac:dyDescent="0.25">
      <c r="A25" t="s">
        <v>27</v>
      </c>
      <c r="B25" s="2">
        <v>84810</v>
      </c>
      <c r="C25" s="2">
        <v>-810</v>
      </c>
      <c r="D25" s="2">
        <f>B10</f>
        <v>984810</v>
      </c>
      <c r="E25" s="2">
        <f>D25-C10</f>
        <v>3810</v>
      </c>
    </row>
    <row r="26" spans="1:5" x14ac:dyDescent="0.25">
      <c r="A26" t="s">
        <v>31</v>
      </c>
      <c r="B26" s="2">
        <v>70000</v>
      </c>
      <c r="C26" s="2">
        <v>200</v>
      </c>
      <c r="D26" s="2">
        <f>B11</f>
        <v>470000</v>
      </c>
      <c r="E26" s="2">
        <f>D26-C11</f>
        <v>-3000</v>
      </c>
    </row>
    <row r="27" spans="1:5" x14ac:dyDescent="0.25">
      <c r="A27" t="s">
        <v>30</v>
      </c>
      <c r="B27" s="2">
        <v>282690</v>
      </c>
      <c r="C27" s="2">
        <v>-2690</v>
      </c>
      <c r="D27" s="2">
        <f>B14</f>
        <v>1982690</v>
      </c>
      <c r="E27" s="2">
        <f>D27-B14</f>
        <v>0</v>
      </c>
    </row>
    <row r="28" spans="1:5" x14ac:dyDescent="0.25">
      <c r="A28" s="1" t="s">
        <v>36</v>
      </c>
      <c r="B28" s="2">
        <f>SUM(B22:B27)</f>
        <v>856500</v>
      </c>
      <c r="C28" s="2">
        <f>SUM(C22:C27)</f>
        <v>-52300</v>
      </c>
      <c r="D28" s="2">
        <f>SUM(D22:D27)</f>
        <v>10807500</v>
      </c>
      <c r="E28" s="2">
        <f>SUM(E22:E27)</f>
        <v>1070810</v>
      </c>
    </row>
  </sheetData>
  <mergeCells count="7">
    <mergeCell ref="A8:D8"/>
    <mergeCell ref="G8:J8"/>
    <mergeCell ref="A17:D17"/>
    <mergeCell ref="A19:A20"/>
    <mergeCell ref="B19:C19"/>
    <mergeCell ref="A18:D18"/>
    <mergeCell ref="D19:E19"/>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977B-6215-4A60-9B46-4796AF59CC85}">
  <dimension ref="A4:F30"/>
  <sheetViews>
    <sheetView topLeftCell="A7" zoomScale="85" zoomScaleNormal="85" workbookViewId="0">
      <selection activeCell="K9" sqref="K9"/>
    </sheetView>
  </sheetViews>
  <sheetFormatPr defaultRowHeight="15" x14ac:dyDescent="0.25"/>
  <cols>
    <col min="1" max="1" width="22.28515625" bestFit="1" customWidth="1"/>
  </cols>
  <sheetData>
    <row r="4" spans="1:6" x14ac:dyDescent="0.25">
      <c r="A4" s="41" t="s">
        <v>232</v>
      </c>
      <c r="B4" s="41"/>
      <c r="C4" s="41"/>
      <c r="D4" s="41"/>
      <c r="E4" s="41"/>
      <c r="F4" s="41"/>
    </row>
    <row r="5" spans="1:6" x14ac:dyDescent="0.25">
      <c r="B5" s="39" t="s">
        <v>210</v>
      </c>
      <c r="C5" s="39"/>
      <c r="D5" s="39" t="s">
        <v>230</v>
      </c>
      <c r="E5" s="39"/>
      <c r="F5" s="39"/>
    </row>
    <row r="6" spans="1:6" x14ac:dyDescent="0.25">
      <c r="B6" s="38"/>
      <c r="C6" s="38"/>
      <c r="D6" s="38"/>
      <c r="E6" s="38"/>
      <c r="F6" s="38" t="s">
        <v>205</v>
      </c>
    </row>
    <row r="7" spans="1:6" x14ac:dyDescent="0.25">
      <c r="A7" s="3" t="s">
        <v>229</v>
      </c>
      <c r="B7" s="5"/>
      <c r="C7" s="7">
        <f>SUM(B8:B10)</f>
        <v>25150</v>
      </c>
      <c r="D7" s="7"/>
      <c r="E7" s="7">
        <f>SUM(D8:D10)</f>
        <v>24600</v>
      </c>
      <c r="F7" s="7">
        <f>C7-E7</f>
        <v>550</v>
      </c>
    </row>
    <row r="8" spans="1:6" x14ac:dyDescent="0.25">
      <c r="A8" s="13" t="s">
        <v>19</v>
      </c>
      <c r="B8" s="2">
        <f>VLOOKUP(A8,'Satış Kontrol Raporu'!$A$7:$B$9,2,0)/1000</f>
        <v>6500</v>
      </c>
      <c r="D8" s="2">
        <f>VLOOKUP(A8,'Satış Kontrol Raporu'!$A$7:$C$9,3,0)/1000</f>
        <v>7000</v>
      </c>
      <c r="E8" s="2"/>
      <c r="F8" s="2">
        <f>B8-D8</f>
        <v>-500</v>
      </c>
    </row>
    <row r="9" spans="1:6" x14ac:dyDescent="0.25">
      <c r="A9" s="13" t="s">
        <v>17</v>
      </c>
      <c r="B9" s="2">
        <f>VLOOKUP(A9,'Satış Kontrol Raporu'!$A$7:$B$9,2,0)/1000</f>
        <v>12000</v>
      </c>
      <c r="D9" s="2">
        <f>VLOOKUP(A9,'Satış Kontrol Raporu'!$A$7:$C$9,3,0)/1000</f>
        <v>11000</v>
      </c>
      <c r="E9" s="2"/>
      <c r="F9" s="2">
        <f t="shared" ref="F9:F10" si="0">B9-D9</f>
        <v>1000</v>
      </c>
    </row>
    <row r="10" spans="1:6" x14ac:dyDescent="0.25">
      <c r="A10" s="13" t="s">
        <v>18</v>
      </c>
      <c r="B10" s="2">
        <f>VLOOKUP(A10,'Satış Kontrol Raporu'!$A$7:$B$9,2,0)/1000</f>
        <v>6650</v>
      </c>
      <c r="D10" s="2">
        <f>VLOOKUP(A10,'Satış Kontrol Raporu'!$A$7:$C$9,3,0)/1000</f>
        <v>6600</v>
      </c>
      <c r="E10" s="2"/>
      <c r="F10" s="2">
        <f t="shared" si="0"/>
        <v>50</v>
      </c>
    </row>
    <row r="11" spans="1:6" x14ac:dyDescent="0.25">
      <c r="A11" s="3" t="s">
        <v>231</v>
      </c>
      <c r="B11" s="7"/>
      <c r="C11" s="7">
        <f>SUM(B12:B16)</f>
        <v>22607.5</v>
      </c>
      <c r="D11" s="7"/>
      <c r="E11" s="7">
        <f>SUM(D12:D16)</f>
        <v>20700</v>
      </c>
      <c r="F11" s="7">
        <f>C11-E11</f>
        <v>1907.5</v>
      </c>
    </row>
    <row r="12" spans="1:6" x14ac:dyDescent="0.25">
      <c r="A12" t="s">
        <v>99</v>
      </c>
      <c r="B12" s="2">
        <f>VLOOKUP(A12,'Maliyet Başarı Değerlemesi'!$G$10:$H$12,2,0)/1000</f>
        <v>2640</v>
      </c>
      <c r="C12" s="2"/>
      <c r="D12" s="2">
        <f>VLOOKUP(A12,'Maliyet Başarı Değerlemesi'!$G$10:$I$12,3,0)/1000</f>
        <v>2100</v>
      </c>
      <c r="E12" s="2"/>
      <c r="F12" s="2">
        <f>B12-D12</f>
        <v>540</v>
      </c>
    </row>
    <row r="13" spans="1:6" x14ac:dyDescent="0.25">
      <c r="A13" t="s">
        <v>100</v>
      </c>
      <c r="B13" s="2">
        <f>VLOOKUP(A13,'Maliyet Başarı Değerlemesi'!$G$10:$H$12,2,0)/1000</f>
        <v>4730</v>
      </c>
      <c r="C13" s="2"/>
      <c r="D13" s="2">
        <f>VLOOKUP(A13,'Maliyet Başarı Değerlemesi'!$G$10:$I$12,3,0)/1000</f>
        <v>4200</v>
      </c>
      <c r="E13" s="2"/>
      <c r="F13" s="2">
        <f t="shared" ref="F13:F16" si="1">B13-D13</f>
        <v>530</v>
      </c>
    </row>
    <row r="14" spans="1:6" x14ac:dyDescent="0.25">
      <c r="A14" t="s">
        <v>101</v>
      </c>
      <c r="B14" s="2">
        <f>VLOOKUP(A14,'Maliyet Başarı Değerlemesi'!$G$10:$H$12,2,0)/1000</f>
        <v>13437.5</v>
      </c>
      <c r="C14" s="2"/>
      <c r="D14" s="2">
        <f>VLOOKUP(A14,'Maliyet Başarı Değerlemesi'!$G$10:$I$12,3,0)/1000</f>
        <v>12600</v>
      </c>
      <c r="E14" s="2"/>
      <c r="F14" s="2">
        <f t="shared" si="1"/>
        <v>837.5</v>
      </c>
    </row>
    <row r="15" spans="1:6" x14ac:dyDescent="0.25">
      <c r="A15" t="s">
        <v>233</v>
      </c>
      <c r="B15" s="2">
        <v>10800</v>
      </c>
      <c r="C15" s="2"/>
      <c r="D15" s="2">
        <f>'Satılan Malın Maliyeti Bütçesi'!B24</f>
        <v>10800</v>
      </c>
      <c r="E15" s="2"/>
      <c r="F15" s="2">
        <f t="shared" si="1"/>
        <v>0</v>
      </c>
    </row>
    <row r="16" spans="1:6" x14ac:dyDescent="0.25">
      <c r="A16" t="s">
        <v>234</v>
      </c>
      <c r="B16" s="2">
        <v>-9000</v>
      </c>
      <c r="C16" s="2"/>
      <c r="D16" s="2">
        <f>-'Satılan Malın Maliyeti Bütçesi'!E27</f>
        <v>-9000</v>
      </c>
      <c r="E16" s="2"/>
      <c r="F16" s="2">
        <f t="shared" si="1"/>
        <v>0</v>
      </c>
    </row>
    <row r="17" spans="1:6" x14ac:dyDescent="0.25">
      <c r="A17" s="3" t="s">
        <v>235</v>
      </c>
      <c r="B17" s="5"/>
      <c r="C17" s="7">
        <f>C7-C11</f>
        <v>2542.5</v>
      </c>
      <c r="D17" s="5"/>
      <c r="E17" s="7">
        <f>E7-E11</f>
        <v>3900</v>
      </c>
      <c r="F17" s="7">
        <f>C17-E17</f>
        <v>-1357.5</v>
      </c>
    </row>
    <row r="18" spans="1:6" x14ac:dyDescent="0.25">
      <c r="A18" t="s">
        <v>236</v>
      </c>
      <c r="B18" s="2">
        <v>900</v>
      </c>
      <c r="C18" s="2"/>
      <c r="D18" s="2">
        <f>'Faaliyet Giderleri Bütçesi'!F16</f>
        <v>892</v>
      </c>
      <c r="E18" s="2"/>
      <c r="F18" s="2">
        <f>B18-D18</f>
        <v>8</v>
      </c>
    </row>
    <row r="19" spans="1:6" x14ac:dyDescent="0.25">
      <c r="A19" t="s">
        <v>237</v>
      </c>
      <c r="B19" s="2">
        <v>1000</v>
      </c>
      <c r="C19" s="2"/>
      <c r="D19" s="2">
        <f>'Faaliyet Giderleri Bütçesi'!M16</f>
        <v>1046</v>
      </c>
      <c r="E19" s="2"/>
      <c r="F19" s="2">
        <f>B19-D19</f>
        <v>-46</v>
      </c>
    </row>
    <row r="20" spans="1:6" x14ac:dyDescent="0.25">
      <c r="A20" s="3" t="s">
        <v>238</v>
      </c>
      <c r="B20" s="7"/>
      <c r="C20" s="7">
        <f>SUM(B18:B19)</f>
        <v>1900</v>
      </c>
      <c r="D20" s="7"/>
      <c r="E20" s="7">
        <f>SUM(D18:D19)</f>
        <v>1938</v>
      </c>
      <c r="F20" s="7">
        <f>C20-E20</f>
        <v>-38</v>
      </c>
    </row>
    <row r="21" spans="1:6" x14ac:dyDescent="0.25">
      <c r="A21" s="3" t="s">
        <v>239</v>
      </c>
      <c r="B21" s="7"/>
      <c r="C21" s="7">
        <f>C17-C20</f>
        <v>642.5</v>
      </c>
      <c r="D21" s="7"/>
      <c r="E21" s="7">
        <f>E17-E20</f>
        <v>1962</v>
      </c>
      <c r="F21" s="7">
        <f>C21-E21</f>
        <v>-1319.5</v>
      </c>
    </row>
    <row r="22" spans="1:6" x14ac:dyDescent="0.25">
      <c r="A22" t="s">
        <v>131</v>
      </c>
      <c r="B22">
        <v>315.5</v>
      </c>
      <c r="D22">
        <f>VLOOKUP(A22,'Bütçelenmiş Gelir Tablosu'!$A$10:$F$12,6,0)</f>
        <v>238</v>
      </c>
    </row>
    <row r="23" spans="1:6" x14ac:dyDescent="0.25">
      <c r="A23" t="s">
        <v>132</v>
      </c>
      <c r="D23">
        <f>VLOOKUP(A23,'Bütçelenmiş Gelir Tablosu'!$A$10:$F$12,6,0)</f>
        <v>0</v>
      </c>
    </row>
    <row r="24" spans="1:6" x14ac:dyDescent="0.25">
      <c r="A24" t="s">
        <v>133</v>
      </c>
      <c r="B24">
        <v>158</v>
      </c>
      <c r="D24">
        <f>-VLOOKUP(A24,'Bütçelenmiş Gelir Tablosu'!$A$10:$F$12,6,0)</f>
        <v>200</v>
      </c>
    </row>
    <row r="25" spans="1:6" x14ac:dyDescent="0.25">
      <c r="A25" s="3" t="s">
        <v>240</v>
      </c>
      <c r="B25" s="5"/>
      <c r="C25" s="7">
        <f>B22-B24+C21</f>
        <v>800</v>
      </c>
      <c r="D25" s="5"/>
      <c r="E25" s="7">
        <f>D22-D24+E21</f>
        <v>2000</v>
      </c>
      <c r="F25" s="7">
        <f>C25-E25</f>
        <v>-1200</v>
      </c>
    </row>
    <row r="26" spans="1:6" x14ac:dyDescent="0.25">
      <c r="A26" t="s">
        <v>135</v>
      </c>
      <c r="B26">
        <v>300</v>
      </c>
    </row>
    <row r="27" spans="1:6" x14ac:dyDescent="0.25">
      <c r="A27" t="s">
        <v>136</v>
      </c>
      <c r="B27">
        <v>-100</v>
      </c>
    </row>
    <row r="28" spans="1:6" x14ac:dyDescent="0.25">
      <c r="A28" s="3" t="s">
        <v>241</v>
      </c>
      <c r="B28" s="5"/>
      <c r="C28" s="7">
        <f>B26+B27+C25</f>
        <v>1000</v>
      </c>
      <c r="D28" s="5"/>
      <c r="E28" s="7">
        <f>D26+D27+E25</f>
        <v>2000</v>
      </c>
      <c r="F28" s="5"/>
    </row>
    <row r="29" spans="1:6" x14ac:dyDescent="0.25">
      <c r="A29" s="5" t="s">
        <v>138</v>
      </c>
      <c r="B29" s="5">
        <f>C28*0.4</f>
        <v>400</v>
      </c>
      <c r="C29" s="5"/>
      <c r="D29" s="5">
        <f>E28*0.4</f>
        <v>800</v>
      </c>
      <c r="E29" s="5"/>
      <c r="F29" s="5"/>
    </row>
    <row r="30" spans="1:6" x14ac:dyDescent="0.25">
      <c r="A30" s="3" t="s">
        <v>242</v>
      </c>
      <c r="B30" s="5"/>
      <c r="C30" s="7">
        <f>C28-B29</f>
        <v>600</v>
      </c>
      <c r="D30" s="5"/>
      <c r="E30" s="7">
        <f>E28-D29</f>
        <v>1200</v>
      </c>
      <c r="F30" s="7">
        <f>C30-E30</f>
        <v>-600</v>
      </c>
    </row>
  </sheetData>
  <mergeCells count="3">
    <mergeCell ref="B5:C5"/>
    <mergeCell ref="D5:F5"/>
    <mergeCell ref="A4:F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7B245-7D3D-4D62-95FD-D599C902F105}">
  <dimension ref="A2:F14"/>
  <sheetViews>
    <sheetView workbookViewId="0">
      <selection activeCell="B11" sqref="B11"/>
    </sheetView>
  </sheetViews>
  <sheetFormatPr defaultRowHeight="15" x14ac:dyDescent="0.25"/>
  <cols>
    <col min="1" max="1" width="14.85546875" bestFit="1" customWidth="1"/>
  </cols>
  <sheetData>
    <row r="2" spans="1:6" x14ac:dyDescent="0.25">
      <c r="A2" s="41" t="s">
        <v>62</v>
      </c>
      <c r="B2" s="41"/>
      <c r="C2" s="41"/>
      <c r="D2" s="41"/>
      <c r="E2" s="41"/>
      <c r="F2" s="41"/>
    </row>
    <row r="3" spans="1:6" x14ac:dyDescent="0.25">
      <c r="A3" s="1" t="s">
        <v>63</v>
      </c>
      <c r="B3" t="s">
        <v>64</v>
      </c>
      <c r="C3" t="s">
        <v>65</v>
      </c>
      <c r="D3" t="s">
        <v>66</v>
      </c>
      <c r="E3" t="s">
        <v>67</v>
      </c>
      <c r="F3" s="1" t="s">
        <v>56</v>
      </c>
    </row>
    <row r="4" spans="1:6" x14ac:dyDescent="0.25">
      <c r="A4" s="13" t="s">
        <v>19</v>
      </c>
      <c r="B4" s="2">
        <f>SUM('Genel Bilgiler'!B31:B33)</f>
        <v>1700</v>
      </c>
      <c r="C4" s="2">
        <f>SUM('Genel Bilgiler'!B34:B36)</f>
        <v>2600</v>
      </c>
      <c r="D4" s="2">
        <f>SUM('Genel Bilgiler'!B37:B39)</f>
        <v>1500</v>
      </c>
      <c r="E4" s="2">
        <f>SUM('Genel Bilgiler'!B40:B42)</f>
        <v>1200</v>
      </c>
      <c r="F4" s="2">
        <f>SUM(B4:E4)</f>
        <v>7000</v>
      </c>
    </row>
    <row r="5" spans="1:6" x14ac:dyDescent="0.25">
      <c r="A5" s="13" t="s">
        <v>17</v>
      </c>
      <c r="B5" s="2">
        <f>SUM('Genel Bilgiler'!C31:C33)</f>
        <v>2600</v>
      </c>
      <c r="C5" s="2">
        <f>SUM('Genel Bilgiler'!C34:C36)</f>
        <v>3600</v>
      </c>
      <c r="D5" s="14">
        <f>SUM('Genel Bilgiler'!C37:C39)</f>
        <v>2000</v>
      </c>
      <c r="E5" s="2">
        <f>SUM('Genel Bilgiler'!C40:C42)</f>
        <v>1800</v>
      </c>
      <c r="F5" s="2">
        <f t="shared" ref="F5:F7" si="0">SUM(B5:E5)</f>
        <v>10000</v>
      </c>
    </row>
    <row r="6" spans="1:6" x14ac:dyDescent="0.25">
      <c r="A6" s="13" t="s">
        <v>18</v>
      </c>
      <c r="B6" s="10">
        <f>SUM('Genel Bilgiler'!D31:D33)</f>
        <v>1400</v>
      </c>
      <c r="C6" s="10">
        <f>SUM('Genel Bilgiler'!D34:D36)</f>
        <v>1900</v>
      </c>
      <c r="D6" s="10">
        <f>SUM('Genel Bilgiler'!D37:D39)</f>
        <v>1300</v>
      </c>
      <c r="E6" s="10">
        <f>SUM('Genel Bilgiler'!D40:D42)</f>
        <v>1400</v>
      </c>
      <c r="F6" s="10">
        <f t="shared" si="0"/>
        <v>6000</v>
      </c>
    </row>
    <row r="7" spans="1:6" x14ac:dyDescent="0.25">
      <c r="A7" s="1" t="s">
        <v>56</v>
      </c>
      <c r="B7" s="15">
        <f>SUM(B4:B6)</f>
        <v>5700</v>
      </c>
      <c r="C7" s="15">
        <f t="shared" ref="C7:E7" si="1">SUM(C4:C6)</f>
        <v>8100</v>
      </c>
      <c r="D7" s="15">
        <f t="shared" si="1"/>
        <v>4800</v>
      </c>
      <c r="E7" s="15">
        <f t="shared" si="1"/>
        <v>4400</v>
      </c>
      <c r="F7" s="15">
        <f t="shared" si="0"/>
        <v>23000</v>
      </c>
    </row>
    <row r="9" spans="1:6" x14ac:dyDescent="0.25">
      <c r="A9" s="41" t="s">
        <v>68</v>
      </c>
      <c r="B9" s="41"/>
      <c r="C9" s="41"/>
      <c r="D9" s="41"/>
      <c r="E9" s="41"/>
      <c r="F9" s="41"/>
    </row>
    <row r="10" spans="1:6" x14ac:dyDescent="0.25">
      <c r="A10" s="1" t="s">
        <v>63</v>
      </c>
      <c r="B10" t="s">
        <v>64</v>
      </c>
      <c r="C10" t="s">
        <v>65</v>
      </c>
      <c r="D10" t="s">
        <v>66</v>
      </c>
      <c r="E10" t="s">
        <v>67</v>
      </c>
      <c r="F10" s="1" t="s">
        <v>56</v>
      </c>
    </row>
    <row r="11" spans="1:6" x14ac:dyDescent="0.25">
      <c r="A11" s="13" t="s">
        <v>19</v>
      </c>
      <c r="B11" s="2">
        <f>B4*('Genel Bilgiler'!$G$10/1000)</f>
        <v>1700</v>
      </c>
      <c r="C11" s="2">
        <f>C4*('Genel Bilgiler'!$G$10/1000)</f>
        <v>2600</v>
      </c>
      <c r="D11" s="2">
        <f>D4*('Genel Bilgiler'!$G$10/1000)</f>
        <v>1500</v>
      </c>
      <c r="E11" s="2">
        <f>E4*('Genel Bilgiler'!$G$10/1000)</f>
        <v>1200</v>
      </c>
      <c r="F11" s="2">
        <f>SUM(B11:E11)</f>
        <v>7000</v>
      </c>
    </row>
    <row r="12" spans="1:6" x14ac:dyDescent="0.25">
      <c r="A12" s="13" t="s">
        <v>17</v>
      </c>
      <c r="B12" s="2">
        <f>B5*('Genel Bilgiler'!$H$10/1000)</f>
        <v>2860.0000000000005</v>
      </c>
      <c r="C12" s="2">
        <f>C5*('Genel Bilgiler'!$H$10/1000)</f>
        <v>3960.0000000000005</v>
      </c>
      <c r="D12" s="2">
        <f>D5*('Genel Bilgiler'!$H$10/1000)</f>
        <v>2200</v>
      </c>
      <c r="E12" s="2">
        <f>E5*('Genel Bilgiler'!$H$10/1000)</f>
        <v>1980.0000000000002</v>
      </c>
      <c r="F12" s="2">
        <f>SUM(B12:E12)</f>
        <v>11000</v>
      </c>
    </row>
    <row r="13" spans="1:6" x14ac:dyDescent="0.25">
      <c r="A13" s="13" t="s">
        <v>18</v>
      </c>
      <c r="B13" s="10">
        <f>B6*('Genel Bilgiler'!$H$10/1000)</f>
        <v>1540.0000000000002</v>
      </c>
      <c r="C13" s="10">
        <f>C6*('Genel Bilgiler'!$H$10/1000)</f>
        <v>2090</v>
      </c>
      <c r="D13" s="10">
        <f>D6*('Genel Bilgiler'!$H$10/1000)</f>
        <v>1430.0000000000002</v>
      </c>
      <c r="E13" s="10">
        <f>E6*('Genel Bilgiler'!$H$10/1000)</f>
        <v>1540.0000000000002</v>
      </c>
      <c r="F13" s="10">
        <f>SUM(B13:E13)</f>
        <v>6600</v>
      </c>
    </row>
    <row r="14" spans="1:6" x14ac:dyDescent="0.25">
      <c r="A14" s="1" t="s">
        <v>56</v>
      </c>
      <c r="B14" s="15">
        <f>SUM(B11:B13)</f>
        <v>6100</v>
      </c>
      <c r="C14" s="15">
        <f t="shared" ref="C14:F14" si="2">SUM(C11:C13)</f>
        <v>8650</v>
      </c>
      <c r="D14" s="15">
        <f t="shared" si="2"/>
        <v>5130</v>
      </c>
      <c r="E14" s="15">
        <f t="shared" si="2"/>
        <v>4720</v>
      </c>
      <c r="F14" s="15">
        <f t="shared" si="2"/>
        <v>24600</v>
      </c>
    </row>
  </sheetData>
  <mergeCells count="2">
    <mergeCell ref="A2:F2"/>
    <mergeCell ref="A9:F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9ADA0-7572-4477-B85D-4404E6722DC3}">
  <dimension ref="A2:F57"/>
  <sheetViews>
    <sheetView topLeftCell="A19" workbookViewId="0">
      <selection activeCell="J49" sqref="J49"/>
    </sheetView>
  </sheetViews>
  <sheetFormatPr defaultRowHeight="15" x14ac:dyDescent="0.25"/>
  <cols>
    <col min="1" max="1" width="20.28515625" bestFit="1" customWidth="1"/>
    <col min="6" max="6" width="10.140625" bestFit="1" customWidth="1"/>
  </cols>
  <sheetData>
    <row r="2" spans="1:6" x14ac:dyDescent="0.25">
      <c r="A2" s="41" t="s">
        <v>69</v>
      </c>
      <c r="B2" s="41"/>
      <c r="C2" s="41"/>
      <c r="D2" s="41"/>
      <c r="E2" s="41"/>
      <c r="F2" s="41"/>
    </row>
    <row r="3" spans="1:6" x14ac:dyDescent="0.25">
      <c r="B3" t="s">
        <v>64</v>
      </c>
      <c r="C3" t="s">
        <v>65</v>
      </c>
      <c r="D3" t="s">
        <v>66</v>
      </c>
      <c r="E3" t="s">
        <v>67</v>
      </c>
      <c r="F3" s="1" t="s">
        <v>56</v>
      </c>
    </row>
    <row r="4" spans="1:6" x14ac:dyDescent="0.25">
      <c r="A4" t="s">
        <v>70</v>
      </c>
      <c r="B4" s="2">
        <f>HLOOKUP(B12,'Satış Bütçesi'!$B$3:$E$7,5,0)</f>
        <v>5700</v>
      </c>
      <c r="C4" s="2">
        <f>HLOOKUP(C12,'Satış Bütçesi'!$B$3:$E$7,5,0)</f>
        <v>8100</v>
      </c>
      <c r="D4" s="2">
        <f>HLOOKUP(D12,'Satış Bütçesi'!$B$3:$E$7,5,0)</f>
        <v>4800</v>
      </c>
      <c r="E4" s="2">
        <f>HLOOKUP(E12,'Satış Bütçesi'!$B$3:$E$7,5,0)</f>
        <v>4400</v>
      </c>
      <c r="F4" s="2">
        <f>SUM(B4:E4)</f>
        <v>23000</v>
      </c>
    </row>
    <row r="5" spans="1:6" x14ac:dyDescent="0.25">
      <c r="A5" t="s">
        <v>71</v>
      </c>
      <c r="B5" s="10">
        <f>INDEX('Genel Bilgiler'!A8:C20,MATCH("Mart",'Genel Bilgiler'!A8:A20,0),MATCH("A Mamulü",'Genel Bilgiler'!A8:C8,0))</f>
        <v>11400</v>
      </c>
      <c r="C5" s="10">
        <f>INDEX('Genel Bilgiler'!A8:C20,MATCH("Haziran",'Genel Bilgiler'!A8:A20,0),MATCH("A Mamulü",'Genel Bilgiler'!A8:C8,0))</f>
        <v>10700</v>
      </c>
      <c r="D5" s="10">
        <f>INDEX('Genel Bilgiler'!A8:C20,MATCH("Eylül",'Genel Bilgiler'!A8:A20,0),MATCH("A Mamulü",'Genel Bilgiler'!A8:C8,0))</f>
        <v>10300</v>
      </c>
      <c r="E5" s="10">
        <f>INDEX('Genel Bilgiler'!A8:C20,MATCH("Aralık",'Genel Bilgiler'!A8:A20,0),MATCH("A Mamulü",'Genel Bilgiler'!A8:C8,0))</f>
        <v>10000</v>
      </c>
      <c r="F5" s="10">
        <f>E5</f>
        <v>10000</v>
      </c>
    </row>
    <row r="6" spans="1:6" x14ac:dyDescent="0.25">
      <c r="A6" t="s">
        <v>72</v>
      </c>
      <c r="B6" s="2">
        <f>SUM(B4:B5)</f>
        <v>17100</v>
      </c>
      <c r="C6" s="2">
        <f t="shared" ref="C6:F6" si="0">SUM(C4:C5)</f>
        <v>18800</v>
      </c>
      <c r="D6" s="2">
        <f t="shared" si="0"/>
        <v>15100</v>
      </c>
      <c r="E6" s="2">
        <f t="shared" si="0"/>
        <v>14400</v>
      </c>
      <c r="F6" s="2">
        <f t="shared" si="0"/>
        <v>33000</v>
      </c>
    </row>
    <row r="7" spans="1:6" x14ac:dyDescent="0.25">
      <c r="A7" t="s">
        <v>73</v>
      </c>
      <c r="B7" s="10">
        <v>12000</v>
      </c>
      <c r="C7" s="10">
        <f>B5</f>
        <v>11400</v>
      </c>
      <c r="D7" s="10">
        <f t="shared" ref="D7:E7" si="1">C5</f>
        <v>10700</v>
      </c>
      <c r="E7" s="10">
        <f t="shared" si="1"/>
        <v>10300</v>
      </c>
      <c r="F7" s="10">
        <f>B7</f>
        <v>12000</v>
      </c>
    </row>
    <row r="8" spans="1:6" x14ac:dyDescent="0.25">
      <c r="A8" s="1" t="s">
        <v>56</v>
      </c>
      <c r="B8" s="15">
        <f>B6-B7</f>
        <v>5100</v>
      </c>
      <c r="C8" s="15">
        <f t="shared" ref="C8:F8" si="2">C6-C7</f>
        <v>7400</v>
      </c>
      <c r="D8" s="15">
        <f t="shared" si="2"/>
        <v>4400</v>
      </c>
      <c r="E8" s="15">
        <f t="shared" si="2"/>
        <v>4100</v>
      </c>
      <c r="F8" s="15">
        <f t="shared" si="2"/>
        <v>21000</v>
      </c>
    </row>
    <row r="10" spans="1:6" x14ac:dyDescent="0.25">
      <c r="A10" s="41" t="s">
        <v>74</v>
      </c>
      <c r="B10" s="41"/>
      <c r="C10" s="41"/>
      <c r="D10" s="41"/>
      <c r="E10" s="41"/>
      <c r="F10" s="41"/>
    </row>
    <row r="11" spans="1:6" x14ac:dyDescent="0.25">
      <c r="B11" s="40" t="s">
        <v>2</v>
      </c>
      <c r="C11" s="40"/>
      <c r="D11" s="40"/>
      <c r="E11" s="40"/>
      <c r="F11" s="40"/>
    </row>
    <row r="12" spans="1:6" x14ac:dyDescent="0.25">
      <c r="A12" s="1" t="s">
        <v>75</v>
      </c>
      <c r="B12" t="s">
        <v>64</v>
      </c>
      <c r="C12" t="s">
        <v>65</v>
      </c>
      <c r="D12" t="s">
        <v>66</v>
      </c>
      <c r="E12" t="s">
        <v>67</v>
      </c>
      <c r="F12" s="1" t="s">
        <v>56</v>
      </c>
    </row>
    <row r="13" spans="1:6" x14ac:dyDescent="0.25">
      <c r="A13" t="s">
        <v>76</v>
      </c>
      <c r="B13" s="2">
        <f>B8</f>
        <v>5100</v>
      </c>
      <c r="C13" s="2">
        <f t="shared" ref="C13:E13" si="3">C8</f>
        <v>7400</v>
      </c>
      <c r="D13" s="2">
        <f t="shared" si="3"/>
        <v>4400</v>
      </c>
      <c r="E13" s="2">
        <f t="shared" si="3"/>
        <v>4100</v>
      </c>
      <c r="F13" s="2">
        <f>SUM(B13:E13)</f>
        <v>21000</v>
      </c>
    </row>
    <row r="14" spans="1:6" x14ac:dyDescent="0.25">
      <c r="A14" t="s">
        <v>77</v>
      </c>
      <c r="B14" s="2">
        <f>B8</f>
        <v>5100</v>
      </c>
      <c r="C14" s="2">
        <f t="shared" ref="C14:E14" si="4">C8</f>
        <v>7400</v>
      </c>
      <c r="D14" s="2">
        <f t="shared" si="4"/>
        <v>4400</v>
      </c>
      <c r="E14" s="2">
        <f t="shared" si="4"/>
        <v>4100</v>
      </c>
      <c r="F14" s="2">
        <f>SUM(B14:E14)</f>
        <v>21000</v>
      </c>
    </row>
    <row r="16" spans="1:6" x14ac:dyDescent="0.25">
      <c r="A16" s="41" t="s">
        <v>78</v>
      </c>
      <c r="B16" s="41"/>
      <c r="C16" s="41"/>
      <c r="D16" s="41"/>
      <c r="E16" s="41"/>
      <c r="F16" s="41"/>
    </row>
    <row r="17" spans="1:6" x14ac:dyDescent="0.25">
      <c r="B17" t="s">
        <v>64</v>
      </c>
      <c r="C17" t="s">
        <v>65</v>
      </c>
      <c r="D17" t="s">
        <v>66</v>
      </c>
      <c r="E17" t="s">
        <v>67</v>
      </c>
      <c r="F17" s="1" t="s">
        <v>56</v>
      </c>
    </row>
    <row r="18" spans="1:6" ht="30" x14ac:dyDescent="0.25">
      <c r="A18" s="6" t="s">
        <v>79</v>
      </c>
      <c r="B18" s="2">
        <f>B13</f>
        <v>5100</v>
      </c>
      <c r="C18" s="2">
        <f t="shared" ref="C18:E18" si="5">C13</f>
        <v>7400</v>
      </c>
      <c r="D18" s="2">
        <f t="shared" si="5"/>
        <v>4400</v>
      </c>
      <c r="E18" s="2">
        <f t="shared" si="5"/>
        <v>4100</v>
      </c>
      <c r="F18" s="2">
        <f>SUM(B18:E18)</f>
        <v>21000</v>
      </c>
    </row>
    <row r="19" spans="1:6" x14ac:dyDescent="0.25">
      <c r="A19" t="s">
        <v>80</v>
      </c>
      <c r="B19" s="11">
        <f>INDEX('Genel Bilgiler'!$A$8:$C$20,MATCH("Mart",'Genel Bilgiler'!$A$8:$A$20,0),MATCH("X Hammaddesi",'Genel Bilgiler'!$A$8:$C$8,0))</f>
        <v>19100</v>
      </c>
      <c r="C19" s="11">
        <f>INDEX('Genel Bilgiler'!$A$8:$C$20,MATCH("Haziran",'Genel Bilgiler'!$A$8:$A$20,0),MATCH("X Hammaddesi",'Genel Bilgiler'!$A$8:$C$8,0))</f>
        <v>17600</v>
      </c>
      <c r="D19" s="11">
        <f>INDEX('Genel Bilgiler'!$A$8:$C$20,MATCH("Eylül",'Genel Bilgiler'!$A$8:$A$20,0),MATCH("X Hammaddesi",'Genel Bilgiler'!$A$8:$C$8,0))</f>
        <v>16750</v>
      </c>
      <c r="E19" s="11">
        <f>INDEX('Genel Bilgiler'!$A$8:$C$20,MATCH("Aralık",'Genel Bilgiler'!$A$8:$A$20,0),MATCH("X Hammaddesi",'Genel Bilgiler'!$A$8:$C$8,0))</f>
        <v>16000</v>
      </c>
      <c r="F19" s="11">
        <f>E19</f>
        <v>16000</v>
      </c>
    </row>
    <row r="20" spans="1:6" x14ac:dyDescent="0.25">
      <c r="A20" t="s">
        <v>81</v>
      </c>
      <c r="B20" s="2">
        <f>SUM(B18:B19)</f>
        <v>24200</v>
      </c>
      <c r="C20" s="2">
        <f t="shared" ref="C20:F20" si="6">SUM(C18:C19)</f>
        <v>25000</v>
      </c>
      <c r="D20" s="2">
        <f t="shared" si="6"/>
        <v>21150</v>
      </c>
      <c r="E20" s="2">
        <f t="shared" si="6"/>
        <v>20100</v>
      </c>
      <c r="F20" s="2">
        <f t="shared" si="6"/>
        <v>37000</v>
      </c>
    </row>
    <row r="21" spans="1:6" x14ac:dyDescent="0.25">
      <c r="A21" t="s">
        <v>82</v>
      </c>
      <c r="B21" s="10">
        <v>20000</v>
      </c>
      <c r="C21" s="11">
        <f>B19</f>
        <v>19100</v>
      </c>
      <c r="D21" s="11">
        <f t="shared" ref="D21:E21" si="7">C19</f>
        <v>17600</v>
      </c>
      <c r="E21" s="11">
        <f t="shared" si="7"/>
        <v>16750</v>
      </c>
      <c r="F21" s="10">
        <f>B21</f>
        <v>20000</v>
      </c>
    </row>
    <row r="22" spans="1:6" x14ac:dyDescent="0.25">
      <c r="A22" s="1" t="s">
        <v>83</v>
      </c>
      <c r="B22" s="15">
        <f>B20-B21</f>
        <v>4200</v>
      </c>
      <c r="C22" s="15">
        <f t="shared" ref="C22:F22" si="8">C20-C21</f>
        <v>5900</v>
      </c>
      <c r="D22" s="15">
        <f t="shared" si="8"/>
        <v>3550</v>
      </c>
      <c r="E22" s="15">
        <f t="shared" si="8"/>
        <v>3350</v>
      </c>
      <c r="F22" s="15">
        <f t="shared" si="8"/>
        <v>17000</v>
      </c>
    </row>
    <row r="24" spans="1:6" x14ac:dyDescent="0.25">
      <c r="A24" s="41" t="s">
        <v>84</v>
      </c>
      <c r="B24" s="41"/>
      <c r="C24" s="41"/>
      <c r="D24" s="41"/>
      <c r="E24" s="41"/>
      <c r="F24" s="41"/>
    </row>
    <row r="25" spans="1:6" x14ac:dyDescent="0.25">
      <c r="B25" t="s">
        <v>64</v>
      </c>
      <c r="C25" t="s">
        <v>65</v>
      </c>
      <c r="D25" t="s">
        <v>66</v>
      </c>
      <c r="E25" t="s">
        <v>67</v>
      </c>
      <c r="F25" s="1" t="s">
        <v>56</v>
      </c>
    </row>
    <row r="26" spans="1:6" x14ac:dyDescent="0.25">
      <c r="A26" t="s">
        <v>83</v>
      </c>
      <c r="B26" s="2">
        <f>B22</f>
        <v>4200</v>
      </c>
      <c r="C26" s="2">
        <f t="shared" ref="C26:E26" si="9">C22</f>
        <v>5900</v>
      </c>
      <c r="D26" s="2">
        <f t="shared" si="9"/>
        <v>3550</v>
      </c>
      <c r="E26" s="2">
        <f t="shared" si="9"/>
        <v>3350</v>
      </c>
      <c r="F26" s="2">
        <f>SUM(B26:E26)</f>
        <v>17000</v>
      </c>
    </row>
    <row r="27" spans="1:6" x14ac:dyDescent="0.25">
      <c r="A27" t="s">
        <v>85</v>
      </c>
      <c r="B27" s="10">
        <v>100</v>
      </c>
      <c r="C27" s="10">
        <v>100</v>
      </c>
      <c r="D27" s="10">
        <v>100</v>
      </c>
      <c r="E27" s="10">
        <v>100</v>
      </c>
      <c r="F27" s="10">
        <v>100</v>
      </c>
    </row>
    <row r="28" spans="1:6" x14ac:dyDescent="0.25">
      <c r="A28" s="1" t="s">
        <v>86</v>
      </c>
      <c r="B28" s="15">
        <f>B26*B27</f>
        <v>420000</v>
      </c>
      <c r="C28" s="15">
        <f t="shared" ref="C28:F28" si="10">C26*C27</f>
        <v>590000</v>
      </c>
      <c r="D28" s="15">
        <f t="shared" si="10"/>
        <v>355000</v>
      </c>
      <c r="E28" s="15">
        <f t="shared" si="10"/>
        <v>335000</v>
      </c>
      <c r="F28" s="15">
        <f t="shared" si="10"/>
        <v>1700000</v>
      </c>
    </row>
    <row r="30" spans="1:6" x14ac:dyDescent="0.25">
      <c r="A30" s="41" t="s">
        <v>87</v>
      </c>
      <c r="B30" s="41"/>
      <c r="C30" s="41"/>
      <c r="D30" s="41"/>
      <c r="E30" s="41"/>
      <c r="F30" s="41"/>
    </row>
    <row r="31" spans="1:6" x14ac:dyDescent="0.25">
      <c r="A31" t="s">
        <v>2</v>
      </c>
      <c r="B31" t="s">
        <v>64</v>
      </c>
      <c r="C31" t="s">
        <v>65</v>
      </c>
      <c r="D31" t="s">
        <v>66</v>
      </c>
      <c r="E31" t="s">
        <v>67</v>
      </c>
      <c r="F31" s="1" t="s">
        <v>56</v>
      </c>
    </row>
    <row r="32" spans="1:6" x14ac:dyDescent="0.25">
      <c r="A32" t="s">
        <v>88</v>
      </c>
      <c r="B32" s="2">
        <f>B8</f>
        <v>5100</v>
      </c>
      <c r="C32" s="2">
        <f t="shared" ref="C32:E32" si="11">C8</f>
        <v>7400</v>
      </c>
      <c r="D32" s="2">
        <f t="shared" si="11"/>
        <v>4400</v>
      </c>
      <c r="E32" s="2">
        <f t="shared" si="11"/>
        <v>4100</v>
      </c>
      <c r="F32" s="2">
        <f>SUM(B32:E32)</f>
        <v>21000</v>
      </c>
    </row>
    <row r="33" spans="1:6" x14ac:dyDescent="0.25">
      <c r="A33" t="s">
        <v>89</v>
      </c>
      <c r="B33" s="10">
        <f>B27</f>
        <v>100</v>
      </c>
      <c r="C33" s="10">
        <f t="shared" ref="C33:F33" si="12">C27</f>
        <v>100</v>
      </c>
      <c r="D33" s="10">
        <f t="shared" si="12"/>
        <v>100</v>
      </c>
      <c r="E33" s="10">
        <f t="shared" si="12"/>
        <v>100</v>
      </c>
      <c r="F33" s="10">
        <f t="shared" si="12"/>
        <v>100</v>
      </c>
    </row>
    <row r="34" spans="1:6" x14ac:dyDescent="0.25">
      <c r="A34" t="s">
        <v>86</v>
      </c>
      <c r="B34" s="15">
        <f>B32*B33</f>
        <v>510000</v>
      </c>
      <c r="C34" s="15">
        <f t="shared" ref="C34:F34" si="13">C32*C33</f>
        <v>740000</v>
      </c>
      <c r="D34" s="15">
        <f t="shared" si="13"/>
        <v>440000</v>
      </c>
      <c r="E34" s="15">
        <f t="shared" si="13"/>
        <v>410000</v>
      </c>
      <c r="F34" s="15">
        <f t="shared" si="13"/>
        <v>2100000</v>
      </c>
    </row>
    <row r="36" spans="1:6" x14ac:dyDescent="0.25">
      <c r="A36" s="41" t="s">
        <v>90</v>
      </c>
      <c r="B36" s="41"/>
      <c r="C36" s="41"/>
      <c r="D36" s="41"/>
      <c r="E36" s="41"/>
      <c r="F36" s="41"/>
    </row>
    <row r="37" spans="1:6" x14ac:dyDescent="0.25">
      <c r="A37" s="1" t="s">
        <v>1</v>
      </c>
      <c r="B37" t="s">
        <v>64</v>
      </c>
      <c r="C37" t="s">
        <v>65</v>
      </c>
      <c r="D37" t="s">
        <v>66</v>
      </c>
      <c r="E37" t="s">
        <v>67</v>
      </c>
      <c r="F37" s="1" t="s">
        <v>56</v>
      </c>
    </row>
    <row r="38" spans="1:6" x14ac:dyDescent="0.25">
      <c r="A38" t="s">
        <v>91</v>
      </c>
      <c r="B38" s="2">
        <f>B8</f>
        <v>5100</v>
      </c>
      <c r="C38" s="2">
        <f t="shared" ref="C38:E38" si="14">C8</f>
        <v>7400</v>
      </c>
      <c r="D38" s="2">
        <f t="shared" si="14"/>
        <v>4400</v>
      </c>
      <c r="E38" s="2">
        <f t="shared" si="14"/>
        <v>4100</v>
      </c>
      <c r="F38" s="2">
        <f>SUM(B38:E38)</f>
        <v>21000</v>
      </c>
    </row>
    <row r="39" spans="1:6" x14ac:dyDescent="0.25">
      <c r="A39" t="s">
        <v>92</v>
      </c>
      <c r="B39" s="10">
        <v>2</v>
      </c>
      <c r="C39" s="10">
        <v>2</v>
      </c>
      <c r="D39" s="10">
        <v>2</v>
      </c>
      <c r="E39" s="10">
        <v>2</v>
      </c>
      <c r="F39" s="10">
        <v>2</v>
      </c>
    </row>
    <row r="40" spans="1:6" x14ac:dyDescent="0.25">
      <c r="A40" t="s">
        <v>93</v>
      </c>
      <c r="B40" s="2">
        <f>B38*B39</f>
        <v>10200</v>
      </c>
      <c r="C40" s="2">
        <f t="shared" ref="C40:F40" si="15">C38*C39</f>
        <v>14800</v>
      </c>
      <c r="D40" s="2">
        <f t="shared" si="15"/>
        <v>8800</v>
      </c>
      <c r="E40" s="2">
        <f t="shared" si="15"/>
        <v>8200</v>
      </c>
      <c r="F40" s="2">
        <f t="shared" si="15"/>
        <v>42000</v>
      </c>
    </row>
    <row r="41" spans="1:6" x14ac:dyDescent="0.25">
      <c r="A41" t="s">
        <v>94</v>
      </c>
      <c r="B41" s="10">
        <v>100</v>
      </c>
      <c r="C41" s="10">
        <v>100</v>
      </c>
      <c r="D41" s="10">
        <v>100</v>
      </c>
      <c r="E41" s="10">
        <v>100</v>
      </c>
      <c r="F41" s="10">
        <v>100</v>
      </c>
    </row>
    <row r="42" spans="1:6" x14ac:dyDescent="0.25">
      <c r="A42" t="s">
        <v>86</v>
      </c>
      <c r="B42" s="15">
        <f>B40*B41</f>
        <v>1020000</v>
      </c>
      <c r="C42" s="15">
        <f t="shared" ref="C42:F42" si="16">C40*C41</f>
        <v>1480000</v>
      </c>
      <c r="D42" s="15">
        <f t="shared" si="16"/>
        <v>880000</v>
      </c>
      <c r="E42" s="15">
        <f t="shared" si="16"/>
        <v>820000</v>
      </c>
      <c r="F42" s="15">
        <f t="shared" si="16"/>
        <v>4200000</v>
      </c>
    </row>
    <row r="44" spans="1:6" x14ac:dyDescent="0.25">
      <c r="A44" s="41" t="s">
        <v>96</v>
      </c>
      <c r="B44" s="41"/>
      <c r="C44" s="41"/>
      <c r="D44" s="41"/>
      <c r="E44" s="41"/>
      <c r="F44" s="41"/>
    </row>
    <row r="45" spans="1:6" x14ac:dyDescent="0.25">
      <c r="B45" t="s">
        <v>64</v>
      </c>
      <c r="C45" t="s">
        <v>65</v>
      </c>
      <c r="D45" t="s">
        <v>66</v>
      </c>
      <c r="E45" t="s">
        <v>67</v>
      </c>
      <c r="F45" s="1" t="s">
        <v>56</v>
      </c>
    </row>
    <row r="46" spans="1:6" x14ac:dyDescent="0.25">
      <c r="A46" t="s">
        <v>93</v>
      </c>
      <c r="B46" s="2">
        <f>B40</f>
        <v>10200</v>
      </c>
      <c r="C46" s="2">
        <f t="shared" ref="C46:E46" si="17">C40</f>
        <v>14800</v>
      </c>
      <c r="D46" s="2">
        <f t="shared" si="17"/>
        <v>8800</v>
      </c>
      <c r="E46" s="2">
        <f t="shared" si="17"/>
        <v>8200</v>
      </c>
      <c r="F46" s="2">
        <f>SUM(B46:E46)</f>
        <v>42000</v>
      </c>
    </row>
    <row r="47" spans="1:6" x14ac:dyDescent="0.25">
      <c r="A47" t="s">
        <v>97</v>
      </c>
      <c r="B47" s="11">
        <f>'Genel Bilgiler'!$H$27</f>
        <v>300</v>
      </c>
      <c r="C47" s="11">
        <f>'Genel Bilgiler'!$H$27</f>
        <v>300</v>
      </c>
      <c r="D47" s="11">
        <f>'Genel Bilgiler'!$H$27</f>
        <v>300</v>
      </c>
      <c r="E47" s="11">
        <f>'Genel Bilgiler'!$H$27</f>
        <v>300</v>
      </c>
      <c r="F47" s="11">
        <f>'Genel Bilgiler'!$H$27</f>
        <v>300</v>
      </c>
    </row>
    <row r="48" spans="1:6" x14ac:dyDescent="0.25">
      <c r="A48" t="s">
        <v>86</v>
      </c>
      <c r="B48" s="15">
        <f>B46*B47</f>
        <v>3060000</v>
      </c>
      <c r="C48" s="15">
        <f t="shared" ref="C48:F48" si="18">C46*C47</f>
        <v>4440000</v>
      </c>
      <c r="D48" s="15">
        <f t="shared" si="18"/>
        <v>2640000</v>
      </c>
      <c r="E48" s="15">
        <f t="shared" si="18"/>
        <v>2460000</v>
      </c>
      <c r="F48" s="15">
        <f t="shared" si="18"/>
        <v>12600000</v>
      </c>
    </row>
    <row r="50" spans="1:6" x14ac:dyDescent="0.25">
      <c r="A50" s="41" t="s">
        <v>98</v>
      </c>
      <c r="B50" s="41"/>
      <c r="C50" s="41"/>
      <c r="D50" s="41"/>
      <c r="E50" s="41"/>
      <c r="F50" s="41"/>
    </row>
    <row r="51" spans="1:6" x14ac:dyDescent="0.25">
      <c r="B51" t="s">
        <v>64</v>
      </c>
      <c r="C51" t="s">
        <v>65</v>
      </c>
      <c r="D51" t="s">
        <v>66</v>
      </c>
      <c r="E51" t="s">
        <v>67</v>
      </c>
      <c r="F51" s="1" t="s">
        <v>56</v>
      </c>
    </row>
    <row r="52" spans="1:6" x14ac:dyDescent="0.25">
      <c r="A52" t="s">
        <v>99</v>
      </c>
      <c r="B52" s="2">
        <f>B34</f>
        <v>510000</v>
      </c>
      <c r="C52" s="2">
        <f t="shared" ref="C52:E52" si="19">C34</f>
        <v>740000</v>
      </c>
      <c r="D52" s="2">
        <f t="shared" si="19"/>
        <v>440000</v>
      </c>
      <c r="E52" s="2">
        <f t="shared" si="19"/>
        <v>410000</v>
      </c>
      <c r="F52" s="2">
        <f>SUM(B52:E52)</f>
        <v>2100000</v>
      </c>
    </row>
    <row r="53" spans="1:6" x14ac:dyDescent="0.25">
      <c r="A53" t="s">
        <v>100</v>
      </c>
      <c r="B53" s="2">
        <f>B42</f>
        <v>1020000</v>
      </c>
      <c r="C53" s="2">
        <f t="shared" ref="C53:E53" si="20">C42</f>
        <v>1480000</v>
      </c>
      <c r="D53" s="2">
        <f t="shared" si="20"/>
        <v>880000</v>
      </c>
      <c r="E53" s="2">
        <f t="shared" si="20"/>
        <v>820000</v>
      </c>
      <c r="F53" s="2">
        <f>SUM(B53:E53)</f>
        <v>4200000</v>
      </c>
    </row>
    <row r="54" spans="1:6" x14ac:dyDescent="0.25">
      <c r="A54" t="s">
        <v>101</v>
      </c>
      <c r="B54" s="10">
        <f>B48</f>
        <v>3060000</v>
      </c>
      <c r="C54" s="10">
        <f t="shared" ref="C54:E54" si="21">C48</f>
        <v>4440000</v>
      </c>
      <c r="D54" s="10">
        <f t="shared" si="21"/>
        <v>2640000</v>
      </c>
      <c r="E54" s="10">
        <f t="shared" si="21"/>
        <v>2460000</v>
      </c>
      <c r="F54" s="10">
        <f>SUM(B54:E54)</f>
        <v>12600000</v>
      </c>
    </row>
    <row r="55" spans="1:6" x14ac:dyDescent="0.25">
      <c r="A55" t="s">
        <v>102</v>
      </c>
      <c r="B55" s="15">
        <f>SUM(B52:B54)</f>
        <v>4590000</v>
      </c>
      <c r="C55" s="15">
        <f t="shared" ref="C55:F55" si="22">SUM(C52:C54)</f>
        <v>6660000</v>
      </c>
      <c r="D55" s="15">
        <f t="shared" si="22"/>
        <v>3960000</v>
      </c>
      <c r="E55" s="15">
        <f t="shared" si="22"/>
        <v>3690000</v>
      </c>
      <c r="F55" s="15">
        <f t="shared" si="22"/>
        <v>18900000</v>
      </c>
    </row>
    <row r="56" spans="1:6" x14ac:dyDescent="0.25">
      <c r="A56" t="s">
        <v>103</v>
      </c>
      <c r="B56" s="2">
        <f>B8</f>
        <v>5100</v>
      </c>
      <c r="C56" s="2">
        <f t="shared" ref="C56:F56" si="23">C8</f>
        <v>7400</v>
      </c>
      <c r="D56" s="2">
        <f t="shared" si="23"/>
        <v>4400</v>
      </c>
      <c r="E56" s="2">
        <f t="shared" si="23"/>
        <v>4100</v>
      </c>
      <c r="F56" s="2">
        <f t="shared" si="23"/>
        <v>21000</v>
      </c>
    </row>
    <row r="57" spans="1:6" x14ac:dyDescent="0.25">
      <c r="A57" t="s">
        <v>104</v>
      </c>
      <c r="B57" s="1">
        <f>B55/B56</f>
        <v>900</v>
      </c>
      <c r="C57" s="1">
        <f t="shared" ref="C57:F57" si="24">C55/C56</f>
        <v>900</v>
      </c>
      <c r="D57" s="1">
        <f t="shared" si="24"/>
        <v>900</v>
      </c>
      <c r="E57" s="1">
        <f t="shared" si="24"/>
        <v>900</v>
      </c>
      <c r="F57" s="1">
        <f t="shared" si="24"/>
        <v>900</v>
      </c>
    </row>
  </sheetData>
  <mergeCells count="9">
    <mergeCell ref="A30:F30"/>
    <mergeCell ref="A36:F36"/>
    <mergeCell ref="A44:F44"/>
    <mergeCell ref="A50:F50"/>
    <mergeCell ref="A2:F2"/>
    <mergeCell ref="A10:F10"/>
    <mergeCell ref="B11:F11"/>
    <mergeCell ref="A16:F16"/>
    <mergeCell ref="A24:F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6AB9-A6FC-4A1B-9E29-DB9CB62895BF}">
  <dimension ref="A2:F29"/>
  <sheetViews>
    <sheetView topLeftCell="A16" workbookViewId="0">
      <selection activeCell="D34" sqref="D34"/>
    </sheetView>
  </sheetViews>
  <sheetFormatPr defaultRowHeight="15" x14ac:dyDescent="0.25"/>
  <cols>
    <col min="1" max="1" width="16.5703125" bestFit="1" customWidth="1"/>
  </cols>
  <sheetData>
    <row r="2" spans="1:6" x14ac:dyDescent="0.25">
      <c r="A2" s="41" t="s">
        <v>105</v>
      </c>
      <c r="B2" s="41"/>
      <c r="C2" s="41"/>
      <c r="D2" s="41"/>
      <c r="E2" s="41"/>
      <c r="F2" s="41"/>
    </row>
    <row r="3" spans="1:6" x14ac:dyDescent="0.25">
      <c r="A3" s="1" t="s">
        <v>106</v>
      </c>
      <c r="B3" t="s">
        <v>64</v>
      </c>
      <c r="C3" t="s">
        <v>65</v>
      </c>
      <c r="D3" t="s">
        <v>66</v>
      </c>
      <c r="E3" t="s">
        <v>67</v>
      </c>
      <c r="F3" s="1"/>
    </row>
    <row r="4" spans="1:6" x14ac:dyDescent="0.25">
      <c r="A4" t="s">
        <v>107</v>
      </c>
      <c r="B4" s="2">
        <f>HLOOKUP(B3,'Üretim Bütçesi'!$B$3:$F$7,5,0)</f>
        <v>12000</v>
      </c>
      <c r="C4" s="2">
        <f>HLOOKUP(C3,'Üretim Bütçesi'!$B$3:$F$7,5,0)</f>
        <v>11400</v>
      </c>
      <c r="D4" s="2">
        <f>HLOOKUP(D3,'Üretim Bütçesi'!$B$3:$F$7,5,0)</f>
        <v>10700</v>
      </c>
      <c r="E4" s="2">
        <f>HLOOKUP(E3,'Üretim Bütçesi'!$B$3:$F$7,5,0)</f>
        <v>10300</v>
      </c>
    </row>
    <row r="5" spans="1:6" x14ac:dyDescent="0.25">
      <c r="A5" t="s">
        <v>108</v>
      </c>
      <c r="B5" s="2">
        <f>HLOOKUP(B3,'Üretim Bütçesi'!$B$3:$F$5,3,0)</f>
        <v>11400</v>
      </c>
      <c r="C5" s="2">
        <f>HLOOKUP(C3,'Üretim Bütçesi'!$B$3:$F$5,3,0)</f>
        <v>10700</v>
      </c>
      <c r="D5" s="2">
        <f>HLOOKUP(D3,'Üretim Bütçesi'!$B$3:$F$5,3,0)</f>
        <v>10300</v>
      </c>
      <c r="E5" s="2">
        <f>HLOOKUP(E3,'Üretim Bütçesi'!$B$3:$F$5,3,0)</f>
        <v>10000</v>
      </c>
    </row>
    <row r="7" spans="1:6" x14ac:dyDescent="0.25">
      <c r="A7" s="41" t="s">
        <v>109</v>
      </c>
      <c r="B7" s="41"/>
      <c r="C7" s="41"/>
      <c r="D7" s="41"/>
      <c r="E7" s="41"/>
      <c r="F7" s="41"/>
    </row>
    <row r="8" spans="1:6" x14ac:dyDescent="0.25">
      <c r="A8" s="1" t="s">
        <v>106</v>
      </c>
      <c r="B8" t="s">
        <v>64</v>
      </c>
      <c r="C8" t="s">
        <v>65</v>
      </c>
      <c r="D8" t="s">
        <v>66</v>
      </c>
      <c r="E8" t="s">
        <v>67</v>
      </c>
    </row>
    <row r="9" spans="1:6" x14ac:dyDescent="0.25">
      <c r="A9" t="s">
        <v>107</v>
      </c>
      <c r="B9" s="2">
        <f>B4*'Üretim Bütçesi'!B57/1000</f>
        <v>10800</v>
      </c>
      <c r="C9" s="2">
        <f>C4*'Üretim Bütçesi'!C57/1000</f>
        <v>10260</v>
      </c>
      <c r="D9" s="2">
        <f>D4*'Üretim Bütçesi'!D57/1000</f>
        <v>9630</v>
      </c>
      <c r="E9" s="2">
        <f>E4*'Üretim Bütçesi'!E57/1000</f>
        <v>9270</v>
      </c>
    </row>
    <row r="10" spans="1:6" x14ac:dyDescent="0.25">
      <c r="A10" t="s">
        <v>108</v>
      </c>
      <c r="B10" s="2">
        <f>B5*'Üretim Bütçesi'!B57/1000</f>
        <v>10260</v>
      </c>
      <c r="C10" s="2">
        <f>C5*'Üretim Bütçesi'!C57/1000</f>
        <v>9630</v>
      </c>
      <c r="D10" s="2">
        <f>D5*'Üretim Bütçesi'!D57/1000</f>
        <v>9270</v>
      </c>
      <c r="E10" s="2">
        <f>E5*'Üretim Bütçesi'!E57/1000</f>
        <v>9000</v>
      </c>
    </row>
    <row r="12" spans="1:6" x14ac:dyDescent="0.25">
      <c r="A12" s="41" t="s">
        <v>110</v>
      </c>
      <c r="B12" s="41"/>
      <c r="C12" s="41"/>
      <c r="D12" s="41"/>
      <c r="E12" s="41"/>
      <c r="F12" s="41"/>
    </row>
    <row r="13" spans="1:6" x14ac:dyDescent="0.25">
      <c r="A13" s="1" t="s">
        <v>2</v>
      </c>
      <c r="B13" t="s">
        <v>64</v>
      </c>
      <c r="C13" t="s">
        <v>65</v>
      </c>
      <c r="D13" t="s">
        <v>66</v>
      </c>
      <c r="E13" t="s">
        <v>67</v>
      </c>
    </row>
    <row r="14" spans="1:6" x14ac:dyDescent="0.25">
      <c r="A14" t="s">
        <v>107</v>
      </c>
      <c r="B14" s="2">
        <f>'Üretim Bütçesi'!B21</f>
        <v>20000</v>
      </c>
      <c r="C14" s="2">
        <f>'Üretim Bütçesi'!C21</f>
        <v>19100</v>
      </c>
      <c r="D14" s="2">
        <f>'Üretim Bütçesi'!D21</f>
        <v>17600</v>
      </c>
      <c r="E14" s="2">
        <f>'Üretim Bütçesi'!E21</f>
        <v>16750</v>
      </c>
    </row>
    <row r="15" spans="1:6" x14ac:dyDescent="0.25">
      <c r="A15" t="s">
        <v>108</v>
      </c>
      <c r="B15" s="2">
        <f>'Üretim Bütçesi'!B19</f>
        <v>19100</v>
      </c>
      <c r="C15" s="2">
        <f>'Üretim Bütçesi'!C19</f>
        <v>17600</v>
      </c>
      <c r="D15" s="2">
        <f>'Üretim Bütçesi'!D19</f>
        <v>16750</v>
      </c>
      <c r="E15" s="2">
        <f>'Üretim Bütçesi'!E19</f>
        <v>16000</v>
      </c>
    </row>
    <row r="17" spans="1:6" x14ac:dyDescent="0.25">
      <c r="A17" s="41" t="s">
        <v>111</v>
      </c>
      <c r="B17" s="41"/>
      <c r="C17" s="41"/>
      <c r="D17" s="41"/>
      <c r="E17" s="41"/>
      <c r="F17" s="41"/>
    </row>
    <row r="18" spans="1:6" x14ac:dyDescent="0.25">
      <c r="A18" s="1" t="s">
        <v>2</v>
      </c>
      <c r="B18" t="s">
        <v>64</v>
      </c>
      <c r="C18" t="s">
        <v>65</v>
      </c>
      <c r="D18" t="s">
        <v>66</v>
      </c>
      <c r="E18" t="s">
        <v>67</v>
      </c>
    </row>
    <row r="19" spans="1:6" x14ac:dyDescent="0.25">
      <c r="A19" t="s">
        <v>107</v>
      </c>
      <c r="B19" s="2">
        <f>B14*'Üretim Bütçesi'!B27/1000</f>
        <v>2000</v>
      </c>
      <c r="C19" s="2">
        <f>C14*'Üretim Bütçesi'!C27/1000</f>
        <v>1910</v>
      </c>
      <c r="D19" s="2">
        <f>D14*'Üretim Bütçesi'!D27/1000</f>
        <v>1760</v>
      </c>
      <c r="E19" s="2">
        <f>E14*'Üretim Bütçesi'!E27/1000</f>
        <v>1675</v>
      </c>
    </row>
    <row r="20" spans="1:6" x14ac:dyDescent="0.25">
      <c r="A20" t="s">
        <v>108</v>
      </c>
      <c r="B20" s="2">
        <f>B15*'Üretim Bütçesi'!B27/1000</f>
        <v>1910</v>
      </c>
      <c r="C20" s="2">
        <f>C15*'Üretim Bütçesi'!C27/1000</f>
        <v>1760</v>
      </c>
      <c r="D20" s="2">
        <f>D15*'Üretim Bütçesi'!D27/1000</f>
        <v>1675</v>
      </c>
      <c r="E20" s="2">
        <f>E15*'Üretim Bütçesi'!E27/1000</f>
        <v>1600</v>
      </c>
    </row>
    <row r="22" spans="1:6" x14ac:dyDescent="0.25">
      <c r="A22" s="41" t="s">
        <v>112</v>
      </c>
      <c r="B22" s="41"/>
      <c r="C22" s="41"/>
      <c r="D22" s="41"/>
      <c r="E22" s="41"/>
      <c r="F22" s="41"/>
    </row>
    <row r="23" spans="1:6" x14ac:dyDescent="0.25">
      <c r="A23" s="12"/>
      <c r="B23" t="s">
        <v>64</v>
      </c>
      <c r="C23" t="s">
        <v>65</v>
      </c>
      <c r="D23" t="s">
        <v>66</v>
      </c>
      <c r="E23" t="s">
        <v>67</v>
      </c>
      <c r="F23" s="17" t="s">
        <v>56</v>
      </c>
    </row>
    <row r="24" spans="1:6" x14ac:dyDescent="0.25">
      <c r="A24" t="s">
        <v>113</v>
      </c>
      <c r="B24" s="2">
        <f>B9</f>
        <v>10800</v>
      </c>
      <c r="C24" s="2">
        <f t="shared" ref="C24:E24" si="0">C9</f>
        <v>10260</v>
      </c>
      <c r="D24" s="2">
        <f t="shared" si="0"/>
        <v>9630</v>
      </c>
      <c r="E24" s="2">
        <f t="shared" si="0"/>
        <v>9270</v>
      </c>
      <c r="F24" s="2">
        <f>SUM(B24:E24)</f>
        <v>39960</v>
      </c>
    </row>
    <row r="25" spans="1:6" x14ac:dyDescent="0.25">
      <c r="A25" t="s">
        <v>114</v>
      </c>
      <c r="B25" s="2">
        <f>'Üretim Bütçesi'!B55/1000</f>
        <v>4590</v>
      </c>
      <c r="C25" s="2">
        <f>'Üretim Bütçesi'!C55/1000</f>
        <v>6660</v>
      </c>
      <c r="D25" s="2">
        <f>'Üretim Bütçesi'!D55/1000</f>
        <v>3960</v>
      </c>
      <c r="E25" s="2">
        <f>'Üretim Bütçesi'!E55/1000</f>
        <v>3690</v>
      </c>
      <c r="F25" s="2">
        <f t="shared" ref="F25:F28" si="1">SUM(B25:E25)</f>
        <v>18900</v>
      </c>
    </row>
    <row r="26" spans="1:6" x14ac:dyDescent="0.25">
      <c r="A26" t="s">
        <v>115</v>
      </c>
      <c r="B26" s="10">
        <f>B24+B25</f>
        <v>15390</v>
      </c>
      <c r="C26" s="10">
        <f t="shared" ref="C26:E26" si="2">C24+C25</f>
        <v>16920</v>
      </c>
      <c r="D26" s="10">
        <f t="shared" si="2"/>
        <v>13590</v>
      </c>
      <c r="E26" s="10">
        <f t="shared" si="2"/>
        <v>12960</v>
      </c>
      <c r="F26" s="10">
        <f t="shared" si="1"/>
        <v>58860</v>
      </c>
    </row>
    <row r="27" spans="1:6" x14ac:dyDescent="0.25">
      <c r="A27" t="s">
        <v>116</v>
      </c>
      <c r="B27" s="19">
        <f>B10</f>
        <v>10260</v>
      </c>
      <c r="C27" s="19">
        <f t="shared" ref="C27:E27" si="3">C10</f>
        <v>9630</v>
      </c>
      <c r="D27" s="19">
        <f t="shared" si="3"/>
        <v>9270</v>
      </c>
      <c r="E27" s="19">
        <f t="shared" si="3"/>
        <v>9000</v>
      </c>
      <c r="F27" s="10">
        <f t="shared" si="1"/>
        <v>38160</v>
      </c>
    </row>
    <row r="28" spans="1:6" x14ac:dyDescent="0.25">
      <c r="A28" t="s">
        <v>117</v>
      </c>
      <c r="B28" s="15">
        <f>B26-B27</f>
        <v>5130</v>
      </c>
      <c r="C28" s="15">
        <f t="shared" ref="C28:E28" si="4">C26-C27</f>
        <v>7290</v>
      </c>
      <c r="D28" s="15">
        <f t="shared" si="4"/>
        <v>4320</v>
      </c>
      <c r="E28" s="15">
        <f t="shared" si="4"/>
        <v>3960</v>
      </c>
      <c r="F28" s="15">
        <f t="shared" si="1"/>
        <v>20700</v>
      </c>
    </row>
    <row r="29" spans="1:6" x14ac:dyDescent="0.25">
      <c r="A29" s="18"/>
    </row>
  </sheetData>
  <mergeCells count="5">
    <mergeCell ref="A2:F2"/>
    <mergeCell ref="A7:F7"/>
    <mergeCell ref="A12:F12"/>
    <mergeCell ref="A17:F17"/>
    <mergeCell ref="A22:F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24446-A295-453B-B499-B518671D9B89}">
  <dimension ref="A2:N16"/>
  <sheetViews>
    <sheetView workbookViewId="0">
      <selection activeCell="D19" sqref="D19"/>
    </sheetView>
  </sheetViews>
  <sheetFormatPr defaultRowHeight="15" x14ac:dyDescent="0.25"/>
  <cols>
    <col min="1" max="1" width="16.85546875" customWidth="1"/>
    <col min="8" max="8" width="14.85546875" bestFit="1" customWidth="1"/>
  </cols>
  <sheetData>
    <row r="2" spans="1:14" x14ac:dyDescent="0.25">
      <c r="A2" s="41" t="s">
        <v>118</v>
      </c>
      <c r="B2" s="41"/>
      <c r="C2" s="41"/>
      <c r="D2" s="41"/>
      <c r="E2" s="41"/>
      <c r="F2" s="41"/>
      <c r="H2" s="41" t="s">
        <v>124</v>
      </c>
      <c r="I2" s="41"/>
      <c r="J2" s="41"/>
      <c r="K2" s="41"/>
      <c r="L2" s="41"/>
      <c r="M2" s="41"/>
      <c r="N2" s="21"/>
    </row>
    <row r="3" spans="1:14" x14ac:dyDescent="0.25">
      <c r="A3" t="s">
        <v>119</v>
      </c>
      <c r="B3" t="s">
        <v>64</v>
      </c>
      <c r="C3" t="s">
        <v>65</v>
      </c>
      <c r="D3" t="s">
        <v>66</v>
      </c>
      <c r="E3" t="s">
        <v>67</v>
      </c>
      <c r="F3" s="17" t="s">
        <v>56</v>
      </c>
      <c r="H3" t="s">
        <v>119</v>
      </c>
      <c r="I3" t="s">
        <v>64</v>
      </c>
      <c r="J3" t="s">
        <v>65</v>
      </c>
      <c r="K3" t="s">
        <v>66</v>
      </c>
      <c r="L3" t="s">
        <v>67</v>
      </c>
      <c r="M3" s="17" t="s">
        <v>56</v>
      </c>
    </row>
    <row r="4" spans="1:14" x14ac:dyDescent="0.25">
      <c r="A4" s="1" t="s">
        <v>19</v>
      </c>
      <c r="H4" s="1" t="s">
        <v>19</v>
      </c>
    </row>
    <row r="5" spans="1:14" x14ac:dyDescent="0.25">
      <c r="A5" t="s">
        <v>33</v>
      </c>
      <c r="B5">
        <f>$F$5/4</f>
        <v>45</v>
      </c>
      <c r="C5">
        <f>$F$5/4</f>
        <v>45</v>
      </c>
      <c r="D5">
        <f>$F$5/4</f>
        <v>45</v>
      </c>
      <c r="E5">
        <f>$F$5/4</f>
        <v>45</v>
      </c>
      <c r="F5">
        <f>'Genel Bilgiler'!B51/1000</f>
        <v>180</v>
      </c>
      <c r="H5" t="s">
        <v>33</v>
      </c>
      <c r="I5">
        <f>$M$5/4</f>
        <v>90</v>
      </c>
      <c r="J5">
        <f t="shared" ref="J5:L5" si="0">$M$5/4</f>
        <v>90</v>
      </c>
      <c r="K5">
        <f t="shared" si="0"/>
        <v>90</v>
      </c>
      <c r="L5">
        <f t="shared" si="0"/>
        <v>90</v>
      </c>
      <c r="M5">
        <f>'Genel Bilgiler'!B55/1000</f>
        <v>360</v>
      </c>
    </row>
    <row r="6" spans="1:14" x14ac:dyDescent="0.25">
      <c r="A6" t="s">
        <v>34</v>
      </c>
      <c r="B6" s="11">
        <f>'Satış Bütçesi'!B11*0.02</f>
        <v>34</v>
      </c>
      <c r="C6" s="11">
        <f>'Satış Bütçesi'!C11*0.02</f>
        <v>52</v>
      </c>
      <c r="D6" s="11">
        <f>'Satış Bütçesi'!D11*0.02</f>
        <v>30</v>
      </c>
      <c r="E6" s="11">
        <f>'Satış Bütçesi'!E11*0.02</f>
        <v>24</v>
      </c>
      <c r="F6" s="11">
        <f>'Satış Bütçesi'!F11*0.02</f>
        <v>140</v>
      </c>
      <c r="H6" t="s">
        <v>34</v>
      </c>
      <c r="I6" s="11">
        <f>'Satış Bütçesi'!B11*0.01</f>
        <v>17</v>
      </c>
      <c r="J6" s="11">
        <f>'Satış Bütçesi'!C11*0.01</f>
        <v>26</v>
      </c>
      <c r="K6" s="11">
        <f>'Satış Bütçesi'!D11*0.01</f>
        <v>15</v>
      </c>
      <c r="L6" s="11">
        <f>'Satış Bütçesi'!E11*0.01</f>
        <v>12</v>
      </c>
      <c r="M6" s="11">
        <f>'Satış Bütçesi'!F11*0.01</f>
        <v>70</v>
      </c>
    </row>
    <row r="7" spans="1:14" x14ac:dyDescent="0.25">
      <c r="A7" t="s">
        <v>120</v>
      </c>
      <c r="B7" s="20">
        <f>B5+B6</f>
        <v>79</v>
      </c>
      <c r="C7" s="20">
        <f t="shared" ref="C7:F7" si="1">C5+C6</f>
        <v>97</v>
      </c>
      <c r="D7" s="20">
        <f t="shared" si="1"/>
        <v>75</v>
      </c>
      <c r="E7" s="20">
        <f t="shared" si="1"/>
        <v>69</v>
      </c>
      <c r="F7" s="20">
        <f t="shared" si="1"/>
        <v>320</v>
      </c>
      <c r="H7" t="s">
        <v>120</v>
      </c>
      <c r="I7" s="20">
        <f>I5+I6</f>
        <v>107</v>
      </c>
      <c r="J7" s="20">
        <f t="shared" ref="J7:M7" si="2">J5+J6</f>
        <v>116</v>
      </c>
      <c r="K7" s="20">
        <f t="shared" si="2"/>
        <v>105</v>
      </c>
      <c r="L7" s="20">
        <f t="shared" si="2"/>
        <v>102</v>
      </c>
      <c r="M7" s="20">
        <f t="shared" si="2"/>
        <v>430</v>
      </c>
    </row>
    <row r="8" spans="1:14" x14ac:dyDescent="0.25">
      <c r="A8" s="1" t="s">
        <v>17</v>
      </c>
      <c r="H8" s="1" t="s">
        <v>17</v>
      </c>
    </row>
    <row r="9" spans="1:14" x14ac:dyDescent="0.25">
      <c r="A9" t="s">
        <v>33</v>
      </c>
      <c r="B9">
        <f>$F$9/4</f>
        <v>30</v>
      </c>
      <c r="C9">
        <f t="shared" ref="C9:E9" si="3">$F$9/4</f>
        <v>30</v>
      </c>
      <c r="D9">
        <f t="shared" si="3"/>
        <v>30</v>
      </c>
      <c r="E9">
        <f t="shared" si="3"/>
        <v>30</v>
      </c>
      <c r="F9">
        <f>'Genel Bilgiler'!C51/1000</f>
        <v>120</v>
      </c>
      <c r="H9" t="s">
        <v>33</v>
      </c>
      <c r="I9">
        <f>$M$9/4</f>
        <v>60</v>
      </c>
      <c r="J9">
        <f t="shared" ref="J9:L9" si="4">$M$9/4</f>
        <v>60</v>
      </c>
      <c r="K9">
        <f t="shared" si="4"/>
        <v>60</v>
      </c>
      <c r="L9">
        <f t="shared" si="4"/>
        <v>60</v>
      </c>
      <c r="M9">
        <f>'Genel Bilgiler'!C55/1000</f>
        <v>240</v>
      </c>
    </row>
    <row r="10" spans="1:14" x14ac:dyDescent="0.25">
      <c r="A10" t="s">
        <v>34</v>
      </c>
      <c r="B10" s="11">
        <f>'Satış Bütçesi'!B12*0.02</f>
        <v>57.20000000000001</v>
      </c>
      <c r="C10" s="11">
        <f>'Satış Bütçesi'!C12*0.02</f>
        <v>79.200000000000017</v>
      </c>
      <c r="D10" s="11">
        <f>'Satış Bütçesi'!D12*0.02</f>
        <v>44</v>
      </c>
      <c r="E10" s="11">
        <f>'Satış Bütçesi'!E12*0.02</f>
        <v>39.600000000000009</v>
      </c>
      <c r="F10" s="11">
        <f>'Satış Bütçesi'!F12*0.02</f>
        <v>220</v>
      </c>
      <c r="H10" t="s">
        <v>34</v>
      </c>
      <c r="I10" s="11">
        <f>'Satış Bütçesi'!B12*0.01</f>
        <v>28.600000000000005</v>
      </c>
      <c r="J10" s="11">
        <f>'Satış Bütçesi'!C12*0.01</f>
        <v>39.600000000000009</v>
      </c>
      <c r="K10" s="11">
        <f>'Satış Bütçesi'!D12*0.01</f>
        <v>22</v>
      </c>
      <c r="L10" s="11">
        <f>'Satış Bütçesi'!E12*0.01</f>
        <v>19.800000000000004</v>
      </c>
      <c r="M10" s="11">
        <f>'Satış Bütçesi'!F12*0.01</f>
        <v>110</v>
      </c>
    </row>
    <row r="11" spans="1:14" x14ac:dyDescent="0.25">
      <c r="A11" t="s">
        <v>121</v>
      </c>
      <c r="B11" s="20">
        <f>B9+B10</f>
        <v>87.200000000000017</v>
      </c>
      <c r="C11" s="20">
        <f t="shared" ref="C11:F11" si="5">C9+C10</f>
        <v>109.20000000000002</v>
      </c>
      <c r="D11" s="20">
        <f t="shared" si="5"/>
        <v>74</v>
      </c>
      <c r="E11" s="20">
        <f t="shared" si="5"/>
        <v>69.600000000000009</v>
      </c>
      <c r="F11" s="20">
        <f t="shared" si="5"/>
        <v>340</v>
      </c>
      <c r="H11" t="s">
        <v>121</v>
      </c>
      <c r="I11" s="20">
        <f>I9+I10</f>
        <v>88.600000000000009</v>
      </c>
      <c r="J11" s="20">
        <f t="shared" ref="J11:M11" si="6">J9+J10</f>
        <v>99.600000000000009</v>
      </c>
      <c r="K11" s="20">
        <f t="shared" si="6"/>
        <v>82</v>
      </c>
      <c r="L11" s="20">
        <f t="shared" si="6"/>
        <v>79.800000000000011</v>
      </c>
      <c r="M11" s="20">
        <f t="shared" si="6"/>
        <v>350</v>
      </c>
    </row>
    <row r="12" spans="1:14" x14ac:dyDescent="0.25">
      <c r="A12" s="1" t="s">
        <v>18</v>
      </c>
      <c r="H12" s="1" t="s">
        <v>18</v>
      </c>
    </row>
    <row r="13" spans="1:14" x14ac:dyDescent="0.25">
      <c r="A13" t="s">
        <v>33</v>
      </c>
      <c r="B13">
        <f>$F$13/4</f>
        <v>25</v>
      </c>
      <c r="C13">
        <f t="shared" ref="C13:E13" si="7">$F$13/4</f>
        <v>25</v>
      </c>
      <c r="D13">
        <f t="shared" si="7"/>
        <v>25</v>
      </c>
      <c r="E13">
        <f t="shared" si="7"/>
        <v>25</v>
      </c>
      <c r="F13">
        <f>'Genel Bilgiler'!D51/1000</f>
        <v>100</v>
      </c>
      <c r="H13" t="s">
        <v>33</v>
      </c>
      <c r="I13">
        <f>$M$13/4</f>
        <v>50</v>
      </c>
      <c r="J13">
        <f t="shared" ref="J13:L13" si="8">$M$13/4</f>
        <v>50</v>
      </c>
      <c r="K13">
        <f t="shared" si="8"/>
        <v>50</v>
      </c>
      <c r="L13">
        <f t="shared" si="8"/>
        <v>50</v>
      </c>
      <c r="M13">
        <f>'Genel Bilgiler'!D55/1000</f>
        <v>200</v>
      </c>
    </row>
    <row r="14" spans="1:14" x14ac:dyDescent="0.25">
      <c r="A14" t="s">
        <v>34</v>
      </c>
      <c r="B14" s="11">
        <f>'Satış Bütçesi'!B13*0.02</f>
        <v>30.800000000000004</v>
      </c>
      <c r="C14" s="11">
        <f>'Satış Bütçesi'!C13*0.02</f>
        <v>41.800000000000004</v>
      </c>
      <c r="D14" s="11">
        <f>'Satış Bütçesi'!D13*0.02</f>
        <v>28.600000000000005</v>
      </c>
      <c r="E14" s="11">
        <f>'Satış Bütçesi'!E13*0.02</f>
        <v>30.800000000000004</v>
      </c>
      <c r="F14" s="11">
        <f>'Satış Bütçesi'!F13*0.02</f>
        <v>132</v>
      </c>
      <c r="H14" t="s">
        <v>34</v>
      </c>
      <c r="I14" s="11">
        <f>'Satış Bütçesi'!B13*0.01</f>
        <v>15.400000000000002</v>
      </c>
      <c r="J14" s="11">
        <f>'Satış Bütçesi'!C13*0.01</f>
        <v>20.900000000000002</v>
      </c>
      <c r="K14" s="11">
        <f>'Satış Bütçesi'!D13*0.01</f>
        <v>14.300000000000002</v>
      </c>
      <c r="L14" s="11">
        <f>'Satış Bütçesi'!E13*0.01</f>
        <v>15.400000000000002</v>
      </c>
      <c r="M14" s="11">
        <f>'Satış Bütçesi'!F13*0.01</f>
        <v>66</v>
      </c>
    </row>
    <row r="15" spans="1:14" x14ac:dyDescent="0.25">
      <c r="A15" t="s">
        <v>122</v>
      </c>
      <c r="B15" s="20">
        <f>B13+B14</f>
        <v>55.800000000000004</v>
      </c>
      <c r="C15" s="20">
        <f t="shared" ref="C15:F15" si="9">C13+C14</f>
        <v>66.800000000000011</v>
      </c>
      <c r="D15" s="20">
        <f t="shared" si="9"/>
        <v>53.600000000000009</v>
      </c>
      <c r="E15" s="20">
        <f t="shared" si="9"/>
        <v>55.800000000000004</v>
      </c>
      <c r="F15" s="20">
        <f t="shared" si="9"/>
        <v>232</v>
      </c>
      <c r="H15" t="s">
        <v>122</v>
      </c>
      <c r="I15" s="20">
        <f>I13+I14</f>
        <v>65.400000000000006</v>
      </c>
      <c r="J15" s="20">
        <f t="shared" ref="J15:M15" si="10">J13+J14</f>
        <v>70.900000000000006</v>
      </c>
      <c r="K15" s="20">
        <f t="shared" si="10"/>
        <v>64.3</v>
      </c>
      <c r="L15" s="20">
        <f t="shared" si="10"/>
        <v>65.400000000000006</v>
      </c>
      <c r="M15" s="20">
        <f t="shared" si="10"/>
        <v>266</v>
      </c>
    </row>
    <row r="16" spans="1:14" x14ac:dyDescent="0.25">
      <c r="A16" s="1" t="s">
        <v>123</v>
      </c>
      <c r="B16" s="1">
        <f>B7+B11+B15</f>
        <v>222.00000000000003</v>
      </c>
      <c r="C16" s="1">
        <f t="shared" ref="C16:F16" si="11">C7+C11+C15</f>
        <v>273</v>
      </c>
      <c r="D16" s="1">
        <f t="shared" si="11"/>
        <v>202.60000000000002</v>
      </c>
      <c r="E16" s="1">
        <f t="shared" si="11"/>
        <v>194.40000000000003</v>
      </c>
      <c r="F16" s="1">
        <f t="shared" si="11"/>
        <v>892</v>
      </c>
      <c r="H16" s="1" t="s">
        <v>123</v>
      </c>
      <c r="I16">
        <f>I7+I11+I15</f>
        <v>261</v>
      </c>
      <c r="J16">
        <f t="shared" ref="J16:M16" si="12">J7+J11+J15</f>
        <v>286.5</v>
      </c>
      <c r="K16">
        <f t="shared" si="12"/>
        <v>251.3</v>
      </c>
      <c r="L16">
        <f t="shared" si="12"/>
        <v>247.20000000000002</v>
      </c>
      <c r="M16">
        <f t="shared" si="12"/>
        <v>1046</v>
      </c>
    </row>
  </sheetData>
  <mergeCells count="2">
    <mergeCell ref="A2:F2"/>
    <mergeCell ref="H2: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CC-98C2-47CB-AFDD-8368141DAC5D}">
  <dimension ref="A2:F18"/>
  <sheetViews>
    <sheetView workbookViewId="0">
      <selection activeCell="B10" sqref="B10"/>
    </sheetView>
  </sheetViews>
  <sheetFormatPr defaultRowHeight="15" x14ac:dyDescent="0.25"/>
  <cols>
    <col min="1" max="1" width="22.28515625" bestFit="1" customWidth="1"/>
  </cols>
  <sheetData>
    <row r="2" spans="1:6" x14ac:dyDescent="0.25">
      <c r="A2" s="41" t="s">
        <v>140</v>
      </c>
      <c r="B2" s="41"/>
      <c r="C2" s="41"/>
      <c r="D2" s="41"/>
      <c r="E2" s="41"/>
      <c r="F2" s="41"/>
    </row>
    <row r="3" spans="1:6" x14ac:dyDescent="0.25">
      <c r="B3" t="s">
        <v>64</v>
      </c>
      <c r="C3" t="s">
        <v>65</v>
      </c>
      <c r="D3" t="s">
        <v>66</v>
      </c>
      <c r="E3" t="s">
        <v>67</v>
      </c>
      <c r="F3" s="17" t="s">
        <v>56</v>
      </c>
    </row>
    <row r="4" spans="1:6" x14ac:dyDescent="0.25">
      <c r="A4" t="s">
        <v>125</v>
      </c>
      <c r="B4" s="2">
        <f>'Satış Bütçesi'!B14</f>
        <v>6100</v>
      </c>
      <c r="C4" s="2">
        <f>'Satış Bütçesi'!C14</f>
        <v>8650</v>
      </c>
      <c r="D4" s="2">
        <f>'Satış Bütçesi'!D14</f>
        <v>5130</v>
      </c>
      <c r="E4" s="2">
        <f>'Satış Bütçesi'!E14</f>
        <v>4720</v>
      </c>
      <c r="F4" s="2">
        <f>SUM(B4:E4)</f>
        <v>24600</v>
      </c>
    </row>
    <row r="5" spans="1:6" x14ac:dyDescent="0.25">
      <c r="A5" s="11" t="s">
        <v>126</v>
      </c>
      <c r="B5" s="10">
        <f>-'Satılan Malın Maliyeti Bütçesi'!B28</f>
        <v>-5130</v>
      </c>
      <c r="C5" s="10">
        <f>-'Satılan Malın Maliyeti Bütçesi'!C28</f>
        <v>-7290</v>
      </c>
      <c r="D5" s="10">
        <f>-'Satılan Malın Maliyeti Bütçesi'!D28</f>
        <v>-4320</v>
      </c>
      <c r="E5" s="10">
        <f>-'Satılan Malın Maliyeti Bütçesi'!E28</f>
        <v>-3960</v>
      </c>
      <c r="F5" s="10">
        <f>SUM(B5:E5)</f>
        <v>-20700</v>
      </c>
    </row>
    <row r="6" spans="1:6" x14ac:dyDescent="0.25">
      <c r="A6" s="11" t="s">
        <v>127</v>
      </c>
      <c r="B6" s="10">
        <f>SUM(B4:B5)</f>
        <v>970</v>
      </c>
      <c r="C6" s="10">
        <f t="shared" ref="C6:F6" si="0">SUM(C4:C5)</f>
        <v>1360</v>
      </c>
      <c r="D6" s="10">
        <f t="shared" si="0"/>
        <v>810</v>
      </c>
      <c r="E6" s="10">
        <f t="shared" si="0"/>
        <v>760</v>
      </c>
      <c r="F6" s="10">
        <f t="shared" si="0"/>
        <v>3900</v>
      </c>
    </row>
    <row r="7" spans="1:6" x14ac:dyDescent="0.25">
      <c r="A7" t="s">
        <v>128</v>
      </c>
      <c r="B7">
        <f>-'Faaliyet Giderleri Bütçesi'!B16</f>
        <v>-222.00000000000003</v>
      </c>
      <c r="C7">
        <f>-'Faaliyet Giderleri Bütçesi'!C16</f>
        <v>-273</v>
      </c>
      <c r="D7">
        <f>-'Faaliyet Giderleri Bütçesi'!D16</f>
        <v>-202.60000000000002</v>
      </c>
      <c r="E7">
        <f>-'Faaliyet Giderleri Bütçesi'!E16</f>
        <v>-194.40000000000003</v>
      </c>
      <c r="F7">
        <f>SUM(B7:E7)</f>
        <v>-892</v>
      </c>
    </row>
    <row r="8" spans="1:6" x14ac:dyDescent="0.25">
      <c r="A8" s="11" t="s">
        <v>129</v>
      </c>
      <c r="B8" s="11">
        <f>-'Faaliyet Giderleri Bütçesi'!I16</f>
        <v>-261</v>
      </c>
      <c r="C8" s="11">
        <f>-'Faaliyet Giderleri Bütçesi'!J16</f>
        <v>-286.5</v>
      </c>
      <c r="D8" s="11">
        <f>-'Faaliyet Giderleri Bütçesi'!K16</f>
        <v>-251.3</v>
      </c>
      <c r="E8" s="11">
        <f>-'Faaliyet Giderleri Bütçesi'!L16</f>
        <v>-247.20000000000002</v>
      </c>
      <c r="F8" s="11">
        <f>SUM(B8:E8)</f>
        <v>-1046</v>
      </c>
    </row>
    <row r="9" spans="1:6" x14ac:dyDescent="0.25">
      <c r="A9" s="20" t="s">
        <v>130</v>
      </c>
      <c r="B9" s="10">
        <f>SUM(B6:B8)</f>
        <v>487</v>
      </c>
      <c r="C9" s="10">
        <f t="shared" ref="C9:E9" si="1">SUM(C6:C8)</f>
        <v>800.5</v>
      </c>
      <c r="D9" s="10">
        <f t="shared" si="1"/>
        <v>356.09999999999997</v>
      </c>
      <c r="E9" s="10">
        <f t="shared" si="1"/>
        <v>318.39999999999986</v>
      </c>
      <c r="F9" s="10">
        <f>SUM(B9:E9)</f>
        <v>1961.9999999999998</v>
      </c>
    </row>
    <row r="10" spans="1:6" x14ac:dyDescent="0.25">
      <c r="A10" t="s">
        <v>131</v>
      </c>
      <c r="B10">
        <f>('Genel Bilgiler'!$B$62/1000)/4</f>
        <v>59.5</v>
      </c>
      <c r="C10">
        <f>('Genel Bilgiler'!$B$62/1000)/4</f>
        <v>59.5</v>
      </c>
      <c r="D10">
        <f>('Genel Bilgiler'!$B$62/1000)/4</f>
        <v>59.5</v>
      </c>
      <c r="E10">
        <f>('Genel Bilgiler'!$B$62/1000)/4</f>
        <v>59.5</v>
      </c>
      <c r="F10" s="2">
        <f>SUM(B10:E10)</f>
        <v>238</v>
      </c>
    </row>
    <row r="11" spans="1:6" x14ac:dyDescent="0.25">
      <c r="A11" t="s">
        <v>132</v>
      </c>
    </row>
    <row r="12" spans="1:6" x14ac:dyDescent="0.25">
      <c r="A12" s="11" t="s">
        <v>133</v>
      </c>
      <c r="B12" s="11">
        <f>-'Genel Bilgiler'!B63/1000</f>
        <v>-200</v>
      </c>
      <c r="C12" s="11"/>
      <c r="D12" s="11"/>
      <c r="E12" s="11"/>
      <c r="F12" s="11">
        <f>SUM(B12:E12)</f>
        <v>-200</v>
      </c>
    </row>
    <row r="13" spans="1:6" x14ac:dyDescent="0.25">
      <c r="A13" s="20" t="s">
        <v>134</v>
      </c>
      <c r="B13" s="22">
        <f>SUM(B9:B12)</f>
        <v>346.5</v>
      </c>
      <c r="C13" s="22">
        <f t="shared" ref="C13:F13" si="2">SUM(C9:C12)</f>
        <v>860</v>
      </c>
      <c r="D13" s="22">
        <f t="shared" si="2"/>
        <v>415.59999999999997</v>
      </c>
      <c r="E13" s="22">
        <f t="shared" si="2"/>
        <v>377.89999999999986</v>
      </c>
      <c r="F13" s="22">
        <f t="shared" si="2"/>
        <v>2000</v>
      </c>
    </row>
    <row r="14" spans="1:6" x14ac:dyDescent="0.25">
      <c r="A14" t="s">
        <v>135</v>
      </c>
    </row>
    <row r="15" spans="1:6" x14ac:dyDescent="0.25">
      <c r="A15" s="11" t="s">
        <v>136</v>
      </c>
      <c r="B15" s="11"/>
      <c r="C15" s="11"/>
      <c r="D15" s="11"/>
      <c r="E15" s="11"/>
      <c r="F15" s="11"/>
    </row>
    <row r="16" spans="1:6" x14ac:dyDescent="0.25">
      <c r="A16" s="20" t="s">
        <v>137</v>
      </c>
      <c r="B16" s="22">
        <f>SUM(B13:B15)</f>
        <v>346.5</v>
      </c>
      <c r="C16" s="22">
        <f t="shared" ref="C16:F16" si="3">SUM(C13:C15)</f>
        <v>860</v>
      </c>
      <c r="D16" s="22">
        <f t="shared" si="3"/>
        <v>415.59999999999997</v>
      </c>
      <c r="E16" s="22">
        <f t="shared" si="3"/>
        <v>377.89999999999986</v>
      </c>
      <c r="F16" s="22">
        <f t="shared" si="3"/>
        <v>2000</v>
      </c>
    </row>
    <row r="17" spans="1:6" x14ac:dyDescent="0.25">
      <c r="A17" s="20" t="s">
        <v>138</v>
      </c>
      <c r="B17" s="20">
        <f>-B16*0.4</f>
        <v>-138.6</v>
      </c>
      <c r="C17" s="20">
        <f t="shared" ref="C17:F17" si="4">-C16*0.4</f>
        <v>-344</v>
      </c>
      <c r="D17" s="20">
        <f t="shared" si="4"/>
        <v>-166.24</v>
      </c>
      <c r="E17" s="20">
        <f t="shared" si="4"/>
        <v>-151.15999999999994</v>
      </c>
      <c r="F17" s="20">
        <f t="shared" si="4"/>
        <v>-800</v>
      </c>
    </row>
    <row r="18" spans="1:6" x14ac:dyDescent="0.25">
      <c r="A18" s="20" t="s">
        <v>139</v>
      </c>
      <c r="B18" s="23">
        <f>SUM(B16:B17)</f>
        <v>207.9</v>
      </c>
      <c r="C18" s="23">
        <f t="shared" ref="C18:F18" si="5">SUM(C16:C17)</f>
        <v>516</v>
      </c>
      <c r="D18" s="23">
        <f t="shared" si="5"/>
        <v>249.35999999999996</v>
      </c>
      <c r="E18" s="23">
        <f t="shared" si="5"/>
        <v>226.73999999999992</v>
      </c>
      <c r="F18" s="23">
        <f t="shared" si="5"/>
        <v>1200</v>
      </c>
    </row>
  </sheetData>
  <mergeCells count="1">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1D6C-6ED2-4C12-867C-0FC86A2177EF}">
  <dimension ref="A2:F6"/>
  <sheetViews>
    <sheetView workbookViewId="0">
      <selection activeCell="J21" sqref="J21"/>
    </sheetView>
  </sheetViews>
  <sheetFormatPr defaultRowHeight="15" x14ac:dyDescent="0.25"/>
  <cols>
    <col min="1" max="1" width="12.42578125" bestFit="1" customWidth="1"/>
  </cols>
  <sheetData>
    <row r="2" spans="1:6" x14ac:dyDescent="0.25">
      <c r="A2" s="41" t="s">
        <v>141</v>
      </c>
      <c r="B2" s="41"/>
      <c r="C2" s="41"/>
      <c r="D2" s="41"/>
      <c r="E2" s="41"/>
      <c r="F2" s="41"/>
    </row>
    <row r="3" spans="1:6" x14ac:dyDescent="0.25">
      <c r="A3" s="1" t="s">
        <v>43</v>
      </c>
      <c r="B3" t="s">
        <v>64</v>
      </c>
      <c r="C3" t="s">
        <v>65</v>
      </c>
      <c r="D3" t="s">
        <v>66</v>
      </c>
      <c r="E3" t="s">
        <v>67</v>
      </c>
      <c r="F3" s="17" t="s">
        <v>56</v>
      </c>
    </row>
    <row r="4" spans="1:6" x14ac:dyDescent="0.25">
      <c r="A4" t="s">
        <v>142</v>
      </c>
      <c r="C4">
        <v>1000</v>
      </c>
      <c r="D4">
        <v>2000</v>
      </c>
      <c r="F4">
        <f>SUM(B4:E4)</f>
        <v>3000</v>
      </c>
    </row>
    <row r="5" spans="1:6" x14ac:dyDescent="0.25">
      <c r="A5" t="s">
        <v>49</v>
      </c>
      <c r="C5">
        <v>962</v>
      </c>
      <c r="F5">
        <f>SUM(B5:E5)</f>
        <v>962</v>
      </c>
    </row>
    <row r="6" spans="1:6" x14ac:dyDescent="0.25">
      <c r="A6" s="1" t="s">
        <v>56</v>
      </c>
      <c r="B6">
        <f>SUM(B4:B5)</f>
        <v>0</v>
      </c>
      <c r="C6">
        <f t="shared" ref="C6:F6" si="0">SUM(C4:C5)</f>
        <v>1962</v>
      </c>
      <c r="D6">
        <f t="shared" si="0"/>
        <v>2000</v>
      </c>
      <c r="E6">
        <f t="shared" si="0"/>
        <v>0</v>
      </c>
      <c r="F6">
        <f t="shared" si="0"/>
        <v>3962</v>
      </c>
    </row>
  </sheetData>
  <mergeCells count="1">
    <mergeCell ref="A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A9A0-5441-419A-809B-561F69C7B62C}">
  <dimension ref="A2:M69"/>
  <sheetViews>
    <sheetView workbookViewId="0">
      <selection activeCell="A41" sqref="A41:F41"/>
    </sheetView>
  </sheetViews>
  <sheetFormatPr defaultRowHeight="15" x14ac:dyDescent="0.25"/>
  <cols>
    <col min="1" max="1" width="24.140625" bestFit="1" customWidth="1"/>
    <col min="2" max="2" width="10.42578125" bestFit="1" customWidth="1"/>
    <col min="7" max="7" width="12.5703125" bestFit="1" customWidth="1"/>
    <col min="8" max="8" width="12" bestFit="1" customWidth="1"/>
  </cols>
  <sheetData>
    <row r="2" spans="1:12" x14ac:dyDescent="0.25">
      <c r="A2" s="41" t="s">
        <v>146</v>
      </c>
      <c r="B2" s="41"/>
      <c r="C2" s="41"/>
      <c r="D2" s="41"/>
      <c r="E2" s="41"/>
      <c r="F2" s="41"/>
      <c r="G2" s="41" t="s">
        <v>147</v>
      </c>
      <c r="H2" s="41"/>
      <c r="I2" s="41"/>
      <c r="J2" s="41"/>
      <c r="K2" s="41"/>
      <c r="L2" s="41"/>
    </row>
    <row r="3" spans="1:12" x14ac:dyDescent="0.25">
      <c r="C3" s="42" t="s">
        <v>145</v>
      </c>
      <c r="D3" s="42"/>
      <c r="E3" s="42"/>
    </row>
    <row r="4" spans="1:12" x14ac:dyDescent="0.25">
      <c r="A4" s="9" t="s">
        <v>143</v>
      </c>
      <c r="B4" s="9" t="s">
        <v>144</v>
      </c>
      <c r="C4" s="24">
        <v>0.1</v>
      </c>
      <c r="D4" s="24">
        <v>0.6</v>
      </c>
      <c r="E4" s="24">
        <v>0.3</v>
      </c>
      <c r="H4" t="s">
        <v>64</v>
      </c>
      <c r="I4" t="s">
        <v>65</v>
      </c>
      <c r="J4" t="s">
        <v>66</v>
      </c>
      <c r="K4" t="s">
        <v>67</v>
      </c>
      <c r="L4" s="17" t="s">
        <v>56</v>
      </c>
    </row>
    <row r="5" spans="1:12" x14ac:dyDescent="0.25">
      <c r="A5" t="s">
        <v>64</v>
      </c>
      <c r="B5" s="2">
        <f>HLOOKUP(A5,'Satış Bütçesi'!$B$10:$E$14,5,0)</f>
        <v>6100</v>
      </c>
      <c r="C5" s="2">
        <f>B5*$C$4</f>
        <v>610</v>
      </c>
      <c r="D5" s="2">
        <f>B5*$D$4</f>
        <v>3660</v>
      </c>
      <c r="E5" s="2">
        <f>B5*$E$4</f>
        <v>1830</v>
      </c>
      <c r="G5" t="s">
        <v>148</v>
      </c>
      <c r="H5" s="2">
        <f>C5</f>
        <v>610</v>
      </c>
      <c r="I5" s="2">
        <f>C6</f>
        <v>865</v>
      </c>
      <c r="J5" s="2">
        <f>C7</f>
        <v>513</v>
      </c>
      <c r="K5" s="2">
        <f>C8</f>
        <v>472</v>
      </c>
      <c r="L5" s="2">
        <f>SUM(H5:K5)</f>
        <v>2460</v>
      </c>
    </row>
    <row r="6" spans="1:12" x14ac:dyDescent="0.25">
      <c r="A6" t="s">
        <v>65</v>
      </c>
      <c r="B6" s="2">
        <f>HLOOKUP(A6,'Satış Bütçesi'!$B$10:$E$14,5,0)</f>
        <v>8650</v>
      </c>
      <c r="C6" s="2">
        <f t="shared" ref="C6:C7" si="0">B6*$C$4</f>
        <v>865</v>
      </c>
      <c r="D6" s="2">
        <f t="shared" ref="D6:D8" si="1">B6*$D$4</f>
        <v>5190</v>
      </c>
      <c r="E6" s="2">
        <f t="shared" ref="E6:E8" si="2">B6*$E$4</f>
        <v>2595</v>
      </c>
      <c r="G6" t="s">
        <v>149</v>
      </c>
      <c r="H6" s="2"/>
      <c r="I6" s="2"/>
      <c r="J6" s="2"/>
      <c r="K6" s="2"/>
      <c r="L6" s="2"/>
    </row>
    <row r="7" spans="1:12" x14ac:dyDescent="0.25">
      <c r="A7" t="s">
        <v>66</v>
      </c>
      <c r="B7" s="2">
        <f>HLOOKUP(A7,'Satış Bütçesi'!$B$10:$E$14,5,0)</f>
        <v>5130</v>
      </c>
      <c r="C7" s="2">
        <f t="shared" si="0"/>
        <v>513</v>
      </c>
      <c r="D7" s="2">
        <f t="shared" si="1"/>
        <v>3078</v>
      </c>
      <c r="E7" s="2">
        <f t="shared" si="2"/>
        <v>1539</v>
      </c>
      <c r="G7" t="s">
        <v>150</v>
      </c>
      <c r="H7" s="2"/>
      <c r="I7" s="2">
        <f>D5</f>
        <v>3660</v>
      </c>
      <c r="J7" s="2">
        <f>E5</f>
        <v>1830</v>
      </c>
      <c r="K7" s="2"/>
      <c r="L7" s="2">
        <f t="shared" ref="L7:L9" si="3">SUM(H7:K7)</f>
        <v>5490</v>
      </c>
    </row>
    <row r="8" spans="1:12" x14ac:dyDescent="0.25">
      <c r="A8" t="s">
        <v>67</v>
      </c>
      <c r="B8" s="2">
        <f>HLOOKUP(A8,'Satış Bütçesi'!$B$10:$E$14,5,0)</f>
        <v>4720</v>
      </c>
      <c r="C8" s="2">
        <f>B8*$C$4</f>
        <v>472</v>
      </c>
      <c r="D8" s="2">
        <f t="shared" si="1"/>
        <v>2832</v>
      </c>
      <c r="E8" s="2">
        <f t="shared" si="2"/>
        <v>1416</v>
      </c>
      <c r="G8" t="s">
        <v>151</v>
      </c>
      <c r="H8" s="2"/>
      <c r="I8" s="2"/>
      <c r="J8" s="2">
        <f>D6</f>
        <v>5190</v>
      </c>
      <c r="K8" s="2">
        <f>E6</f>
        <v>2595</v>
      </c>
      <c r="L8" s="2">
        <f t="shared" si="3"/>
        <v>7785</v>
      </c>
    </row>
    <row r="9" spans="1:12" x14ac:dyDescent="0.25">
      <c r="A9" t="s">
        <v>36</v>
      </c>
      <c r="B9" s="2">
        <f>SUM(B5:B8)</f>
        <v>24600</v>
      </c>
      <c r="C9" s="2">
        <f>SUM(C5:C8)</f>
        <v>2460</v>
      </c>
      <c r="D9" s="2">
        <f>SUM(D5:D8)</f>
        <v>14760</v>
      </c>
      <c r="E9" s="2">
        <f>SUM(E5:E8)</f>
        <v>7380</v>
      </c>
      <c r="G9" t="s">
        <v>152</v>
      </c>
      <c r="H9" s="2"/>
      <c r="I9" s="2"/>
      <c r="J9" s="2"/>
      <c r="K9" s="2">
        <f>D7</f>
        <v>3078</v>
      </c>
      <c r="L9" s="2">
        <f t="shared" si="3"/>
        <v>3078</v>
      </c>
    </row>
    <row r="10" spans="1:12" x14ac:dyDescent="0.25">
      <c r="G10" t="s">
        <v>153</v>
      </c>
      <c r="H10" s="2"/>
      <c r="I10" s="2"/>
      <c r="J10" s="2"/>
      <c r="K10" s="2"/>
      <c r="L10" s="2"/>
    </row>
    <row r="12" spans="1:12" x14ac:dyDescent="0.25">
      <c r="A12" s="41" t="s">
        <v>154</v>
      </c>
      <c r="B12" s="41"/>
      <c r="C12" s="41"/>
      <c r="D12" s="41"/>
      <c r="E12" s="41"/>
      <c r="F12" s="41"/>
      <c r="G12" s="41" t="s">
        <v>157</v>
      </c>
      <c r="H12" s="41"/>
      <c r="I12" s="41"/>
      <c r="J12" s="41"/>
      <c r="K12" s="41"/>
      <c r="L12" s="41"/>
    </row>
    <row r="13" spans="1:12" x14ac:dyDescent="0.25">
      <c r="C13" s="42" t="s">
        <v>156</v>
      </c>
      <c r="D13" s="42"/>
      <c r="E13" s="42"/>
    </row>
    <row r="14" spans="1:12" x14ac:dyDescent="0.25">
      <c r="A14" s="9" t="s">
        <v>143</v>
      </c>
      <c r="B14" s="9" t="s">
        <v>155</v>
      </c>
      <c r="C14" s="24">
        <v>0.3</v>
      </c>
      <c r="D14" s="24">
        <v>0.6</v>
      </c>
      <c r="E14" s="24">
        <v>0.1</v>
      </c>
      <c r="H14" t="s">
        <v>64</v>
      </c>
      <c r="I14" t="s">
        <v>65</v>
      </c>
      <c r="J14" t="s">
        <v>66</v>
      </c>
      <c r="K14" t="s">
        <v>67</v>
      </c>
      <c r="L14" s="17" t="s">
        <v>56</v>
      </c>
    </row>
    <row r="15" spans="1:12" x14ac:dyDescent="0.25">
      <c r="A15" t="s">
        <v>64</v>
      </c>
      <c r="B15">
        <f>HLOOKUP(A15,'Üretim Bütçesi'!$B$25:$F$28,4,0)/1000</f>
        <v>420</v>
      </c>
      <c r="C15">
        <f>B15*$C$14</f>
        <v>126</v>
      </c>
      <c r="D15">
        <f>B15*$D$14</f>
        <v>252</v>
      </c>
      <c r="E15">
        <f>B15*$E$14</f>
        <v>42</v>
      </c>
      <c r="G15" t="s">
        <v>158</v>
      </c>
      <c r="H15">
        <f>C15</f>
        <v>126</v>
      </c>
      <c r="I15">
        <f>C16</f>
        <v>177</v>
      </c>
      <c r="J15">
        <f>C17</f>
        <v>106.5</v>
      </c>
      <c r="K15">
        <f>C18</f>
        <v>100.5</v>
      </c>
      <c r="L15">
        <f>SUM(H15:K15)</f>
        <v>510</v>
      </c>
    </row>
    <row r="16" spans="1:12" x14ac:dyDescent="0.25">
      <c r="A16" t="s">
        <v>65</v>
      </c>
      <c r="B16">
        <f>HLOOKUP(A16,'Üretim Bütçesi'!$B$25:$F$28,4,0)/1000</f>
        <v>590</v>
      </c>
      <c r="C16">
        <f t="shared" ref="C16:C18" si="4">B16*$C$14</f>
        <v>177</v>
      </c>
      <c r="D16">
        <f t="shared" ref="D16:D18" si="5">B16*$D$14</f>
        <v>354</v>
      </c>
      <c r="E16">
        <f t="shared" ref="E16:E18" si="6">B16*$E$14</f>
        <v>59</v>
      </c>
      <c r="G16" t="s">
        <v>159</v>
      </c>
    </row>
    <row r="17" spans="1:13" x14ac:dyDescent="0.25">
      <c r="A17" t="s">
        <v>66</v>
      </c>
      <c r="B17">
        <f>HLOOKUP(A17,'Üretim Bütçesi'!$B$25:$F$28,4,0)/1000</f>
        <v>355</v>
      </c>
      <c r="C17">
        <f t="shared" si="4"/>
        <v>106.5</v>
      </c>
      <c r="D17">
        <f t="shared" si="5"/>
        <v>213</v>
      </c>
      <c r="E17">
        <f t="shared" si="6"/>
        <v>35.5</v>
      </c>
      <c r="G17" t="s">
        <v>150</v>
      </c>
      <c r="I17">
        <f>D15</f>
        <v>252</v>
      </c>
      <c r="J17">
        <f>E15</f>
        <v>42</v>
      </c>
      <c r="L17">
        <f t="shared" ref="L17:L19" si="7">SUM(H17:K17)</f>
        <v>294</v>
      </c>
    </row>
    <row r="18" spans="1:13" x14ac:dyDescent="0.25">
      <c r="A18" t="s">
        <v>67</v>
      </c>
      <c r="B18" s="11">
        <f>HLOOKUP(A18,'Üretim Bütçesi'!$B$25:$F$28,4,0)/1000</f>
        <v>335</v>
      </c>
      <c r="C18" s="11">
        <f t="shared" si="4"/>
        <v>100.5</v>
      </c>
      <c r="D18" s="11">
        <f t="shared" si="5"/>
        <v>201</v>
      </c>
      <c r="E18" s="11">
        <f t="shared" si="6"/>
        <v>33.5</v>
      </c>
      <c r="G18" t="s">
        <v>151</v>
      </c>
      <c r="J18">
        <f>D16</f>
        <v>354</v>
      </c>
      <c r="K18">
        <f>E16</f>
        <v>59</v>
      </c>
      <c r="L18">
        <f t="shared" si="7"/>
        <v>413</v>
      </c>
    </row>
    <row r="19" spans="1:13" x14ac:dyDescent="0.25">
      <c r="A19" s="1" t="s">
        <v>36</v>
      </c>
      <c r="B19" s="1">
        <f>SUM(B15:B18)</f>
        <v>1700</v>
      </c>
      <c r="C19" s="1">
        <f>SUM(C15:C18)</f>
        <v>510</v>
      </c>
      <c r="D19" s="1">
        <f>SUM(D15:D18)</f>
        <v>1020</v>
      </c>
      <c r="E19" s="1">
        <f>SUM(E15:E18)</f>
        <v>170</v>
      </c>
      <c r="G19" t="s">
        <v>152</v>
      </c>
      <c r="K19">
        <f>D17</f>
        <v>213</v>
      </c>
      <c r="L19">
        <f t="shared" si="7"/>
        <v>213</v>
      </c>
    </row>
    <row r="20" spans="1:13" x14ac:dyDescent="0.25">
      <c r="G20" t="s">
        <v>153</v>
      </c>
    </row>
    <row r="22" spans="1:13" ht="15.75" customHeight="1" x14ac:dyDescent="0.25">
      <c r="A22" s="41" t="s">
        <v>160</v>
      </c>
      <c r="B22" s="41"/>
      <c r="C22" s="41"/>
      <c r="D22" s="41"/>
      <c r="E22" s="41"/>
      <c r="F22" s="41"/>
      <c r="H22" s="41" t="s">
        <v>163</v>
      </c>
      <c r="I22" s="41"/>
      <c r="J22" s="41"/>
      <c r="K22" s="41"/>
      <c r="L22" s="41"/>
      <c r="M22" s="41"/>
    </row>
    <row r="23" spans="1:13" ht="15.75" customHeight="1" x14ac:dyDescent="0.25">
      <c r="A23" t="s">
        <v>101</v>
      </c>
      <c r="B23" t="s">
        <v>64</v>
      </c>
      <c r="C23" t="s">
        <v>65</v>
      </c>
      <c r="D23" t="s">
        <v>66</v>
      </c>
      <c r="E23" t="s">
        <v>67</v>
      </c>
      <c r="F23" s="17" t="s">
        <v>56</v>
      </c>
      <c r="H23" s="1" t="s">
        <v>37</v>
      </c>
      <c r="I23" t="s">
        <v>64</v>
      </c>
      <c r="J23" t="s">
        <v>65</v>
      </c>
      <c r="K23" t="s">
        <v>66</v>
      </c>
      <c r="L23" t="s">
        <v>67</v>
      </c>
      <c r="M23" s="17" t="s">
        <v>56</v>
      </c>
    </row>
    <row r="24" spans="1:13" x14ac:dyDescent="0.25">
      <c r="A24" t="s">
        <v>33</v>
      </c>
      <c r="B24" s="25">
        <f>$F$24/4</f>
        <v>1062.5</v>
      </c>
      <c r="C24" s="25">
        <f t="shared" ref="C24:E24" si="8">$F$24/4</f>
        <v>1062.5</v>
      </c>
      <c r="D24" s="25">
        <f t="shared" si="8"/>
        <v>1062.5</v>
      </c>
      <c r="E24" s="25">
        <f t="shared" si="8"/>
        <v>1062.5</v>
      </c>
      <c r="F24" s="2">
        <f>('Genel Bilgiler'!F25-'Genel Bilgiler'!F21)/1000</f>
        <v>4250</v>
      </c>
      <c r="H24" t="s">
        <v>33</v>
      </c>
      <c r="I24">
        <f>$M$24/4</f>
        <v>20</v>
      </c>
      <c r="J24">
        <f t="shared" ref="J24:L24" si="9">$M$24/4</f>
        <v>20</v>
      </c>
      <c r="K24">
        <f t="shared" si="9"/>
        <v>20</v>
      </c>
      <c r="L24">
        <f t="shared" si="9"/>
        <v>20</v>
      </c>
      <c r="M24">
        <f>('Genel Bilgiler'!B49+'Genel Bilgiler'!C49+'Genel Bilgiler'!D49)/1000</f>
        <v>80</v>
      </c>
    </row>
    <row r="25" spans="1:13" x14ac:dyDescent="0.25">
      <c r="A25" t="s">
        <v>161</v>
      </c>
      <c r="B25" s="10">
        <v>510</v>
      </c>
      <c r="C25" s="10">
        <v>740</v>
      </c>
      <c r="D25" s="10">
        <v>440</v>
      </c>
      <c r="E25" s="10">
        <v>410</v>
      </c>
      <c r="F25" s="10">
        <f>SUM(B25:E25)</f>
        <v>2100</v>
      </c>
      <c r="H25" s="11" t="s">
        <v>161</v>
      </c>
      <c r="I25" s="11">
        <f>'Faaliyet Giderleri Bütçesi'!B6+'Faaliyet Giderleri Bütçesi'!B10+'Faaliyet Giderleri Bütçesi'!B14</f>
        <v>122.00000000000003</v>
      </c>
      <c r="J25" s="11">
        <f>'Faaliyet Giderleri Bütçesi'!C6+'Faaliyet Giderleri Bütçesi'!C10+'Faaliyet Giderleri Bütçesi'!C14</f>
        <v>173.00000000000003</v>
      </c>
      <c r="K25" s="11">
        <f>'Faaliyet Giderleri Bütçesi'!D6+'Faaliyet Giderleri Bütçesi'!D10+'Faaliyet Giderleri Bütçesi'!D14</f>
        <v>102.60000000000001</v>
      </c>
      <c r="L25" s="11">
        <f>'Faaliyet Giderleri Bütçesi'!E6+'Faaliyet Giderleri Bütçesi'!E10+'Faaliyet Giderleri Bütçesi'!E14</f>
        <v>94.4</v>
      </c>
      <c r="M25" s="11">
        <f>SUM(I25:L25)</f>
        <v>492.00000000000011</v>
      </c>
    </row>
    <row r="26" spans="1:13" x14ac:dyDescent="0.25">
      <c r="A26" t="s">
        <v>72</v>
      </c>
      <c r="B26" s="2">
        <f>SUM(B24:B25)</f>
        <v>1572.5</v>
      </c>
      <c r="C26" s="2">
        <f t="shared" ref="C26:F26" si="10">SUM(C24:C25)</f>
        <v>1802.5</v>
      </c>
      <c r="D26" s="2">
        <f t="shared" si="10"/>
        <v>1502.5</v>
      </c>
      <c r="E26" s="2">
        <f t="shared" si="10"/>
        <v>1472.5</v>
      </c>
      <c r="F26" s="2">
        <f t="shared" si="10"/>
        <v>6350</v>
      </c>
      <c r="H26" t="s">
        <v>36</v>
      </c>
      <c r="I26">
        <f>SUM(I24:I25)</f>
        <v>142.00000000000003</v>
      </c>
      <c r="J26">
        <f t="shared" ref="J26:M26" si="11">SUM(J24:J25)</f>
        <v>193.00000000000003</v>
      </c>
      <c r="K26">
        <f t="shared" si="11"/>
        <v>122.60000000000001</v>
      </c>
      <c r="L26">
        <f t="shared" si="11"/>
        <v>114.4</v>
      </c>
      <c r="M26">
        <f t="shared" si="11"/>
        <v>572.00000000000011</v>
      </c>
    </row>
    <row r="27" spans="1:13" x14ac:dyDescent="0.25">
      <c r="A27" t="s">
        <v>162</v>
      </c>
      <c r="B27" s="10">
        <f>'Üretim Bütçesi'!B42/1000</f>
        <v>1020</v>
      </c>
      <c r="C27" s="10">
        <f>'Üretim Bütçesi'!C42/1000</f>
        <v>1480</v>
      </c>
      <c r="D27" s="10">
        <f>'Üretim Bütçesi'!D42/1000</f>
        <v>880</v>
      </c>
      <c r="E27" s="10">
        <f>'Üretim Bütçesi'!E42/1000</f>
        <v>820</v>
      </c>
      <c r="F27" s="10">
        <f>SUM(B27:E27)</f>
        <v>4200</v>
      </c>
      <c r="H27" s="1" t="s">
        <v>39</v>
      </c>
    </row>
    <row r="28" spans="1:13" x14ac:dyDescent="0.25">
      <c r="A28" s="1" t="s">
        <v>36</v>
      </c>
      <c r="B28" s="26">
        <f>SUM(B26:B27)</f>
        <v>2592.5</v>
      </c>
      <c r="C28" s="26">
        <f t="shared" ref="C28:F28" si="12">SUM(C26:C27)</f>
        <v>3282.5</v>
      </c>
      <c r="D28" s="26">
        <f t="shared" si="12"/>
        <v>2382.5</v>
      </c>
      <c r="E28" s="26">
        <f t="shared" si="12"/>
        <v>2292.5</v>
      </c>
      <c r="F28" s="15">
        <f t="shared" si="12"/>
        <v>10550</v>
      </c>
      <c r="H28" t="s">
        <v>33</v>
      </c>
      <c r="I28">
        <f>$M$28/4</f>
        <v>40</v>
      </c>
      <c r="J28">
        <f>$M$28/4</f>
        <v>40</v>
      </c>
      <c r="K28">
        <f>$M$28/4</f>
        <v>40</v>
      </c>
      <c r="L28">
        <f>$M$28/4</f>
        <v>40</v>
      </c>
      <c r="M28">
        <f>('Genel Bilgiler'!B53+'Genel Bilgiler'!C53+'Genel Bilgiler'!D53)/1000</f>
        <v>160</v>
      </c>
    </row>
    <row r="29" spans="1:13" x14ac:dyDescent="0.25">
      <c r="H29" s="11" t="s">
        <v>161</v>
      </c>
      <c r="I29" s="11">
        <f>'Faaliyet Giderleri Bütçesi'!I6+'Faaliyet Giderleri Bütçesi'!I10+'Faaliyet Giderleri Bütçesi'!I14</f>
        <v>61.000000000000014</v>
      </c>
      <c r="J29" s="11">
        <f>'Faaliyet Giderleri Bütçesi'!J6+'Faaliyet Giderleri Bütçesi'!J10+'Faaliyet Giderleri Bütçesi'!J14</f>
        <v>86.500000000000014</v>
      </c>
      <c r="K29" s="11">
        <f>'Faaliyet Giderleri Bütçesi'!K6+'Faaliyet Giderleri Bütçesi'!K10+'Faaliyet Giderleri Bütçesi'!K14</f>
        <v>51.300000000000004</v>
      </c>
      <c r="L29" s="11">
        <f>'Faaliyet Giderleri Bütçesi'!L6+'Faaliyet Giderleri Bütçesi'!L10+'Faaliyet Giderleri Bütçesi'!L14</f>
        <v>47.2</v>
      </c>
      <c r="M29" s="11">
        <f>SUM(I29:L29)</f>
        <v>246.00000000000006</v>
      </c>
    </row>
    <row r="30" spans="1:13" x14ac:dyDescent="0.25">
      <c r="H30" s="1" t="s">
        <v>36</v>
      </c>
      <c r="I30" s="1">
        <f>SUM(I28:I29)</f>
        <v>101.00000000000001</v>
      </c>
      <c r="J30" s="1">
        <f t="shared" ref="J30:M30" si="13">SUM(J28:J29)</f>
        <v>126.50000000000001</v>
      </c>
      <c r="K30" s="1">
        <f t="shared" si="13"/>
        <v>91.300000000000011</v>
      </c>
      <c r="L30" s="1">
        <f t="shared" si="13"/>
        <v>87.2</v>
      </c>
      <c r="M30" s="1">
        <f t="shared" si="13"/>
        <v>406.00000000000006</v>
      </c>
    </row>
    <row r="32" spans="1:13" x14ac:dyDescent="0.25">
      <c r="A32" s="41" t="s">
        <v>164</v>
      </c>
      <c r="B32" s="41"/>
      <c r="C32" s="41"/>
      <c r="D32" s="41"/>
      <c r="E32" s="41"/>
      <c r="F32" s="41"/>
    </row>
    <row r="33" spans="1:6" x14ac:dyDescent="0.25">
      <c r="A33" s="9" t="s">
        <v>165</v>
      </c>
      <c r="B33" s="11" t="s">
        <v>64</v>
      </c>
      <c r="C33" s="11" t="s">
        <v>65</v>
      </c>
      <c r="D33" s="11" t="s">
        <v>66</v>
      </c>
      <c r="E33" s="11" t="s">
        <v>67</v>
      </c>
      <c r="F33" s="27" t="s">
        <v>56</v>
      </c>
    </row>
    <row r="34" spans="1:6" x14ac:dyDescent="0.25">
      <c r="A34" t="s">
        <v>166</v>
      </c>
      <c r="C34">
        <v>1000</v>
      </c>
      <c r="D34">
        <v>2000</v>
      </c>
      <c r="F34">
        <f>SUM(B34:E34)</f>
        <v>3000</v>
      </c>
    </row>
    <row r="35" spans="1:6" x14ac:dyDescent="0.25">
      <c r="A35" t="s">
        <v>49</v>
      </c>
      <c r="C35">
        <v>962</v>
      </c>
      <c r="F35">
        <f t="shared" ref="F35:F38" si="14">SUM(B35:E35)</f>
        <v>962</v>
      </c>
    </row>
    <row r="36" spans="1:6" x14ac:dyDescent="0.25">
      <c r="A36" t="s">
        <v>167</v>
      </c>
      <c r="B36">
        <v>300</v>
      </c>
      <c r="D36">
        <v>300</v>
      </c>
      <c r="F36">
        <f t="shared" si="14"/>
        <v>600</v>
      </c>
    </row>
    <row r="37" spans="1:6" x14ac:dyDescent="0.25">
      <c r="A37" t="s">
        <v>41</v>
      </c>
      <c r="B37">
        <v>200</v>
      </c>
      <c r="F37">
        <f t="shared" si="14"/>
        <v>200</v>
      </c>
    </row>
    <row r="38" spans="1:6" x14ac:dyDescent="0.25">
      <c r="A38" s="11" t="s">
        <v>168</v>
      </c>
      <c r="B38" s="11"/>
      <c r="C38" s="11">
        <v>200</v>
      </c>
      <c r="D38" s="11"/>
      <c r="E38" s="11">
        <v>200</v>
      </c>
      <c r="F38" s="11">
        <f t="shared" si="14"/>
        <v>400</v>
      </c>
    </row>
    <row r="39" spans="1:6" x14ac:dyDescent="0.25">
      <c r="A39" s="1" t="s">
        <v>36</v>
      </c>
      <c r="B39" s="1">
        <f>SUM(B34:B38)</f>
        <v>500</v>
      </c>
      <c r="C39" s="1">
        <f t="shared" ref="C39:F39" si="15">SUM(C34:C38)</f>
        <v>2162</v>
      </c>
      <c r="D39" s="1">
        <f t="shared" si="15"/>
        <v>2300</v>
      </c>
      <c r="E39" s="1">
        <f t="shared" si="15"/>
        <v>200</v>
      </c>
      <c r="F39" s="1">
        <f t="shared" si="15"/>
        <v>5162</v>
      </c>
    </row>
    <row r="41" spans="1:6" x14ac:dyDescent="0.25">
      <c r="A41" s="41" t="s">
        <v>169</v>
      </c>
      <c r="B41" s="41"/>
      <c r="C41" s="41"/>
      <c r="D41" s="41"/>
      <c r="E41" s="41"/>
      <c r="F41" s="41"/>
    </row>
    <row r="42" spans="1:6" x14ac:dyDescent="0.25">
      <c r="B42" s="11" t="s">
        <v>64</v>
      </c>
      <c r="C42" s="11" t="s">
        <v>65</v>
      </c>
      <c r="D42" s="11" t="s">
        <v>66</v>
      </c>
      <c r="E42" s="11" t="s">
        <v>67</v>
      </c>
      <c r="F42" s="27" t="s">
        <v>56</v>
      </c>
    </row>
    <row r="43" spans="1:6" x14ac:dyDescent="0.25">
      <c r="A43" s="1" t="s">
        <v>170</v>
      </c>
      <c r="B43" s="28">
        <v>5000</v>
      </c>
      <c r="C43" s="28">
        <v>2208</v>
      </c>
      <c r="D43" s="28">
        <v>599.5</v>
      </c>
      <c r="E43" s="28">
        <v>2793.1</v>
      </c>
      <c r="F43" s="28">
        <f>B43</f>
        <v>5000</v>
      </c>
    </row>
    <row r="44" spans="1:6" x14ac:dyDescent="0.25">
      <c r="A44" s="1" t="s">
        <v>171</v>
      </c>
      <c r="B44" s="29">
        <f>SUM(B45:B51)</f>
        <v>669.5</v>
      </c>
      <c r="C44" s="29">
        <f t="shared" ref="C44:F44" si="16">SUM(C45:C51)</f>
        <v>4584.5</v>
      </c>
      <c r="D44" s="29">
        <f t="shared" si="16"/>
        <v>7592.5</v>
      </c>
      <c r="E44" s="29">
        <f t="shared" si="16"/>
        <v>6204.5</v>
      </c>
      <c r="F44" s="29">
        <f t="shared" si="16"/>
        <v>19051</v>
      </c>
    </row>
    <row r="45" spans="1:6" x14ac:dyDescent="0.25">
      <c r="A45" t="s">
        <v>148</v>
      </c>
      <c r="B45" s="2">
        <f>H5</f>
        <v>610</v>
      </c>
      <c r="C45" s="2">
        <f t="shared" ref="C45:E49" si="17">I5</f>
        <v>865</v>
      </c>
      <c r="D45" s="2">
        <f t="shared" si="17"/>
        <v>513</v>
      </c>
      <c r="E45" s="2">
        <f t="shared" si="17"/>
        <v>472</v>
      </c>
      <c r="F45" s="2">
        <f>SUM(B45:E45)</f>
        <v>2460</v>
      </c>
    </row>
    <row r="46" spans="1:6" x14ac:dyDescent="0.25">
      <c r="A46" t="s">
        <v>149</v>
      </c>
      <c r="B46" s="2"/>
      <c r="C46" s="2"/>
      <c r="D46" s="2"/>
      <c r="E46" s="2"/>
      <c r="F46" s="2"/>
    </row>
    <row r="47" spans="1:6" x14ac:dyDescent="0.25">
      <c r="A47" t="s">
        <v>150</v>
      </c>
      <c r="B47" s="2">
        <f t="shared" ref="B47:B49" si="18">H7</f>
        <v>0</v>
      </c>
      <c r="C47" s="2">
        <f t="shared" si="17"/>
        <v>3660</v>
      </c>
      <c r="D47" s="2">
        <f t="shared" si="17"/>
        <v>1830</v>
      </c>
      <c r="E47" s="2">
        <f t="shared" si="17"/>
        <v>0</v>
      </c>
      <c r="F47" s="2">
        <f t="shared" ref="F47:F49" si="19">SUM(B47:E47)</f>
        <v>5490</v>
      </c>
    </row>
    <row r="48" spans="1:6" x14ac:dyDescent="0.25">
      <c r="A48" t="s">
        <v>151</v>
      </c>
      <c r="B48" s="2">
        <f t="shared" si="18"/>
        <v>0</v>
      </c>
      <c r="C48" s="2">
        <f t="shared" si="17"/>
        <v>0</v>
      </c>
      <c r="D48" s="2">
        <f t="shared" si="17"/>
        <v>5190</v>
      </c>
      <c r="E48" s="2">
        <f t="shared" si="17"/>
        <v>2595</v>
      </c>
      <c r="F48" s="2">
        <f t="shared" si="19"/>
        <v>7785</v>
      </c>
    </row>
    <row r="49" spans="1:6" x14ac:dyDescent="0.25">
      <c r="A49" t="s">
        <v>152</v>
      </c>
      <c r="B49" s="2">
        <f t="shared" si="18"/>
        <v>0</v>
      </c>
      <c r="C49" s="2">
        <f t="shared" si="17"/>
        <v>0</v>
      </c>
      <c r="D49" s="2">
        <f t="shared" si="17"/>
        <v>0</v>
      </c>
      <c r="E49" s="2">
        <f t="shared" si="17"/>
        <v>3078</v>
      </c>
      <c r="F49" s="2">
        <f t="shared" si="19"/>
        <v>3078</v>
      </c>
    </row>
    <row r="50" spans="1:6" x14ac:dyDescent="0.25">
      <c r="A50" t="s">
        <v>153</v>
      </c>
      <c r="B50" s="2"/>
      <c r="C50" s="2"/>
      <c r="D50" s="2"/>
      <c r="E50" s="2"/>
      <c r="F50" s="2"/>
    </row>
    <row r="51" spans="1:6" x14ac:dyDescent="0.25">
      <c r="A51" t="s">
        <v>172</v>
      </c>
      <c r="B51">
        <f>$F$51/4</f>
        <v>59.5</v>
      </c>
      <c r="C51">
        <f t="shared" ref="C51:E51" si="20">$F$51/4</f>
        <v>59.5</v>
      </c>
      <c r="D51">
        <f t="shared" si="20"/>
        <v>59.5</v>
      </c>
      <c r="E51">
        <f t="shared" si="20"/>
        <v>59.5</v>
      </c>
      <c r="F51">
        <v>238</v>
      </c>
    </row>
    <row r="52" spans="1:6" x14ac:dyDescent="0.25">
      <c r="A52" s="1" t="s">
        <v>173</v>
      </c>
      <c r="B52" s="1">
        <f>-SUM(B53:B67)</f>
        <v>-3461.5</v>
      </c>
      <c r="C52" s="1">
        <f t="shared" ref="C52:E52" si="21">-SUM(C53:C67)</f>
        <v>-6193</v>
      </c>
      <c r="D52" s="1">
        <f t="shared" si="21"/>
        <v>-5398.9</v>
      </c>
      <c r="E52" s="1">
        <f t="shared" si="21"/>
        <v>-3066.6</v>
      </c>
      <c r="F52" s="15">
        <f>SUM(B52:E52)</f>
        <v>-18120</v>
      </c>
    </row>
    <row r="53" spans="1:6" x14ac:dyDescent="0.25">
      <c r="A53" t="s">
        <v>158</v>
      </c>
      <c r="B53">
        <f>H15</f>
        <v>126</v>
      </c>
      <c r="C53">
        <f t="shared" ref="C53:E57" si="22">I15</f>
        <v>177</v>
      </c>
      <c r="D53">
        <f t="shared" si="22"/>
        <v>106.5</v>
      </c>
      <c r="E53">
        <f t="shared" si="22"/>
        <v>100.5</v>
      </c>
      <c r="F53">
        <f>SUM(B53:E53)</f>
        <v>510</v>
      </c>
    </row>
    <row r="54" spans="1:6" x14ac:dyDescent="0.25">
      <c r="A54" t="s">
        <v>159</v>
      </c>
    </row>
    <row r="55" spans="1:6" x14ac:dyDescent="0.25">
      <c r="A55" t="s">
        <v>150</v>
      </c>
      <c r="B55">
        <f t="shared" ref="B55:B57" si="23">H17</f>
        <v>0</v>
      </c>
      <c r="C55">
        <f t="shared" si="22"/>
        <v>252</v>
      </c>
      <c r="D55">
        <f t="shared" si="22"/>
        <v>42</v>
      </c>
      <c r="E55">
        <f t="shared" si="22"/>
        <v>0</v>
      </c>
      <c r="F55">
        <f t="shared" ref="F55:F57" si="24">SUM(B55:E55)</f>
        <v>294</v>
      </c>
    </row>
    <row r="56" spans="1:6" x14ac:dyDescent="0.25">
      <c r="A56" t="s">
        <v>151</v>
      </c>
      <c r="B56">
        <f t="shared" si="23"/>
        <v>0</v>
      </c>
      <c r="C56">
        <f t="shared" si="22"/>
        <v>0</v>
      </c>
      <c r="D56">
        <f t="shared" si="22"/>
        <v>354</v>
      </c>
      <c r="E56">
        <f t="shared" si="22"/>
        <v>59</v>
      </c>
      <c r="F56">
        <f t="shared" si="24"/>
        <v>413</v>
      </c>
    </row>
    <row r="57" spans="1:6" x14ac:dyDescent="0.25">
      <c r="A57" t="s">
        <v>152</v>
      </c>
      <c r="B57">
        <f t="shared" si="23"/>
        <v>0</v>
      </c>
      <c r="C57">
        <f t="shared" si="22"/>
        <v>0</v>
      </c>
      <c r="D57">
        <f t="shared" si="22"/>
        <v>0</v>
      </c>
      <c r="E57">
        <f t="shared" si="22"/>
        <v>213</v>
      </c>
      <c r="F57">
        <f t="shared" si="24"/>
        <v>213</v>
      </c>
    </row>
    <row r="58" spans="1:6" x14ac:dyDescent="0.25">
      <c r="A58" t="s">
        <v>153</v>
      </c>
    </row>
    <row r="59" spans="1:6" x14ac:dyDescent="0.25">
      <c r="A59" t="s">
        <v>101</v>
      </c>
      <c r="B59" s="2">
        <f>B26</f>
        <v>1572.5</v>
      </c>
      <c r="C59" s="2">
        <f t="shared" ref="C59:E59" si="25">C26</f>
        <v>1802.5</v>
      </c>
      <c r="D59" s="2">
        <f t="shared" si="25"/>
        <v>1502.5</v>
      </c>
      <c r="E59" s="2">
        <f t="shared" si="25"/>
        <v>1472.5</v>
      </c>
      <c r="F59" s="2">
        <f>SUM(B59:E59)</f>
        <v>6350</v>
      </c>
    </row>
    <row r="60" spans="1:6" x14ac:dyDescent="0.25">
      <c r="A60" t="s">
        <v>162</v>
      </c>
      <c r="B60" s="2">
        <f>B27</f>
        <v>1020</v>
      </c>
      <c r="C60" s="2">
        <f t="shared" ref="C60:E60" si="26">C27</f>
        <v>1480</v>
      </c>
      <c r="D60" s="2">
        <f t="shared" si="26"/>
        <v>880</v>
      </c>
      <c r="E60" s="2">
        <f t="shared" si="26"/>
        <v>820</v>
      </c>
      <c r="F60" s="2">
        <f>SUM(B60:E60)</f>
        <v>4200</v>
      </c>
    </row>
    <row r="61" spans="1:6" x14ac:dyDescent="0.25">
      <c r="A61" t="s">
        <v>37</v>
      </c>
      <c r="B61">
        <f>I26</f>
        <v>142.00000000000003</v>
      </c>
      <c r="C61">
        <f t="shared" ref="C61:E61" si="27">J26</f>
        <v>193.00000000000003</v>
      </c>
      <c r="D61">
        <f t="shared" si="27"/>
        <v>122.60000000000001</v>
      </c>
      <c r="E61">
        <f t="shared" si="27"/>
        <v>114.4</v>
      </c>
      <c r="F61" s="2">
        <f>SUM(B61:E61)</f>
        <v>572.00000000000011</v>
      </c>
    </row>
    <row r="62" spans="1:6" x14ac:dyDescent="0.25">
      <c r="A62" t="s">
        <v>39</v>
      </c>
      <c r="B62">
        <f>I30</f>
        <v>101.00000000000001</v>
      </c>
      <c r="C62">
        <f t="shared" ref="C62:E62" si="28">J30</f>
        <v>126.50000000000001</v>
      </c>
      <c r="D62">
        <f t="shared" si="28"/>
        <v>91.300000000000011</v>
      </c>
      <c r="E62">
        <f t="shared" si="28"/>
        <v>87.2</v>
      </c>
      <c r="F62" s="2">
        <f>SUM(B62:E62)</f>
        <v>406.00000000000006</v>
      </c>
    </row>
    <row r="63" spans="1:6" x14ac:dyDescent="0.25">
      <c r="A63" t="s">
        <v>166</v>
      </c>
      <c r="B63">
        <f>B34</f>
        <v>0</v>
      </c>
      <c r="C63">
        <f t="shared" ref="C63:E63" si="29">C34</f>
        <v>1000</v>
      </c>
      <c r="D63">
        <f t="shared" si="29"/>
        <v>2000</v>
      </c>
      <c r="E63">
        <f t="shared" si="29"/>
        <v>0</v>
      </c>
      <c r="F63" s="2">
        <f t="shared" ref="F63:F67" si="30">SUM(B63:E63)</f>
        <v>3000</v>
      </c>
    </row>
    <row r="64" spans="1:6" x14ac:dyDescent="0.25">
      <c r="A64" t="s">
        <v>49</v>
      </c>
      <c r="B64">
        <f t="shared" ref="B64:E67" si="31">B35</f>
        <v>0</v>
      </c>
      <c r="C64">
        <f t="shared" si="31"/>
        <v>962</v>
      </c>
      <c r="D64">
        <f t="shared" si="31"/>
        <v>0</v>
      </c>
      <c r="E64">
        <f t="shared" si="31"/>
        <v>0</v>
      </c>
      <c r="F64" s="2">
        <f t="shared" si="30"/>
        <v>962</v>
      </c>
    </row>
    <row r="65" spans="1:6" x14ac:dyDescent="0.25">
      <c r="A65" t="s">
        <v>174</v>
      </c>
      <c r="B65">
        <f t="shared" si="31"/>
        <v>300</v>
      </c>
      <c r="C65">
        <f t="shared" si="31"/>
        <v>0</v>
      </c>
      <c r="D65">
        <f t="shared" si="31"/>
        <v>300</v>
      </c>
      <c r="E65">
        <f t="shared" si="31"/>
        <v>0</v>
      </c>
      <c r="F65" s="2">
        <f t="shared" si="30"/>
        <v>600</v>
      </c>
    </row>
    <row r="66" spans="1:6" x14ac:dyDescent="0.25">
      <c r="A66" t="s">
        <v>41</v>
      </c>
      <c r="B66">
        <f t="shared" si="31"/>
        <v>200</v>
      </c>
      <c r="C66">
        <f t="shared" si="31"/>
        <v>0</v>
      </c>
      <c r="D66">
        <f t="shared" si="31"/>
        <v>0</v>
      </c>
      <c r="E66">
        <f t="shared" si="31"/>
        <v>0</v>
      </c>
      <c r="F66" s="2">
        <f t="shared" si="30"/>
        <v>200</v>
      </c>
    </row>
    <row r="67" spans="1:6" x14ac:dyDescent="0.25">
      <c r="A67" t="s">
        <v>168</v>
      </c>
      <c r="B67">
        <f t="shared" si="31"/>
        <v>0</v>
      </c>
      <c r="C67">
        <f t="shared" si="31"/>
        <v>200</v>
      </c>
      <c r="D67">
        <f t="shared" si="31"/>
        <v>0</v>
      </c>
      <c r="E67">
        <f t="shared" si="31"/>
        <v>200</v>
      </c>
      <c r="F67" s="2">
        <f t="shared" si="30"/>
        <v>400</v>
      </c>
    </row>
    <row r="68" spans="1:6" ht="30" x14ac:dyDescent="0.25">
      <c r="A68" s="30" t="s">
        <v>175</v>
      </c>
      <c r="B68" s="26">
        <f>B43+B44+B52</f>
        <v>2208</v>
      </c>
      <c r="C68" s="26">
        <f t="shared" ref="C68:F68" si="32">C43+C44+C52</f>
        <v>599.5</v>
      </c>
      <c r="D68" s="26">
        <f t="shared" si="32"/>
        <v>2793.1000000000004</v>
      </c>
      <c r="E68" s="26">
        <f t="shared" si="32"/>
        <v>5931</v>
      </c>
      <c r="F68" s="26">
        <f t="shared" si="32"/>
        <v>5931</v>
      </c>
    </row>
    <row r="69" spans="1:6" x14ac:dyDescent="0.25">
      <c r="A69" s="1" t="s">
        <v>176</v>
      </c>
      <c r="B69" s="26">
        <f>B44+B52</f>
        <v>-2792</v>
      </c>
      <c r="C69" s="26">
        <f t="shared" ref="C69:F69" si="33">C44+C52</f>
        <v>-1608.5</v>
      </c>
      <c r="D69" s="26">
        <f t="shared" si="33"/>
        <v>2193.6000000000004</v>
      </c>
      <c r="E69" s="26">
        <f t="shared" si="33"/>
        <v>3137.9</v>
      </c>
      <c r="F69" s="26">
        <f t="shared" si="33"/>
        <v>931</v>
      </c>
    </row>
  </sheetData>
  <mergeCells count="10">
    <mergeCell ref="A22:F22"/>
    <mergeCell ref="H22:M22"/>
    <mergeCell ref="A32:F32"/>
    <mergeCell ref="A41:F41"/>
    <mergeCell ref="A2:F2"/>
    <mergeCell ref="C3:E3"/>
    <mergeCell ref="G2:L2"/>
    <mergeCell ref="A12:F12"/>
    <mergeCell ref="C13:E13"/>
    <mergeCell ref="G12:L1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758AF-0963-45BE-98E3-CC826CE99FFB}">
  <dimension ref="A2:N37"/>
  <sheetViews>
    <sheetView topLeftCell="A22" workbookViewId="0">
      <selection activeCell="H30" sqref="H30"/>
    </sheetView>
  </sheetViews>
  <sheetFormatPr defaultRowHeight="15" x14ac:dyDescent="0.25"/>
  <cols>
    <col min="1" max="1" width="22.42578125" bestFit="1" customWidth="1"/>
    <col min="2" max="2" width="10.140625" bestFit="1" customWidth="1"/>
    <col min="8" max="8" width="16.42578125" bestFit="1" customWidth="1"/>
  </cols>
  <sheetData>
    <row r="2" spans="1:14" x14ac:dyDescent="0.25">
      <c r="A2" s="41" t="s">
        <v>177</v>
      </c>
      <c r="B2" s="41"/>
      <c r="C2" s="41"/>
      <c r="D2" s="41"/>
      <c r="E2" s="41"/>
      <c r="F2" s="41"/>
      <c r="I2" s="41" t="s">
        <v>184</v>
      </c>
      <c r="J2" s="41"/>
      <c r="K2" s="41"/>
      <c r="L2" s="41"/>
      <c r="M2" s="41"/>
      <c r="N2" s="41"/>
    </row>
    <row r="3" spans="1:14" x14ac:dyDescent="0.25">
      <c r="A3" t="s">
        <v>178</v>
      </c>
      <c r="B3" t="s">
        <v>64</v>
      </c>
      <c r="C3" t="s">
        <v>65</v>
      </c>
      <c r="D3" t="s">
        <v>66</v>
      </c>
      <c r="E3" t="s">
        <v>67</v>
      </c>
      <c r="F3" t="s">
        <v>36</v>
      </c>
      <c r="H3" t="s">
        <v>178</v>
      </c>
      <c r="I3" t="s">
        <v>64</v>
      </c>
      <c r="J3" t="s">
        <v>65</v>
      </c>
      <c r="K3" t="s">
        <v>66</v>
      </c>
      <c r="L3" t="s">
        <v>67</v>
      </c>
      <c r="M3" t="s">
        <v>36</v>
      </c>
    </row>
    <row r="4" spans="1:14" x14ac:dyDescent="0.25">
      <c r="A4" t="s">
        <v>179</v>
      </c>
      <c r="H4" t="s">
        <v>182</v>
      </c>
      <c r="I4">
        <v>750</v>
      </c>
    </row>
    <row r="5" spans="1:14" x14ac:dyDescent="0.25">
      <c r="A5" t="s">
        <v>180</v>
      </c>
      <c r="H5" t="s">
        <v>180</v>
      </c>
    </row>
    <row r="6" spans="1:14" x14ac:dyDescent="0.25">
      <c r="A6">
        <v>1</v>
      </c>
      <c r="B6">
        <v>5490</v>
      </c>
      <c r="C6">
        <v>1830</v>
      </c>
      <c r="H6">
        <v>1</v>
      </c>
      <c r="I6">
        <v>294</v>
      </c>
      <c r="J6">
        <v>42</v>
      </c>
    </row>
    <row r="7" spans="1:14" x14ac:dyDescent="0.25">
      <c r="A7">
        <v>2</v>
      </c>
      <c r="C7">
        <v>7785</v>
      </c>
      <c r="D7">
        <v>2595</v>
      </c>
      <c r="H7">
        <v>2</v>
      </c>
      <c r="J7">
        <v>413</v>
      </c>
      <c r="K7">
        <v>59</v>
      </c>
    </row>
    <row r="8" spans="1:14" x14ac:dyDescent="0.25">
      <c r="A8">
        <v>3</v>
      </c>
      <c r="D8">
        <v>4617</v>
      </c>
      <c r="E8">
        <v>1539</v>
      </c>
      <c r="F8">
        <f>E8</f>
        <v>1539</v>
      </c>
      <c r="H8">
        <v>3</v>
      </c>
      <c r="K8">
        <v>248.5</v>
      </c>
      <c r="L8">
        <v>35.5</v>
      </c>
      <c r="M8">
        <f>L8</f>
        <v>35.5</v>
      </c>
    </row>
    <row r="9" spans="1:14" x14ac:dyDescent="0.25">
      <c r="A9">
        <v>4</v>
      </c>
      <c r="E9">
        <v>4248</v>
      </c>
      <c r="F9">
        <f>E9</f>
        <v>4248</v>
      </c>
      <c r="H9">
        <v>4</v>
      </c>
      <c r="L9">
        <v>234.5</v>
      </c>
      <c r="M9">
        <f>L9</f>
        <v>234.5</v>
      </c>
    </row>
    <row r="10" spans="1:14" x14ac:dyDescent="0.25">
      <c r="A10" t="s">
        <v>181</v>
      </c>
      <c r="F10">
        <f>SUM(F8:F9)</f>
        <v>5787</v>
      </c>
      <c r="H10" t="s">
        <v>183</v>
      </c>
      <c r="M10">
        <f>SUM(M8:M9)</f>
        <v>270</v>
      </c>
    </row>
    <row r="12" spans="1:14" x14ac:dyDescent="0.25">
      <c r="A12" s="41" t="s">
        <v>185</v>
      </c>
      <c r="B12" s="41"/>
      <c r="C12" s="41"/>
      <c r="D12" s="41"/>
      <c r="E12" s="41"/>
      <c r="F12" s="41"/>
    </row>
    <row r="13" spans="1:14" x14ac:dyDescent="0.25">
      <c r="B13" s="43" t="s">
        <v>201</v>
      </c>
      <c r="C13" s="43"/>
    </row>
    <row r="14" spans="1:14" x14ac:dyDescent="0.25">
      <c r="A14" s="1" t="s">
        <v>186</v>
      </c>
    </row>
    <row r="15" spans="1:14" x14ac:dyDescent="0.25">
      <c r="A15" t="s">
        <v>187</v>
      </c>
      <c r="B15" s="2"/>
      <c r="C15" s="2">
        <f>'Nakit Bütçesi'!F68</f>
        <v>5931</v>
      </c>
    </row>
    <row r="16" spans="1:14" x14ac:dyDescent="0.25">
      <c r="A16" t="s">
        <v>188</v>
      </c>
      <c r="B16" s="2"/>
      <c r="C16" s="2">
        <f>F10</f>
        <v>5787</v>
      </c>
    </row>
    <row r="17" spans="1:3" x14ac:dyDescent="0.25">
      <c r="A17" t="s">
        <v>189</v>
      </c>
      <c r="B17" s="2"/>
      <c r="C17" s="2">
        <f>'Satılan Malın Maliyeti Bütçesi'!E20</f>
        <v>1600</v>
      </c>
    </row>
    <row r="18" spans="1:3" x14ac:dyDescent="0.25">
      <c r="A18" t="s">
        <v>190</v>
      </c>
      <c r="B18" s="2"/>
      <c r="C18" s="2">
        <f>'Satılan Malın Maliyeti Bütçesi'!E10</f>
        <v>9000</v>
      </c>
    </row>
    <row r="19" spans="1:3" x14ac:dyDescent="0.25">
      <c r="A19" s="11" t="s">
        <v>199</v>
      </c>
      <c r="B19" s="2"/>
      <c r="C19" s="10">
        <f>SUM(C15:C18)</f>
        <v>22318</v>
      </c>
    </row>
    <row r="20" spans="1:3" x14ac:dyDescent="0.25">
      <c r="A20" s="1" t="s">
        <v>192</v>
      </c>
      <c r="B20" s="2"/>
      <c r="C20" s="2"/>
    </row>
    <row r="21" spans="1:3" x14ac:dyDescent="0.25">
      <c r="A21" t="s">
        <v>191</v>
      </c>
      <c r="B21" s="2">
        <v>20000</v>
      </c>
      <c r="C21" s="2"/>
    </row>
    <row r="22" spans="1:3" x14ac:dyDescent="0.25">
      <c r="A22" t="s">
        <v>193</v>
      </c>
      <c r="B22" s="2">
        <v>-9640</v>
      </c>
      <c r="C22" s="2">
        <f>B21+B22</f>
        <v>10360</v>
      </c>
    </row>
    <row r="23" spans="1:3" x14ac:dyDescent="0.25">
      <c r="A23" t="s">
        <v>55</v>
      </c>
      <c r="B23" s="2">
        <v>15000</v>
      </c>
      <c r="C23" s="2"/>
    </row>
    <row r="24" spans="1:3" x14ac:dyDescent="0.25">
      <c r="A24" t="s">
        <v>193</v>
      </c>
      <c r="B24" s="2">
        <v>-6320</v>
      </c>
      <c r="C24" s="2">
        <f>B23+B24</f>
        <v>8680</v>
      </c>
    </row>
    <row r="25" spans="1:3" x14ac:dyDescent="0.25">
      <c r="A25" t="s">
        <v>54</v>
      </c>
      <c r="B25" s="2">
        <v>42000</v>
      </c>
      <c r="C25" s="2"/>
    </row>
    <row r="26" spans="1:3" x14ac:dyDescent="0.25">
      <c r="A26" t="s">
        <v>193</v>
      </c>
      <c r="B26" s="2">
        <v>-14000</v>
      </c>
      <c r="C26" s="2">
        <f>B25+B26</f>
        <v>28000</v>
      </c>
    </row>
    <row r="27" spans="1:3" x14ac:dyDescent="0.25">
      <c r="A27" s="11" t="s">
        <v>200</v>
      </c>
      <c r="B27" s="2"/>
      <c r="C27" s="10">
        <f>C22+C24+C26</f>
        <v>47040</v>
      </c>
    </row>
    <row r="28" spans="1:3" x14ac:dyDescent="0.25">
      <c r="A28" s="1" t="s">
        <v>194</v>
      </c>
      <c r="B28" s="2"/>
      <c r="C28" s="2">
        <f>C19+C27</f>
        <v>69358</v>
      </c>
    </row>
    <row r="29" spans="1:3" x14ac:dyDescent="0.25">
      <c r="A29" t="s">
        <v>58</v>
      </c>
      <c r="B29" s="2"/>
      <c r="C29" s="2">
        <f>'Genel Bilgiler'!B79/1000</f>
        <v>2000</v>
      </c>
    </row>
    <row r="30" spans="1:3" x14ac:dyDescent="0.25">
      <c r="A30" t="s">
        <v>195</v>
      </c>
      <c r="B30" s="2"/>
      <c r="C30" s="2">
        <f>M10</f>
        <v>270</v>
      </c>
    </row>
    <row r="31" spans="1:3" x14ac:dyDescent="0.25">
      <c r="A31" t="s">
        <v>196</v>
      </c>
      <c r="B31" s="2"/>
      <c r="C31" s="2">
        <f>-'Bütçelenmiş Gelir Tablosu'!F17</f>
        <v>800</v>
      </c>
    </row>
    <row r="32" spans="1:3" x14ac:dyDescent="0.25">
      <c r="A32" t="s">
        <v>198</v>
      </c>
      <c r="B32" s="2"/>
      <c r="C32" s="2">
        <f>SUM(C29:C31)</f>
        <v>3070</v>
      </c>
    </row>
    <row r="33" spans="1:3" x14ac:dyDescent="0.25">
      <c r="A33" t="s">
        <v>59</v>
      </c>
      <c r="B33" s="2"/>
      <c r="C33" s="2">
        <f>'Genel Bilgiler'!B80/1000</f>
        <v>55688</v>
      </c>
    </row>
    <row r="34" spans="1:3" x14ac:dyDescent="0.25">
      <c r="A34" t="s">
        <v>60</v>
      </c>
      <c r="B34" s="2"/>
      <c r="C34" s="2">
        <f>'Genel Bilgiler'!B81/1000</f>
        <v>9400</v>
      </c>
    </row>
    <row r="35" spans="1:3" x14ac:dyDescent="0.25">
      <c r="A35" t="s">
        <v>139</v>
      </c>
      <c r="B35" s="2"/>
      <c r="C35" s="2">
        <f>'Bütçelenmiş Gelir Tablosu'!F18</f>
        <v>1200</v>
      </c>
    </row>
    <row r="36" spans="1:3" x14ac:dyDescent="0.25">
      <c r="A36" t="s">
        <v>197</v>
      </c>
      <c r="B36" s="2"/>
      <c r="C36" s="2">
        <f>SUM(C33:C35)</f>
        <v>66288</v>
      </c>
    </row>
    <row r="37" spans="1:3" x14ac:dyDescent="0.25">
      <c r="A37" s="1" t="s">
        <v>202</v>
      </c>
      <c r="C37" s="2">
        <f>SUM(C32+C36)</f>
        <v>69358</v>
      </c>
    </row>
  </sheetData>
  <mergeCells count="4">
    <mergeCell ref="A2:F2"/>
    <mergeCell ref="I2:N2"/>
    <mergeCell ref="A12:F12"/>
    <mergeCell ref="B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12</vt:i4>
      </vt:variant>
    </vt:vector>
  </HeadingPairs>
  <TitlesOfParts>
    <vt:vector size="12" baseType="lpstr">
      <vt:lpstr>Genel Bilgiler</vt:lpstr>
      <vt:lpstr>Satış Bütçesi</vt:lpstr>
      <vt:lpstr>Üretim Bütçesi</vt:lpstr>
      <vt:lpstr>Satılan Malın Maliyeti Bütçesi</vt:lpstr>
      <vt:lpstr>Faaliyet Giderleri Bütçesi</vt:lpstr>
      <vt:lpstr>Bütçelenmiş Gelir Tablosu</vt:lpstr>
      <vt:lpstr>Yatırım Bütçesi</vt:lpstr>
      <vt:lpstr>Nakit Bütçesi</vt:lpstr>
      <vt:lpstr>Bütçelenmiş Bilanço</vt:lpstr>
      <vt:lpstr>Satış Kontrol Raporu</vt:lpstr>
      <vt:lpstr>Maliyet Başarı Değerlemesi</vt:lpstr>
      <vt:lpstr>Kar Başarı Değerlemesi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okand</dc:creator>
  <cp:lastModifiedBy>okand</cp:lastModifiedBy>
  <dcterms:created xsi:type="dcterms:W3CDTF">2015-06-05T18:19:34Z</dcterms:created>
  <dcterms:modified xsi:type="dcterms:W3CDTF">2023-04-26T07:35:14Z</dcterms:modified>
</cp:coreProperties>
</file>