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80" windowWidth="19320" windowHeight="12660"/>
  </bookViews>
  <sheets>
    <sheet name="Лист1" sheetId="13" r:id="rId1"/>
  </sheets>
  <definedNames>
    <definedName name="_xlnm._FilterDatabase" localSheetId="0" hidden="1">Лист1!$A$3:$AD$193</definedName>
    <definedName name="_xlnm.Print_Titles" localSheetId="0">Лист1!$C:$C,Лист1!$1:$2</definedName>
    <definedName name="_xlnm.Print_Area" localSheetId="0">Лист1!$C$1:$AD$193</definedName>
  </definedNames>
  <calcPr calcId="124519"/>
</workbook>
</file>

<file path=xl/calcChain.xml><?xml version="1.0" encoding="utf-8"?>
<calcChain xmlns="http://schemas.openxmlformats.org/spreadsheetml/2006/main">
  <c r="AA132" i="13"/>
  <c r="N40"/>
  <c r="AC184"/>
  <c r="AC136"/>
  <c r="AA136"/>
  <c r="AC132"/>
  <c r="AC172"/>
  <c r="AA172"/>
  <c r="AC122"/>
  <c r="AA122"/>
  <c r="AC130"/>
  <c r="AA130"/>
  <c r="AC34"/>
  <c r="AA34"/>
  <c r="AC162"/>
  <c r="AA162"/>
  <c r="AC32"/>
  <c r="AA32"/>
  <c r="AC30"/>
  <c r="AA30"/>
  <c r="AC92"/>
  <c r="AA92"/>
  <c r="AC28"/>
  <c r="AA28"/>
  <c r="AC128"/>
  <c r="AA128"/>
  <c r="AC178"/>
  <c r="AA178"/>
  <c r="AC120"/>
  <c r="AA120"/>
  <c r="AC118"/>
  <c r="AA118"/>
  <c r="AC26"/>
  <c r="AA26"/>
  <c r="AC76"/>
  <c r="AA76"/>
  <c r="AC146"/>
  <c r="AA146"/>
  <c r="AC104"/>
  <c r="AA104"/>
  <c r="AC144"/>
  <c r="AA144"/>
  <c r="AC102"/>
  <c r="AA102"/>
  <c r="AC88"/>
  <c r="AA88"/>
  <c r="AC166"/>
  <c r="AA166"/>
  <c r="AC100"/>
  <c r="AA100"/>
  <c r="AC98"/>
  <c r="AA98"/>
  <c r="AC186"/>
  <c r="AA186"/>
  <c r="AC44"/>
  <c r="AA44"/>
  <c r="AC42"/>
  <c r="AA42"/>
  <c r="AC68"/>
  <c r="AA68"/>
  <c r="AC82"/>
  <c r="AA82"/>
  <c r="AC80"/>
  <c r="AA80"/>
  <c r="AC142"/>
  <c r="AA142"/>
  <c r="AC96"/>
  <c r="AA96"/>
  <c r="AC140"/>
  <c r="AA140"/>
  <c r="AC66"/>
  <c r="AA66"/>
  <c r="AC60"/>
  <c r="AA60"/>
  <c r="AC170"/>
  <c r="AA170"/>
  <c r="AC108"/>
  <c r="AA108"/>
  <c r="AC116"/>
  <c r="AA116"/>
  <c r="AC24"/>
  <c r="AA24"/>
  <c r="AC114"/>
  <c r="AA114"/>
  <c r="AC160"/>
  <c r="AA160"/>
  <c r="AC158"/>
  <c r="AA158"/>
  <c r="AC58"/>
  <c r="AA58"/>
  <c r="AC112"/>
  <c r="AA112"/>
  <c r="AC48"/>
  <c r="AA48"/>
  <c r="AC56"/>
  <c r="AA56"/>
  <c r="AC22"/>
  <c r="AA22"/>
  <c r="AA176"/>
  <c r="AC20"/>
  <c r="AA20"/>
  <c r="AC54"/>
  <c r="AA54"/>
  <c r="AC18"/>
  <c r="AA18"/>
  <c r="AC126"/>
  <c r="AA126"/>
  <c r="AC152"/>
  <c r="AA152"/>
  <c r="AC70"/>
  <c r="AA70"/>
  <c r="AC16"/>
  <c r="AA16"/>
  <c r="AC110"/>
  <c r="AA110"/>
  <c r="AC156"/>
  <c r="AA156"/>
  <c r="AC86"/>
  <c r="AA86"/>
  <c r="AC168"/>
  <c r="AA168"/>
  <c r="AC14"/>
  <c r="AC40" s="1"/>
  <c r="AA14"/>
  <c r="AC52"/>
  <c r="AA52"/>
  <c r="AA84"/>
  <c r="AC154"/>
  <c r="AA154"/>
  <c r="AC12"/>
  <c r="AA12"/>
  <c r="AC150"/>
  <c r="AA150"/>
  <c r="AC180"/>
  <c r="AA180"/>
  <c r="AC188"/>
  <c r="AA188"/>
  <c r="AC38"/>
  <c r="AA38"/>
  <c r="AC62"/>
  <c r="AA62"/>
  <c r="AC10"/>
  <c r="AA10"/>
  <c r="AC50"/>
  <c r="AA50"/>
  <c r="AC74"/>
  <c r="AA74"/>
  <c r="AC8"/>
  <c r="AA8"/>
  <c r="AC6"/>
  <c r="AA6"/>
  <c r="AC4"/>
  <c r="AA4"/>
  <c r="AC72"/>
  <c r="AA72"/>
  <c r="AC46"/>
  <c r="AA46"/>
  <c r="AC174"/>
  <c r="AA174"/>
  <c r="AC148"/>
  <c r="AA148"/>
  <c r="X148"/>
  <c r="Q148"/>
  <c r="AA40"/>
  <c r="AD188" l="1"/>
  <c r="AC190"/>
  <c r="AA190"/>
  <c r="D190"/>
  <c r="T178"/>
  <c r="AA184"/>
  <c r="V187"/>
  <c r="U186" s="1"/>
  <c r="O190"/>
  <c r="P189"/>
  <c r="O189"/>
  <c r="AD186"/>
  <c r="AB190"/>
  <c r="Z188"/>
  <c r="Z186"/>
  <c r="X190"/>
  <c r="W190"/>
  <c r="V189"/>
  <c r="U188" s="1"/>
  <c r="V190"/>
  <c r="Y191"/>
  <c r="Y190"/>
  <c r="T188"/>
  <c r="T186"/>
  <c r="S190"/>
  <c r="S189"/>
  <c r="S187"/>
  <c r="P187"/>
  <c r="O187"/>
  <c r="R190"/>
  <c r="Q190"/>
  <c r="P190"/>
  <c r="N190"/>
  <c r="M190"/>
  <c r="L190"/>
  <c r="K188"/>
  <c r="H189" s="1"/>
  <c r="J188"/>
  <c r="G189" s="1"/>
  <c r="I188"/>
  <c r="F189" s="1"/>
  <c r="K186"/>
  <c r="J186"/>
  <c r="I186"/>
  <c r="H190"/>
  <c r="G190"/>
  <c r="F190"/>
  <c r="E190"/>
  <c r="H187"/>
  <c r="G187"/>
  <c r="F187"/>
  <c r="AC164"/>
  <c r="AA164"/>
  <c r="V155"/>
  <c r="AC138"/>
  <c r="AA138"/>
  <c r="V137"/>
  <c r="AC124"/>
  <c r="AA124"/>
  <c r="AC94"/>
  <c r="AA94"/>
  <c r="AC78"/>
  <c r="AA78"/>
  <c r="AC64"/>
  <c r="AA64"/>
  <c r="J176"/>
  <c r="I178"/>
  <c r="K182"/>
  <c r="J168"/>
  <c r="K168"/>
  <c r="J170"/>
  <c r="K170"/>
  <c r="J172"/>
  <c r="K172"/>
  <c r="J174"/>
  <c r="K174"/>
  <c r="K176"/>
  <c r="J178"/>
  <c r="K178"/>
  <c r="J180"/>
  <c r="K180"/>
  <c r="J182"/>
  <c r="K166"/>
  <c r="J166"/>
  <c r="J142"/>
  <c r="K142"/>
  <c r="J144"/>
  <c r="K144"/>
  <c r="J146"/>
  <c r="K146"/>
  <c r="J148"/>
  <c r="K148"/>
  <c r="J150"/>
  <c r="K150"/>
  <c r="J152"/>
  <c r="K152"/>
  <c r="J154"/>
  <c r="K154"/>
  <c r="J156"/>
  <c r="K156"/>
  <c r="J158"/>
  <c r="K158"/>
  <c r="J160"/>
  <c r="K160"/>
  <c r="J162"/>
  <c r="K162"/>
  <c r="K140"/>
  <c r="J140"/>
  <c r="J128"/>
  <c r="K128"/>
  <c r="J130"/>
  <c r="K130"/>
  <c r="J132"/>
  <c r="K132"/>
  <c r="J134"/>
  <c r="K134"/>
  <c r="J136"/>
  <c r="K136"/>
  <c r="K126"/>
  <c r="J126"/>
  <c r="J98"/>
  <c r="K98"/>
  <c r="J100"/>
  <c r="K100"/>
  <c r="J102"/>
  <c r="K102"/>
  <c r="J104"/>
  <c r="K104"/>
  <c r="J106"/>
  <c r="K106"/>
  <c r="J108"/>
  <c r="K108"/>
  <c r="J110"/>
  <c r="K110"/>
  <c r="J112"/>
  <c r="K112"/>
  <c r="J114"/>
  <c r="K114"/>
  <c r="J116"/>
  <c r="K116"/>
  <c r="J118"/>
  <c r="K118"/>
  <c r="J120"/>
  <c r="K120"/>
  <c r="J122"/>
  <c r="K122"/>
  <c r="K96"/>
  <c r="J96"/>
  <c r="J82"/>
  <c r="K82"/>
  <c r="J84"/>
  <c r="K84"/>
  <c r="J86"/>
  <c r="K86"/>
  <c r="J88"/>
  <c r="K88"/>
  <c r="J90"/>
  <c r="K90"/>
  <c r="J92"/>
  <c r="K92"/>
  <c r="K80"/>
  <c r="J80"/>
  <c r="J68"/>
  <c r="K68"/>
  <c r="J70"/>
  <c r="K70"/>
  <c r="J72"/>
  <c r="K72"/>
  <c r="J74"/>
  <c r="K74"/>
  <c r="J76"/>
  <c r="K76"/>
  <c r="K66"/>
  <c r="J66"/>
  <c r="J62"/>
  <c r="J44"/>
  <c r="K44"/>
  <c r="J46"/>
  <c r="K46"/>
  <c r="J48"/>
  <c r="K48"/>
  <c r="J50"/>
  <c r="K50"/>
  <c r="J52"/>
  <c r="K52"/>
  <c r="J54"/>
  <c r="K54"/>
  <c r="J56"/>
  <c r="K56"/>
  <c r="J58"/>
  <c r="K58"/>
  <c r="J60"/>
  <c r="K60"/>
  <c r="K62"/>
  <c r="K42"/>
  <c r="J42"/>
  <c r="J6"/>
  <c r="K6"/>
  <c r="J8"/>
  <c r="K8"/>
  <c r="J10"/>
  <c r="K10"/>
  <c r="J12"/>
  <c r="K12"/>
  <c r="J14"/>
  <c r="K14"/>
  <c r="J16"/>
  <c r="K16"/>
  <c r="J18"/>
  <c r="K18"/>
  <c r="J20"/>
  <c r="K20"/>
  <c r="J22"/>
  <c r="K22"/>
  <c r="J24"/>
  <c r="K24"/>
  <c r="J26"/>
  <c r="K26"/>
  <c r="J28"/>
  <c r="K28"/>
  <c r="J30"/>
  <c r="K30"/>
  <c r="J32"/>
  <c r="K32"/>
  <c r="J34"/>
  <c r="K34"/>
  <c r="J36"/>
  <c r="K36"/>
  <c r="J38"/>
  <c r="K38"/>
  <c r="K4"/>
  <c r="J4"/>
  <c r="I168"/>
  <c r="I170"/>
  <c r="I172"/>
  <c r="I174"/>
  <c r="I176"/>
  <c r="I180"/>
  <c r="I182"/>
  <c r="I166"/>
  <c r="I142"/>
  <c r="I144"/>
  <c r="I146"/>
  <c r="I148"/>
  <c r="I150"/>
  <c r="I152"/>
  <c r="I154"/>
  <c r="I156"/>
  <c r="I158"/>
  <c r="I160"/>
  <c r="I162"/>
  <c r="I140"/>
  <c r="I128"/>
  <c r="I130"/>
  <c r="I132"/>
  <c r="I134"/>
  <c r="I136"/>
  <c r="I126"/>
  <c r="I98"/>
  <c r="I100"/>
  <c r="I102"/>
  <c r="I104"/>
  <c r="I106"/>
  <c r="I108"/>
  <c r="I110"/>
  <c r="I112"/>
  <c r="I114"/>
  <c r="I116"/>
  <c r="I118"/>
  <c r="I120"/>
  <c r="I122"/>
  <c r="I96"/>
  <c r="I82"/>
  <c r="I84"/>
  <c r="I86"/>
  <c r="I88"/>
  <c r="I90"/>
  <c r="I92"/>
  <c r="I80"/>
  <c r="I68"/>
  <c r="I70"/>
  <c r="I72"/>
  <c r="I74"/>
  <c r="I76"/>
  <c r="I66"/>
  <c r="I62"/>
  <c r="I44"/>
  <c r="I46"/>
  <c r="I48"/>
  <c r="I50"/>
  <c r="I52"/>
  <c r="I54"/>
  <c r="I56"/>
  <c r="I58"/>
  <c r="I60"/>
  <c r="I42"/>
  <c r="I6"/>
  <c r="I8"/>
  <c r="I10"/>
  <c r="I12"/>
  <c r="I14"/>
  <c r="I16"/>
  <c r="I18"/>
  <c r="I20"/>
  <c r="I22"/>
  <c r="I24"/>
  <c r="I26"/>
  <c r="I28"/>
  <c r="I30"/>
  <c r="I32"/>
  <c r="I34"/>
  <c r="I36"/>
  <c r="I38"/>
  <c r="I4"/>
  <c r="AA192" l="1"/>
  <c r="Z190"/>
  <c r="T190"/>
  <c r="K190"/>
  <c r="J190"/>
  <c r="I190"/>
  <c r="S191"/>
  <c r="H191"/>
  <c r="P191"/>
  <c r="V191"/>
  <c r="U190" s="1"/>
  <c r="G191"/>
  <c r="AD190"/>
  <c r="O191"/>
  <c r="F191"/>
  <c r="AB184"/>
  <c r="Z184"/>
  <c r="Y185"/>
  <c r="Y184"/>
  <c r="X184"/>
  <c r="W184"/>
  <c r="V184"/>
  <c r="S184"/>
  <c r="R184"/>
  <c r="Q184"/>
  <c r="P184"/>
  <c r="O184"/>
  <c r="N184"/>
  <c r="M184"/>
  <c r="L184"/>
  <c r="K184"/>
  <c r="J184"/>
  <c r="I184"/>
  <c r="H184"/>
  <c r="G184"/>
  <c r="F184"/>
  <c r="E184"/>
  <c r="D184"/>
  <c r="AB164"/>
  <c r="Z164"/>
  <c r="Y165"/>
  <c r="Y164"/>
  <c r="X164"/>
  <c r="W164"/>
  <c r="V164"/>
  <c r="S164"/>
  <c r="R164"/>
  <c r="Q164"/>
  <c r="P164"/>
  <c r="O164"/>
  <c r="N164"/>
  <c r="M164"/>
  <c r="L164"/>
  <c r="K164"/>
  <c r="J164"/>
  <c r="G165" s="1"/>
  <c r="I164"/>
  <c r="H164"/>
  <c r="G164"/>
  <c r="F164"/>
  <c r="E164"/>
  <c r="D164"/>
  <c r="AB138"/>
  <c r="Z138"/>
  <c r="Y139"/>
  <c r="Y138"/>
  <c r="X138"/>
  <c r="W138"/>
  <c r="V138"/>
  <c r="S138"/>
  <c r="R138"/>
  <c r="Q138"/>
  <c r="P138"/>
  <c r="O138"/>
  <c r="N138"/>
  <c r="M138"/>
  <c r="L138"/>
  <c r="K138"/>
  <c r="J138"/>
  <c r="I138"/>
  <c r="H138"/>
  <c r="G138"/>
  <c r="F138"/>
  <c r="E138"/>
  <c r="D138"/>
  <c r="AB124"/>
  <c r="Y125"/>
  <c r="Y124"/>
  <c r="X124"/>
  <c r="W124"/>
  <c r="V124"/>
  <c r="S124"/>
  <c r="R124"/>
  <c r="Q124"/>
  <c r="P124"/>
  <c r="O124"/>
  <c r="N124"/>
  <c r="M124"/>
  <c r="L124"/>
  <c r="K124"/>
  <c r="J124"/>
  <c r="G125" s="1"/>
  <c r="I124"/>
  <c r="H124"/>
  <c r="G124"/>
  <c r="F124"/>
  <c r="E124"/>
  <c r="D124"/>
  <c r="AB94"/>
  <c r="Z94"/>
  <c r="Y95"/>
  <c r="Y94"/>
  <c r="X94"/>
  <c r="W94"/>
  <c r="V94"/>
  <c r="S94"/>
  <c r="R94"/>
  <c r="Q94"/>
  <c r="P94"/>
  <c r="O94"/>
  <c r="N94"/>
  <c r="M94"/>
  <c r="L94"/>
  <c r="K94"/>
  <c r="J94"/>
  <c r="G95" s="1"/>
  <c r="I94"/>
  <c r="H94"/>
  <c r="G94"/>
  <c r="F94"/>
  <c r="E94"/>
  <c r="D94"/>
  <c r="AB78"/>
  <c r="Y79"/>
  <c r="Y78"/>
  <c r="X78"/>
  <c r="W78"/>
  <c r="V78"/>
  <c r="S78"/>
  <c r="R78"/>
  <c r="Q78"/>
  <c r="P78"/>
  <c r="O78"/>
  <c r="N78"/>
  <c r="M78"/>
  <c r="L78"/>
  <c r="K78"/>
  <c r="J78"/>
  <c r="G79" s="1"/>
  <c r="I78"/>
  <c r="H78"/>
  <c r="G78"/>
  <c r="F78"/>
  <c r="E78"/>
  <c r="D78"/>
  <c r="AB64"/>
  <c r="Z64"/>
  <c r="Y65"/>
  <c r="Y64"/>
  <c r="X64"/>
  <c r="W64"/>
  <c r="V64"/>
  <c r="S64"/>
  <c r="R64"/>
  <c r="Q64"/>
  <c r="P64"/>
  <c r="O64"/>
  <c r="N64"/>
  <c r="M64"/>
  <c r="L64"/>
  <c r="K64"/>
  <c r="J64"/>
  <c r="G65" s="1"/>
  <c r="I64"/>
  <c r="H64"/>
  <c r="G64"/>
  <c r="F64"/>
  <c r="E64"/>
  <c r="D64"/>
  <c r="AB40"/>
  <c r="Z40"/>
  <c r="Y41"/>
  <c r="Y40"/>
  <c r="X40"/>
  <c r="W40"/>
  <c r="V40"/>
  <c r="S40"/>
  <c r="R40"/>
  <c r="Q40"/>
  <c r="P40"/>
  <c r="O40"/>
  <c r="M40"/>
  <c r="L40"/>
  <c r="K40"/>
  <c r="J40"/>
  <c r="G41" s="1"/>
  <c r="I40"/>
  <c r="H40"/>
  <c r="G40"/>
  <c r="F40"/>
  <c r="E40"/>
  <c r="D40"/>
  <c r="D192" s="1"/>
  <c r="S183"/>
  <c r="P183"/>
  <c r="O183"/>
  <c r="S181"/>
  <c r="P181"/>
  <c r="O181"/>
  <c r="S179"/>
  <c r="P179"/>
  <c r="O179"/>
  <c r="S177"/>
  <c r="P177"/>
  <c r="O177"/>
  <c r="S175"/>
  <c r="P175"/>
  <c r="O175"/>
  <c r="S173"/>
  <c r="P173"/>
  <c r="O173"/>
  <c r="S171"/>
  <c r="P171"/>
  <c r="O171"/>
  <c r="S169"/>
  <c r="P169"/>
  <c r="O169"/>
  <c r="S167"/>
  <c r="P167"/>
  <c r="O167"/>
  <c r="S163"/>
  <c r="P163"/>
  <c r="O163"/>
  <c r="S161"/>
  <c r="P161"/>
  <c r="O161"/>
  <c r="S159"/>
  <c r="P159"/>
  <c r="O159"/>
  <c r="S157"/>
  <c r="P157"/>
  <c r="O157"/>
  <c r="S155"/>
  <c r="P155"/>
  <c r="O155"/>
  <c r="S153"/>
  <c r="P153"/>
  <c r="O153"/>
  <c r="S151"/>
  <c r="P151"/>
  <c r="O151"/>
  <c r="S149"/>
  <c r="P149"/>
  <c r="O149"/>
  <c r="S147"/>
  <c r="P147"/>
  <c r="O147"/>
  <c r="S145"/>
  <c r="P145"/>
  <c r="O145"/>
  <c r="S143"/>
  <c r="P143"/>
  <c r="O143"/>
  <c r="S141"/>
  <c r="P141"/>
  <c r="O141"/>
  <c r="S137"/>
  <c r="P137"/>
  <c r="O137"/>
  <c r="S135"/>
  <c r="P135"/>
  <c r="O135"/>
  <c r="S133"/>
  <c r="P133"/>
  <c r="O133"/>
  <c r="S131"/>
  <c r="P131"/>
  <c r="O131"/>
  <c r="S129"/>
  <c r="P129"/>
  <c r="O129"/>
  <c r="S127"/>
  <c r="P127"/>
  <c r="O127"/>
  <c r="S123"/>
  <c r="P123"/>
  <c r="O123"/>
  <c r="S121"/>
  <c r="P121"/>
  <c r="O121"/>
  <c r="S119"/>
  <c r="P119"/>
  <c r="O119"/>
  <c r="S117"/>
  <c r="P117"/>
  <c r="O117"/>
  <c r="S115"/>
  <c r="P115"/>
  <c r="O115"/>
  <c r="S113"/>
  <c r="P113"/>
  <c r="O113"/>
  <c r="S111"/>
  <c r="P111"/>
  <c r="O111"/>
  <c r="S109"/>
  <c r="P109"/>
  <c r="O109"/>
  <c r="S107"/>
  <c r="P107"/>
  <c r="O107"/>
  <c r="S105"/>
  <c r="P105"/>
  <c r="O105"/>
  <c r="S103"/>
  <c r="P103"/>
  <c r="O103"/>
  <c r="S101"/>
  <c r="P101"/>
  <c r="O101"/>
  <c r="S99"/>
  <c r="P99"/>
  <c r="O99"/>
  <c r="S97"/>
  <c r="P97"/>
  <c r="O97"/>
  <c r="S93"/>
  <c r="P93"/>
  <c r="O93"/>
  <c r="S91"/>
  <c r="P91"/>
  <c r="O91"/>
  <c r="S89"/>
  <c r="P89"/>
  <c r="O89"/>
  <c r="S87"/>
  <c r="P87"/>
  <c r="O87"/>
  <c r="S85"/>
  <c r="P85"/>
  <c r="O85"/>
  <c r="S83"/>
  <c r="P83"/>
  <c r="O83"/>
  <c r="S81"/>
  <c r="P81"/>
  <c r="O81"/>
  <c r="S77"/>
  <c r="P77"/>
  <c r="O77"/>
  <c r="S75"/>
  <c r="P75"/>
  <c r="O75"/>
  <c r="S73"/>
  <c r="P73"/>
  <c r="O73"/>
  <c r="S71"/>
  <c r="P71"/>
  <c r="O71"/>
  <c r="S69"/>
  <c r="P69"/>
  <c r="O69"/>
  <c r="S67"/>
  <c r="P67"/>
  <c r="O67"/>
  <c r="S63"/>
  <c r="P63"/>
  <c r="O63"/>
  <c r="S61"/>
  <c r="P61"/>
  <c r="O61"/>
  <c r="S59"/>
  <c r="P59"/>
  <c r="O59"/>
  <c r="S57"/>
  <c r="P57"/>
  <c r="O57"/>
  <c r="S55"/>
  <c r="P55"/>
  <c r="O55"/>
  <c r="S53"/>
  <c r="P53"/>
  <c r="O53"/>
  <c r="S51"/>
  <c r="P51"/>
  <c r="O51"/>
  <c r="S49"/>
  <c r="P49"/>
  <c r="O49"/>
  <c r="S47"/>
  <c r="P47"/>
  <c r="O47"/>
  <c r="S45"/>
  <c r="P45"/>
  <c r="O45"/>
  <c r="S43"/>
  <c r="P43"/>
  <c r="O43"/>
  <c r="S39"/>
  <c r="P39"/>
  <c r="O39"/>
  <c r="S37"/>
  <c r="P37"/>
  <c r="O37"/>
  <c r="S35"/>
  <c r="P35"/>
  <c r="O35"/>
  <c r="S33"/>
  <c r="P33"/>
  <c r="O33"/>
  <c r="S31"/>
  <c r="P31"/>
  <c r="O31"/>
  <c r="S29"/>
  <c r="P29"/>
  <c r="O29"/>
  <c r="S27"/>
  <c r="P27"/>
  <c r="O27"/>
  <c r="S25"/>
  <c r="P25"/>
  <c r="O25"/>
  <c r="S23"/>
  <c r="P23"/>
  <c r="O23"/>
  <c r="S21"/>
  <c r="P21"/>
  <c r="O21"/>
  <c r="S19"/>
  <c r="P19"/>
  <c r="O19"/>
  <c r="S17"/>
  <c r="P17"/>
  <c r="O17"/>
  <c r="S15"/>
  <c r="P15"/>
  <c r="O15"/>
  <c r="S13"/>
  <c r="P13"/>
  <c r="O13"/>
  <c r="S11"/>
  <c r="P11"/>
  <c r="O11"/>
  <c r="S9"/>
  <c r="P9"/>
  <c r="O9"/>
  <c r="S7"/>
  <c r="P7"/>
  <c r="O7"/>
  <c r="H183"/>
  <c r="G183"/>
  <c r="F183"/>
  <c r="H181"/>
  <c r="G181"/>
  <c r="F181"/>
  <c r="H179"/>
  <c r="G179"/>
  <c r="F179"/>
  <c r="H177"/>
  <c r="G177"/>
  <c r="F177"/>
  <c r="H175"/>
  <c r="G175"/>
  <c r="F175"/>
  <c r="H173"/>
  <c r="G173"/>
  <c r="F173"/>
  <c r="H171"/>
  <c r="G171"/>
  <c r="F171"/>
  <c r="H169"/>
  <c r="G169"/>
  <c r="F169"/>
  <c r="H167"/>
  <c r="G167"/>
  <c r="F167"/>
  <c r="H163"/>
  <c r="G163"/>
  <c r="F163"/>
  <c r="H161"/>
  <c r="G161"/>
  <c r="F161"/>
  <c r="H159"/>
  <c r="G159"/>
  <c r="F159"/>
  <c r="H157"/>
  <c r="G157"/>
  <c r="F157"/>
  <c r="H155"/>
  <c r="G155"/>
  <c r="F155"/>
  <c r="H153"/>
  <c r="G153"/>
  <c r="F153"/>
  <c r="H151"/>
  <c r="G151"/>
  <c r="F151"/>
  <c r="H149"/>
  <c r="G149"/>
  <c r="F149"/>
  <c r="H147"/>
  <c r="G147"/>
  <c r="F147"/>
  <c r="H145"/>
  <c r="G145"/>
  <c r="F145"/>
  <c r="H143"/>
  <c r="G143"/>
  <c r="F143"/>
  <c r="H141"/>
  <c r="G141"/>
  <c r="F141"/>
  <c r="H137"/>
  <c r="G137"/>
  <c r="F137"/>
  <c r="H135"/>
  <c r="G135"/>
  <c r="F135"/>
  <c r="H133"/>
  <c r="G133"/>
  <c r="F133"/>
  <c r="H131"/>
  <c r="G131"/>
  <c r="F131"/>
  <c r="H129"/>
  <c r="G129"/>
  <c r="F129"/>
  <c r="H127"/>
  <c r="G127"/>
  <c r="F127"/>
  <c r="H123"/>
  <c r="G123"/>
  <c r="F123"/>
  <c r="H121"/>
  <c r="G121"/>
  <c r="F121"/>
  <c r="H119"/>
  <c r="G119"/>
  <c r="F119"/>
  <c r="H117"/>
  <c r="G117"/>
  <c r="F117"/>
  <c r="H115"/>
  <c r="G115"/>
  <c r="F115"/>
  <c r="H113"/>
  <c r="G113"/>
  <c r="F113"/>
  <c r="H111"/>
  <c r="G111"/>
  <c r="F111"/>
  <c r="H109"/>
  <c r="G109"/>
  <c r="F109"/>
  <c r="H107"/>
  <c r="G107"/>
  <c r="F107"/>
  <c r="H105"/>
  <c r="G105"/>
  <c r="F105"/>
  <c r="H103"/>
  <c r="G103"/>
  <c r="F103"/>
  <c r="H101"/>
  <c r="G101"/>
  <c r="F101"/>
  <c r="H99"/>
  <c r="G99"/>
  <c r="F99"/>
  <c r="H97"/>
  <c r="G97"/>
  <c r="F97"/>
  <c r="H93"/>
  <c r="G93"/>
  <c r="F93"/>
  <c r="H91"/>
  <c r="G91"/>
  <c r="F91"/>
  <c r="H89"/>
  <c r="G89"/>
  <c r="F89"/>
  <c r="H87"/>
  <c r="G87"/>
  <c r="F87"/>
  <c r="H85"/>
  <c r="G85"/>
  <c r="F85"/>
  <c r="H83"/>
  <c r="G83"/>
  <c r="F83"/>
  <c r="H81"/>
  <c r="G81"/>
  <c r="F81"/>
  <c r="H77"/>
  <c r="G77"/>
  <c r="F77"/>
  <c r="H75"/>
  <c r="G75"/>
  <c r="F75"/>
  <c r="H73"/>
  <c r="G73"/>
  <c r="F73"/>
  <c r="H71"/>
  <c r="G71"/>
  <c r="F71"/>
  <c r="H69"/>
  <c r="G69"/>
  <c r="F69"/>
  <c r="H67"/>
  <c r="G67"/>
  <c r="F67"/>
  <c r="H63"/>
  <c r="G63"/>
  <c r="F63"/>
  <c r="H61"/>
  <c r="G61"/>
  <c r="F61"/>
  <c r="H59"/>
  <c r="G59"/>
  <c r="F59"/>
  <c r="H57"/>
  <c r="G57"/>
  <c r="F57"/>
  <c r="H55"/>
  <c r="G55"/>
  <c r="F55"/>
  <c r="H53"/>
  <c r="G53"/>
  <c r="F53"/>
  <c r="H51"/>
  <c r="G51"/>
  <c r="F51"/>
  <c r="H49"/>
  <c r="G49"/>
  <c r="F49"/>
  <c r="H47"/>
  <c r="G47"/>
  <c r="F47"/>
  <c r="H45"/>
  <c r="G45"/>
  <c r="F45"/>
  <c r="H43"/>
  <c r="G43"/>
  <c r="F43"/>
  <c r="H39"/>
  <c r="G39"/>
  <c r="F39"/>
  <c r="H37"/>
  <c r="G37"/>
  <c r="F37"/>
  <c r="H35"/>
  <c r="G35"/>
  <c r="F35"/>
  <c r="H33"/>
  <c r="G33"/>
  <c r="F33"/>
  <c r="H31"/>
  <c r="G31"/>
  <c r="F31"/>
  <c r="H29"/>
  <c r="G29"/>
  <c r="F29"/>
  <c r="H27"/>
  <c r="G27"/>
  <c r="F27"/>
  <c r="H25"/>
  <c r="G25"/>
  <c r="F25"/>
  <c r="H23"/>
  <c r="G23"/>
  <c r="F23"/>
  <c r="H21"/>
  <c r="G21"/>
  <c r="F21"/>
  <c r="H19"/>
  <c r="G19"/>
  <c r="F19"/>
  <c r="H17"/>
  <c r="G17"/>
  <c r="F17"/>
  <c r="H15"/>
  <c r="G15"/>
  <c r="F15"/>
  <c r="H13"/>
  <c r="G13"/>
  <c r="F13"/>
  <c r="H11"/>
  <c r="G11"/>
  <c r="F11"/>
  <c r="H9"/>
  <c r="G9"/>
  <c r="F9"/>
  <c r="F7"/>
  <c r="H7"/>
  <c r="G7"/>
  <c r="V183"/>
  <c r="U182" s="1"/>
  <c r="V181"/>
  <c r="U180" s="1"/>
  <c r="V179"/>
  <c r="U178" s="1"/>
  <c r="V177"/>
  <c r="U176" s="1"/>
  <c r="V175"/>
  <c r="U174" s="1"/>
  <c r="V173"/>
  <c r="U172" s="1"/>
  <c r="V171"/>
  <c r="U170" s="1"/>
  <c r="V169"/>
  <c r="U168" s="1"/>
  <c r="V167"/>
  <c r="U166" s="1"/>
  <c r="V163"/>
  <c r="U162" s="1"/>
  <c r="V161"/>
  <c r="U160" s="1"/>
  <c r="V159"/>
  <c r="U158" s="1"/>
  <c r="V157"/>
  <c r="U156" s="1"/>
  <c r="U154"/>
  <c r="V153"/>
  <c r="U152" s="1"/>
  <c r="V151"/>
  <c r="U150" s="1"/>
  <c r="V149"/>
  <c r="U148" s="1"/>
  <c r="V147"/>
  <c r="U146" s="1"/>
  <c r="V145"/>
  <c r="U144" s="1"/>
  <c r="V143"/>
  <c r="U142" s="1"/>
  <c r="V141"/>
  <c r="U140" s="1"/>
  <c r="U136"/>
  <c r="V135"/>
  <c r="U134" s="1"/>
  <c r="V133"/>
  <c r="U132" s="1"/>
  <c r="V131"/>
  <c r="U130" s="1"/>
  <c r="V129"/>
  <c r="U128" s="1"/>
  <c r="V127"/>
  <c r="U126" s="1"/>
  <c r="V123"/>
  <c r="U122" s="1"/>
  <c r="V121"/>
  <c r="U120" s="1"/>
  <c r="V119"/>
  <c r="U118" s="1"/>
  <c r="V117"/>
  <c r="U116" s="1"/>
  <c r="V115"/>
  <c r="U114" s="1"/>
  <c r="V113"/>
  <c r="U112" s="1"/>
  <c r="V111"/>
  <c r="U110" s="1"/>
  <c r="V109"/>
  <c r="U108" s="1"/>
  <c r="V107"/>
  <c r="U106" s="1"/>
  <c r="V105"/>
  <c r="U104" s="1"/>
  <c r="V103"/>
  <c r="U102" s="1"/>
  <c r="V101"/>
  <c r="U100" s="1"/>
  <c r="V99"/>
  <c r="U98" s="1"/>
  <c r="V97"/>
  <c r="U96" s="1"/>
  <c r="V93"/>
  <c r="U92" s="1"/>
  <c r="V91"/>
  <c r="U90" s="1"/>
  <c r="V89"/>
  <c r="U88" s="1"/>
  <c r="V87"/>
  <c r="U86" s="1"/>
  <c r="V85"/>
  <c r="U84" s="1"/>
  <c r="V83"/>
  <c r="U82" s="1"/>
  <c r="V81"/>
  <c r="U80" s="1"/>
  <c r="V77"/>
  <c r="U76" s="1"/>
  <c r="V75"/>
  <c r="U74" s="1"/>
  <c r="V73"/>
  <c r="U72" s="1"/>
  <c r="V71"/>
  <c r="U70" s="1"/>
  <c r="V69"/>
  <c r="U68" s="1"/>
  <c r="V67"/>
  <c r="U66" s="1"/>
  <c r="V63"/>
  <c r="U62" s="1"/>
  <c r="V61"/>
  <c r="U60" s="1"/>
  <c r="V59"/>
  <c r="U58" s="1"/>
  <c r="V57"/>
  <c r="U56" s="1"/>
  <c r="V55"/>
  <c r="U54" s="1"/>
  <c r="V53"/>
  <c r="U52" s="1"/>
  <c r="V51"/>
  <c r="U50" s="1"/>
  <c r="V49"/>
  <c r="U48" s="1"/>
  <c r="V47"/>
  <c r="U46" s="1"/>
  <c r="V45"/>
  <c r="U44" s="1"/>
  <c r="V43"/>
  <c r="U42" s="1"/>
  <c r="V39"/>
  <c r="U38" s="1"/>
  <c r="V37"/>
  <c r="U36" s="1"/>
  <c r="V35"/>
  <c r="U34" s="1"/>
  <c r="V33"/>
  <c r="U32" s="1"/>
  <c r="V31"/>
  <c r="U30" s="1"/>
  <c r="V29"/>
  <c r="U28" s="1"/>
  <c r="V27"/>
  <c r="U26" s="1"/>
  <c r="V25"/>
  <c r="U24" s="1"/>
  <c r="V23"/>
  <c r="U22" s="1"/>
  <c r="V21"/>
  <c r="U20" s="1"/>
  <c r="V19"/>
  <c r="U18" s="1"/>
  <c r="V17"/>
  <c r="U16" s="1"/>
  <c r="V15"/>
  <c r="U14" s="1"/>
  <c r="V13"/>
  <c r="U12" s="1"/>
  <c r="V11"/>
  <c r="U10" s="1"/>
  <c r="V9"/>
  <c r="U8" s="1"/>
  <c r="V7"/>
  <c r="U6" s="1"/>
  <c r="V5"/>
  <c r="U4" s="1"/>
  <c r="T46"/>
  <c r="T48"/>
  <c r="T50"/>
  <c r="T52"/>
  <c r="T54"/>
  <c r="T56"/>
  <c r="T58"/>
  <c r="T60"/>
  <c r="T62"/>
  <c r="T66"/>
  <c r="T68"/>
  <c r="T70"/>
  <c r="T72"/>
  <c r="T74"/>
  <c r="T76"/>
  <c r="T80"/>
  <c r="T82"/>
  <c r="T84"/>
  <c r="T86"/>
  <c r="T88"/>
  <c r="T90"/>
  <c r="T92"/>
  <c r="T96"/>
  <c r="T98"/>
  <c r="T100"/>
  <c r="T102"/>
  <c r="T104"/>
  <c r="T106"/>
  <c r="T108"/>
  <c r="T110"/>
  <c r="T112"/>
  <c r="T114"/>
  <c r="T116"/>
  <c r="T118"/>
  <c r="T120"/>
  <c r="T122"/>
  <c r="T126"/>
  <c r="T128"/>
  <c r="T130"/>
  <c r="T132"/>
  <c r="T134"/>
  <c r="T136"/>
  <c r="T140"/>
  <c r="T142"/>
  <c r="T144"/>
  <c r="T146"/>
  <c r="T148"/>
  <c r="T150"/>
  <c r="T152"/>
  <c r="T154"/>
  <c r="T156"/>
  <c r="T158"/>
  <c r="T160"/>
  <c r="T162"/>
  <c r="T166"/>
  <c r="T168"/>
  <c r="T170"/>
  <c r="T172"/>
  <c r="T174"/>
  <c r="T176"/>
  <c r="T180"/>
  <c r="T182"/>
  <c r="T6"/>
  <c r="T8"/>
  <c r="T10"/>
  <c r="T12"/>
  <c r="T14"/>
  <c r="T16"/>
  <c r="T18"/>
  <c r="T20"/>
  <c r="T22"/>
  <c r="T24"/>
  <c r="T26"/>
  <c r="T28"/>
  <c r="T30"/>
  <c r="T32"/>
  <c r="T34"/>
  <c r="T36"/>
  <c r="T38"/>
  <c r="T42"/>
  <c r="T44"/>
  <c r="T4"/>
  <c r="S5"/>
  <c r="P5"/>
  <c r="O5"/>
  <c r="H5"/>
  <c r="G5"/>
  <c r="F5"/>
  <c r="L192" l="1"/>
  <c r="M192"/>
  <c r="H192"/>
  <c r="F192"/>
  <c r="O192"/>
  <c r="AB192"/>
  <c r="Y193"/>
  <c r="Y192"/>
  <c r="X192"/>
  <c r="W192"/>
  <c r="V192"/>
  <c r="S41"/>
  <c r="S192"/>
  <c r="R192"/>
  <c r="Q192"/>
  <c r="P192"/>
  <c r="N192"/>
  <c r="E192"/>
  <c r="G192"/>
  <c r="I192"/>
  <c r="K192"/>
  <c r="J192"/>
  <c r="Z124"/>
  <c r="G139"/>
  <c r="Z78"/>
  <c r="T40"/>
  <c r="T138"/>
  <c r="F79"/>
  <c r="H79"/>
  <c r="O79"/>
  <c r="S79"/>
  <c r="F95"/>
  <c r="H95"/>
  <c r="O95"/>
  <c r="S95"/>
  <c r="F125"/>
  <c r="H125"/>
  <c r="O125"/>
  <c r="S125"/>
  <c r="F139"/>
  <c r="H139"/>
  <c r="S139"/>
  <c r="F165"/>
  <c r="H165"/>
  <c r="T184"/>
  <c r="P79"/>
  <c r="P95"/>
  <c r="P125"/>
  <c r="P139"/>
  <c r="P165"/>
  <c r="AD78"/>
  <c r="AD94"/>
  <c r="AD124"/>
  <c r="O139"/>
  <c r="AD138"/>
  <c r="O165"/>
  <c r="S165"/>
  <c r="AD164"/>
  <c r="S185"/>
  <c r="T164"/>
  <c r="T78"/>
  <c r="V125"/>
  <c r="U124" s="1"/>
  <c r="V185"/>
  <c r="U184" s="1"/>
  <c r="AD184"/>
  <c r="O185"/>
  <c r="F185"/>
  <c r="H185"/>
  <c r="F41"/>
  <c r="H41"/>
  <c r="O41"/>
  <c r="F65"/>
  <c r="H65"/>
  <c r="O65"/>
  <c r="S65"/>
  <c r="V79"/>
  <c r="U78" s="1"/>
  <c r="V95"/>
  <c r="U94" s="1"/>
  <c r="V139"/>
  <c r="U138" s="1"/>
  <c r="V165"/>
  <c r="U164" s="1"/>
  <c r="P185"/>
  <c r="G185"/>
  <c r="T124"/>
  <c r="T94"/>
  <c r="P41"/>
  <c r="P65"/>
  <c r="AD40"/>
  <c r="AD64"/>
  <c r="T64"/>
  <c r="V41"/>
  <c r="V65"/>
  <c r="U64" s="1"/>
  <c r="AD174"/>
  <c r="AD46"/>
  <c r="AD72"/>
  <c r="AD4"/>
  <c r="AD6"/>
  <c r="AD8"/>
  <c r="AD74"/>
  <c r="AD50"/>
  <c r="AD10"/>
  <c r="AD38"/>
  <c r="AD62"/>
  <c r="AD180"/>
  <c r="AD150"/>
  <c r="AD12"/>
  <c r="AD154"/>
  <c r="AD84"/>
  <c r="AD52"/>
  <c r="AD14"/>
  <c r="AD168"/>
  <c r="AD86"/>
  <c r="AD156"/>
  <c r="AD110"/>
  <c r="AD16"/>
  <c r="AD70"/>
  <c r="AD152"/>
  <c r="AD126"/>
  <c r="AD18"/>
  <c r="AD54"/>
  <c r="AD20"/>
  <c r="AD176"/>
  <c r="AD22"/>
  <c r="AD56"/>
  <c r="AD48"/>
  <c r="AD112"/>
  <c r="AD58"/>
  <c r="AD158"/>
  <c r="AD160"/>
  <c r="AD114"/>
  <c r="AD24"/>
  <c r="AD116"/>
  <c r="AD108"/>
  <c r="AD170"/>
  <c r="AD60"/>
  <c r="AD66"/>
  <c r="AD140"/>
  <c r="AD96"/>
  <c r="AD142"/>
  <c r="AD80"/>
  <c r="AD82"/>
  <c r="AD68"/>
  <c r="AD42"/>
  <c r="AD44"/>
  <c r="AD98"/>
  <c r="AD100"/>
  <c r="AD166"/>
  <c r="AD88"/>
  <c r="AD102"/>
  <c r="AD144"/>
  <c r="AD146"/>
  <c r="AD76"/>
  <c r="AD26"/>
  <c r="AD118"/>
  <c r="AD120"/>
  <c r="AD178"/>
  <c r="AD128"/>
  <c r="AD28"/>
  <c r="AD92"/>
  <c r="AD30"/>
  <c r="AD32"/>
  <c r="AD162"/>
  <c r="AD34"/>
  <c r="AD130"/>
  <c r="AD104"/>
  <c r="AD122"/>
  <c r="AD172"/>
  <c r="AD132"/>
  <c r="AD136"/>
  <c r="AD90"/>
  <c r="AD106"/>
  <c r="AD182"/>
  <c r="AD134"/>
  <c r="AD36"/>
  <c r="AD148"/>
  <c r="Z174"/>
  <c r="Z46"/>
  <c r="Z72"/>
  <c r="Z4"/>
  <c r="Z6"/>
  <c r="Z8"/>
  <c r="Z74"/>
  <c r="Z50"/>
  <c r="Z10"/>
  <c r="Z38"/>
  <c r="Z62"/>
  <c r="Z180"/>
  <c r="Z150"/>
  <c r="Z12"/>
  <c r="Z154"/>
  <c r="Z84"/>
  <c r="Z52"/>
  <c r="Z14"/>
  <c r="Z168"/>
  <c r="Z86"/>
  <c r="Z156"/>
  <c r="Z110"/>
  <c r="Z16"/>
  <c r="Z70"/>
  <c r="Z152"/>
  <c r="Z126"/>
  <c r="Z18"/>
  <c r="Z54"/>
  <c r="Z20"/>
  <c r="Z176"/>
  <c r="Z22"/>
  <c r="Z56"/>
  <c r="Z48"/>
  <c r="Z112"/>
  <c r="Z58"/>
  <c r="Z158"/>
  <c r="Z160"/>
  <c r="Z114"/>
  <c r="Z24"/>
  <c r="Z116"/>
  <c r="Z108"/>
  <c r="Z170"/>
  <c r="Z60"/>
  <c r="Z66"/>
  <c r="Z140"/>
  <c r="Z96"/>
  <c r="Z142"/>
  <c r="Z80"/>
  <c r="Z82"/>
  <c r="Z68"/>
  <c r="Z42"/>
  <c r="Z44"/>
  <c r="Z98"/>
  <c r="Z100"/>
  <c r="Z166"/>
  <c r="Z88"/>
  <c r="Z102"/>
  <c r="Z144"/>
  <c r="Z146"/>
  <c r="Z76"/>
  <c r="Z26"/>
  <c r="Z118"/>
  <c r="Z120"/>
  <c r="Z178"/>
  <c r="Z128"/>
  <c r="Z28"/>
  <c r="Z92"/>
  <c r="Z30"/>
  <c r="Z32"/>
  <c r="Z162"/>
  <c r="Z34"/>
  <c r="Z130"/>
  <c r="Z104"/>
  <c r="Z122"/>
  <c r="Z172"/>
  <c r="Z132"/>
  <c r="Z136"/>
  <c r="Z90"/>
  <c r="Z106"/>
  <c r="Z182"/>
  <c r="Z134"/>
  <c r="Z36"/>
  <c r="Z148"/>
  <c r="T192" l="1"/>
  <c r="U40"/>
  <c r="V193"/>
  <c r="U192" s="1"/>
  <c r="AD192"/>
  <c r="F193"/>
  <c r="S193"/>
  <c r="P193"/>
  <c r="O193"/>
  <c r="H193"/>
  <c r="Z192"/>
  <c r="G193"/>
</calcChain>
</file>

<file path=xl/sharedStrings.xml><?xml version="1.0" encoding="utf-8"?>
<sst xmlns="http://schemas.openxmlformats.org/spreadsheetml/2006/main" count="337" uniqueCount="136">
  <si>
    <t>Субъект РФ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</si>
  <si>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</si>
  <si>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</si>
  <si>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</si>
  <si>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</si>
  <si>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</si>
  <si>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</si>
  <si>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</si>
  <si>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</si>
  <si>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</si>
  <si>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</si>
  <si>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</si>
  <si>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</si>
  <si>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</si>
  <si>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</si>
  <si>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</si>
  <si>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</si>
  <si>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</si>
  <si>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</si>
  <si>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Центральный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</si>
  <si>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</si>
  <si>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</si>
  <si>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</si>
  <si>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</si>
  <si>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</si>
  <si>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</si>
  <si>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</si>
  <si>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</si>
  <si>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</si>
  <si>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</si>
  <si>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Северо-Западный федеральный округ</t>
  </si>
  <si>
    <t>Республика Адыгея (Адыгея)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</si>
  <si>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</si>
  <si>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</si>
  <si>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</si>
  <si>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</si>
  <si>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</si>
  <si>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Южный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</si>
  <si>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</si>
  <si>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</si>
  <si>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</si>
  <si>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</si>
  <si>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</si>
  <si>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</si>
  <si>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</si>
  <si>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Северо-Кавказский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</si>
  <si>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</si>
  <si>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</si>
  <si>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</si>
  <si>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</si>
  <si>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</si>
  <si>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Республика-Чувашия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</si>
  <si>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</si>
  <si>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</si>
  <si>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</si>
  <si>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</si>
  <si>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</si>
  <si>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</si>
  <si>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</si>
  <si>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</si>
  <si>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Приволжский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</si>
  <si>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</si>
  <si>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</si>
  <si>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</si>
  <si>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</t>
  </si>
  <si>
    <t>Ямало-Ненецкий автономный округ</t>
  </si>
  <si>
    <t>Челябинская область</t>
  </si>
  <si>
    <t>Уральский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</si>
  <si>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</si>
  <si>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</si>
  <si>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</si>
  <si>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</si>
  <si>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</si>
  <si>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</si>
  <si>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</si>
  <si>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</si>
  <si>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</si>
  <si>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</si>
  <si>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</si>
  <si>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</si>
  <si>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Сибирский федеральный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</si>
  <si>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</si>
  <si>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</si>
  <si>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</si>
  <si>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</si>
  <si>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</si>
  <si>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</si>
  <si>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</si>
  <si>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</si>
  <si>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</si>
  <si>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Дальневосточный федеральный округ</t>
  </si>
  <si>
    <t>Российская Федерация</t>
  </si>
  <si>
    <t>Кадры</t>
  </si>
  <si>
    <t>Численность занимающихся в клубах, в том числе по месту жительства</t>
  </si>
  <si>
    <t>Количество учащихся отнесеных к спецмед-группе</t>
  </si>
  <si>
    <t>Из них посещают занятия в спецмед-группе</t>
  </si>
  <si>
    <t>Численность занимающихся группах и секциях по видам спорта</t>
  </si>
  <si>
    <t>Спортивные сооружения</t>
  </si>
  <si>
    <t>Всего</t>
  </si>
  <si>
    <t>Плоскостные спорт-сооружения</t>
  </si>
  <si>
    <t>Залы</t>
  </si>
  <si>
    <t>Бассейны</t>
  </si>
  <si>
    <t>Площадь спортивных сооружений</t>
  </si>
  <si>
    <t>Численность занимающихся</t>
  </si>
  <si>
    <t>из них женщины</t>
  </si>
  <si>
    <t>Подготовлено разрядников</t>
  </si>
  <si>
    <t>ЕПС факт</t>
  </si>
  <si>
    <t>ЕПС норма</t>
  </si>
  <si>
    <t>Численность занимающихся на предприятиях, в учреждениях, организациях</t>
  </si>
  <si>
    <t>Численность занимающихся в учреждениях дополнительного образования</t>
  </si>
  <si>
    <t>Спортивные звания</t>
  </si>
  <si>
    <t>Массовые разряды</t>
  </si>
  <si>
    <t>Финансирование физической культуры и спорта (тыс.руб.)</t>
  </si>
  <si>
    <t>Внебюджетные средства</t>
  </si>
  <si>
    <t>Финансиро-вание ФКиС
на 1 жителя (руб.)</t>
  </si>
  <si>
    <t>% внебюд-жетных</t>
  </si>
  <si>
    <t>Всего израсхо-довано на ФКиС</t>
  </si>
  <si>
    <t>% от норма-тива ЕПС</t>
  </si>
  <si>
    <t>Плоскост-
ные спорт-сооружения</t>
  </si>
  <si>
    <t>Ненецкий автономный округ</t>
  </si>
  <si>
    <t>Женщины</t>
  </si>
  <si>
    <t>ЦФО</t>
  </si>
  <si>
    <t>СЗФО</t>
  </si>
  <si>
    <t>ЮФО</t>
  </si>
  <si>
    <t>СКФО</t>
  </si>
  <si>
    <t>ПФО</t>
  </si>
  <si>
    <t>УФО</t>
  </si>
  <si>
    <t>СФО</t>
  </si>
  <si>
    <t>ДФО</t>
  </si>
  <si>
    <t>РФ</t>
  </si>
  <si>
    <t>Стадионы</t>
  </si>
  <si>
    <t>Население 3-79</t>
  </si>
  <si>
    <t>Республика Крым</t>
  </si>
  <si>
    <t>г. Севастополь</t>
  </si>
  <si>
    <t>Крымский федеральный округ</t>
  </si>
  <si>
    <t>КФО</t>
  </si>
</sst>
</file>

<file path=xl/styles.xml><?xml version="1.0" encoding="utf-8"?>
<styleSheet xmlns="http://schemas.openxmlformats.org/spreadsheetml/2006/main">
  <numFmts count="3">
    <numFmt numFmtId="43" formatCode="_-* #,##0.00_р_._-;\-* #,##0.00_р_._-;_-* &quot;-&quot;??_р_._-;_-@_-"/>
    <numFmt numFmtId="164" formatCode="0.0%"/>
    <numFmt numFmtId="165" formatCode="#,##0.0"/>
  </numFmts>
  <fonts count="1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sz val="7"/>
      <color theme="1"/>
      <name val="Arial"/>
      <family val="2"/>
      <charset val="204"/>
    </font>
    <font>
      <sz val="7"/>
      <name val="Arial"/>
      <family val="2"/>
      <charset val="204"/>
    </font>
    <font>
      <sz val="7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4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9" applyFont="1" applyBorder="1" applyAlignment="1">
      <alignment horizontal="center" vertical="center" wrapText="1"/>
    </xf>
    <xf numFmtId="0" fontId="5" fillId="0" borderId="0" xfId="0" applyFont="1" applyBorder="1" applyAlignment="1"/>
    <xf numFmtId="0" fontId="5" fillId="3" borderId="0" xfId="0" applyFont="1" applyFill="1" applyBorder="1" applyAlignment="1"/>
    <xf numFmtId="0" fontId="7" fillId="0" borderId="0" xfId="0" applyFont="1" applyBorder="1" applyAlignment="1"/>
    <xf numFmtId="0" fontId="2" fillId="2" borderId="1" xfId="7" applyFont="1" applyFill="1" applyBorder="1" applyAlignment="1">
      <alignment horizontal="center" vertical="center" wrapText="1"/>
    </xf>
    <xf numFmtId="3" fontId="10" fillId="0" borderId="2" xfId="0" applyNumberFormat="1" applyFont="1" applyBorder="1"/>
    <xf numFmtId="3" fontId="10" fillId="3" borderId="2" xfId="0" applyNumberFormat="1" applyFont="1" applyFill="1" applyBorder="1"/>
    <xf numFmtId="3" fontId="10" fillId="0" borderId="2" xfId="0" applyNumberFormat="1" applyFont="1" applyBorder="1" applyAlignment="1"/>
    <xf numFmtId="164" fontId="10" fillId="0" borderId="2" xfId="11" applyNumberFormat="1" applyFont="1" applyBorder="1" applyAlignment="1"/>
    <xf numFmtId="165" fontId="10" fillId="0" borderId="2" xfId="0" applyNumberFormat="1" applyFont="1" applyBorder="1"/>
    <xf numFmtId="3" fontId="10" fillId="0" borderId="3" xfId="0" applyNumberFormat="1" applyFont="1" applyBorder="1"/>
    <xf numFmtId="164" fontId="10" fillId="0" borderId="3" xfId="11" applyNumberFormat="1" applyFont="1" applyBorder="1"/>
    <xf numFmtId="3" fontId="10" fillId="3" borderId="3" xfId="0" applyNumberFormat="1" applyFont="1" applyFill="1" applyBorder="1"/>
    <xf numFmtId="0" fontId="10" fillId="0" borderId="3" xfId="0" applyFont="1" applyBorder="1" applyAlignment="1"/>
    <xf numFmtId="164" fontId="10" fillId="0" borderId="3" xfId="11" applyNumberFormat="1" applyFont="1" applyBorder="1" applyAlignment="1"/>
    <xf numFmtId="165" fontId="10" fillId="0" borderId="3" xfId="0" applyNumberFormat="1" applyFont="1" applyBorder="1"/>
    <xf numFmtId="165" fontId="10" fillId="4" borderId="2" xfId="0" applyNumberFormat="1" applyFont="1" applyFill="1" applyBorder="1"/>
    <xf numFmtId="3" fontId="2" fillId="3" borderId="7" xfId="0" applyNumberFormat="1" applyFont="1" applyFill="1" applyBorder="1"/>
    <xf numFmtId="0" fontId="6" fillId="0" borderId="0" xfId="0" applyFont="1" applyBorder="1" applyAlignment="1"/>
    <xf numFmtId="164" fontId="2" fillId="0" borderId="2" xfId="11" applyNumberFormat="1" applyFont="1" applyBorder="1" applyAlignment="1"/>
    <xf numFmtId="165" fontId="2" fillId="0" borderId="2" xfId="0" applyNumberFormat="1" applyFont="1" applyBorder="1"/>
    <xf numFmtId="164" fontId="2" fillId="0" borderId="3" xfId="11" applyNumberFormat="1" applyFont="1" applyBorder="1"/>
    <xf numFmtId="3" fontId="2" fillId="0" borderId="2" xfId="0" applyNumberFormat="1" applyFont="1" applyBorder="1"/>
    <xf numFmtId="3" fontId="2" fillId="3" borderId="2" xfId="0" applyNumberFormat="1" applyFont="1" applyFill="1" applyBorder="1"/>
    <xf numFmtId="3" fontId="2" fillId="0" borderId="3" xfId="0" applyNumberFormat="1" applyFont="1" applyBorder="1"/>
    <xf numFmtId="3" fontId="2" fillId="3" borderId="3" xfId="0" applyNumberFormat="1" applyFont="1" applyFill="1" applyBorder="1"/>
    <xf numFmtId="0" fontId="2" fillId="0" borderId="3" xfId="0" applyFont="1" applyBorder="1" applyAlignment="1"/>
    <xf numFmtId="164" fontId="2" fillId="0" borderId="3" xfId="11" applyNumberFormat="1" applyFont="1" applyBorder="1" applyAlignment="1"/>
    <xf numFmtId="165" fontId="2" fillId="0" borderId="3" xfId="0" applyNumberFormat="1" applyFont="1" applyBorder="1"/>
    <xf numFmtId="0" fontId="9" fillId="3" borderId="2" xfId="6" applyFont="1" applyFill="1" applyBorder="1" applyAlignment="1">
      <alignment horizontal="center" vertical="center" wrapText="1"/>
    </xf>
    <xf numFmtId="0" fontId="8" fillId="0" borderId="0" xfId="0" applyFont="1" applyFill="1" applyAlignment="1"/>
    <xf numFmtId="0" fontId="9" fillId="0" borderId="0" xfId="0" applyFont="1" applyFill="1" applyAlignment="1"/>
    <xf numFmtId="0" fontId="8" fillId="0" borderId="0" xfId="0" applyFont="1" applyFill="1"/>
    <xf numFmtId="0" fontId="9" fillId="0" borderId="0" xfId="0" applyFont="1" applyFill="1"/>
    <xf numFmtId="0" fontId="9" fillId="0" borderId="2" xfId="5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 wrapText="1"/>
    </xf>
    <xf numFmtId="0" fontId="9" fillId="0" borderId="2" xfId="8" applyFont="1" applyFill="1" applyBorder="1" applyAlignment="1">
      <alignment horizontal="center" vertical="center" wrapText="1"/>
    </xf>
    <xf numFmtId="0" fontId="9" fillId="0" borderId="2" xfId="10" applyFont="1" applyFill="1" applyBorder="1" applyAlignment="1">
      <alignment horizontal="center" vertical="center" wrapText="1"/>
    </xf>
    <xf numFmtId="0" fontId="9" fillId="0" borderId="2" xfId="9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6" fillId="0" borderId="0" xfId="0" applyFont="1" applyFill="1"/>
    <xf numFmtId="0" fontId="11" fillId="0" borderId="0" xfId="0" applyFont="1" applyBorder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2" fillId="0" borderId="1" xfId="5" applyFont="1" applyBorder="1" applyAlignment="1">
      <alignment horizontal="center" vertical="center" wrapText="1"/>
    </xf>
    <xf numFmtId="0" fontId="2" fillId="2" borderId="1" xfId="6" applyFont="1" applyFill="1" applyBorder="1" applyAlignment="1">
      <alignment horizontal="center" vertical="center" wrapText="1"/>
    </xf>
    <xf numFmtId="165" fontId="10" fillId="0" borderId="2" xfId="0" applyNumberFormat="1" applyFont="1" applyFill="1" applyBorder="1"/>
    <xf numFmtId="0" fontId="10" fillId="0" borderId="0" xfId="0" applyFont="1" applyBorder="1" applyAlignment="1"/>
    <xf numFmtId="0" fontId="2" fillId="0" borderId="0" xfId="0" applyFont="1" applyBorder="1" applyAlignment="1"/>
    <xf numFmtId="0" fontId="10" fillId="0" borderId="2" xfId="0" applyFont="1" applyBorder="1"/>
    <xf numFmtId="0" fontId="10" fillId="3" borderId="2" xfId="0" applyFont="1" applyFill="1" applyBorder="1"/>
    <xf numFmtId="3" fontId="2" fillId="0" borderId="7" xfId="0" applyNumberFormat="1" applyFont="1" applyBorder="1"/>
    <xf numFmtId="164" fontId="2" fillId="0" borderId="7" xfId="11" applyNumberFormat="1" applyFont="1" applyBorder="1" applyAlignment="1"/>
    <xf numFmtId="165" fontId="2" fillId="0" borderId="7" xfId="0" applyNumberFormat="1" applyFont="1" applyBorder="1"/>
    <xf numFmtId="164" fontId="2" fillId="0" borderId="7" xfId="11" applyNumberFormat="1" applyFont="1" applyBorder="1"/>
    <xf numFmtId="0" fontId="2" fillId="0" borderId="7" xfId="0" applyFont="1" applyBorder="1" applyAlignment="1"/>
    <xf numFmtId="164" fontId="2" fillId="0" borderId="9" xfId="11" applyNumberFormat="1" applyFont="1" applyBorder="1"/>
    <xf numFmtId="3" fontId="2" fillId="0" borderId="12" xfId="0" applyNumberFormat="1" applyFont="1" applyBorder="1"/>
    <xf numFmtId="3" fontId="2" fillId="3" borderId="13" xfId="0" applyNumberFormat="1" applyFont="1" applyFill="1" applyBorder="1"/>
    <xf numFmtId="0" fontId="10" fillId="0" borderId="2" xfId="11" applyNumberFormat="1" applyFont="1" applyBorder="1"/>
    <xf numFmtId="0" fontId="2" fillId="0" borderId="7" xfId="11" applyNumberFormat="1" applyFont="1" applyBorder="1"/>
    <xf numFmtId="164" fontId="10" fillId="0" borderId="2" xfId="0" applyNumberFormat="1" applyFont="1" applyBorder="1" applyAlignment="1"/>
    <xf numFmtId="0" fontId="2" fillId="0" borderId="8" xfId="11" applyNumberFormat="1" applyFont="1" applyBorder="1"/>
    <xf numFmtId="0" fontId="2" fillId="0" borderId="2" xfId="11" applyNumberFormat="1" applyFont="1" applyBorder="1"/>
    <xf numFmtId="3" fontId="10" fillId="0" borderId="8" xfId="0" applyNumberFormat="1" applyFont="1" applyBorder="1"/>
    <xf numFmtId="0" fontId="10" fillId="0" borderId="8" xfId="11" applyNumberFormat="1" applyFont="1" applyBorder="1"/>
    <xf numFmtId="3" fontId="10" fillId="3" borderId="11" xfId="0" applyNumberFormat="1" applyFont="1" applyFill="1" applyBorder="1"/>
    <xf numFmtId="3" fontId="10" fillId="0" borderId="9" xfId="0" applyNumberFormat="1" applyFont="1" applyBorder="1"/>
    <xf numFmtId="164" fontId="10" fillId="0" borderId="12" xfId="11" applyNumberFormat="1" applyFont="1" applyBorder="1"/>
    <xf numFmtId="164" fontId="10" fillId="0" borderId="7" xfId="11" applyNumberFormat="1" applyFont="1" applyBorder="1"/>
    <xf numFmtId="3" fontId="10" fillId="3" borderId="10" xfId="0" applyNumberFormat="1" applyFont="1" applyFill="1" applyBorder="1"/>
    <xf numFmtId="165" fontId="10" fillId="0" borderId="8" xfId="0" applyNumberFormat="1" applyFont="1" applyBorder="1"/>
    <xf numFmtId="165" fontId="10" fillId="0" borderId="9" xfId="0" applyNumberFormat="1" applyFont="1" applyBorder="1"/>
    <xf numFmtId="0" fontId="10" fillId="0" borderId="2" xfId="0" applyNumberFormat="1" applyFont="1" applyBorder="1"/>
    <xf numFmtId="0" fontId="10" fillId="0" borderId="8" xfId="0" applyNumberFormat="1" applyFont="1" applyBorder="1"/>
    <xf numFmtId="164" fontId="2" fillId="0" borderId="7" xfId="0" applyNumberFormat="1" applyFont="1" applyBorder="1" applyAlignment="1"/>
    <xf numFmtId="3" fontId="5" fillId="0" borderId="0" xfId="0" applyNumberFormat="1" applyFont="1" applyBorder="1" applyAlignment="1"/>
    <xf numFmtId="0" fontId="10" fillId="0" borderId="2" xfId="12" applyNumberFormat="1" applyFont="1" applyBorder="1" applyAlignment="1">
      <alignment horizontal="right"/>
    </xf>
    <xf numFmtId="165" fontId="10" fillId="4" borderId="7" xfId="0" applyNumberFormat="1" applyFont="1" applyFill="1" applyBorder="1"/>
    <xf numFmtId="0" fontId="2" fillId="0" borderId="4" xfId="5" applyFont="1" applyBorder="1" applyAlignment="1">
      <alignment horizontal="center" vertical="center" wrapText="1"/>
    </xf>
    <xf numFmtId="0" fontId="2" fillId="0" borderId="6" xfId="5" applyFont="1" applyBorder="1" applyAlignment="1">
      <alignment horizontal="center" vertical="center" wrapText="1"/>
    </xf>
    <xf numFmtId="0" fontId="2" fillId="0" borderId="5" xfId="5" applyFont="1" applyBorder="1" applyAlignment="1">
      <alignment horizontal="center" vertical="center" wrapText="1"/>
    </xf>
    <xf numFmtId="0" fontId="2" fillId="2" borderId="4" xfId="6" applyFont="1" applyFill="1" applyBorder="1" applyAlignment="1">
      <alignment horizontal="center" vertical="center" wrapText="1"/>
    </xf>
    <xf numFmtId="0" fontId="2" fillId="2" borderId="6" xfId="6" applyFont="1" applyFill="1" applyBorder="1" applyAlignment="1">
      <alignment horizontal="center" vertical="center" wrapText="1"/>
    </xf>
    <xf numFmtId="0" fontId="2" fillId="2" borderId="5" xfId="6" applyFont="1" applyFill="1" applyBorder="1" applyAlignment="1">
      <alignment horizontal="center" vertical="center" wrapText="1"/>
    </xf>
    <xf numFmtId="0" fontId="2" fillId="2" borderId="1" xfId="7" applyFont="1" applyFill="1" applyBorder="1" applyAlignment="1">
      <alignment horizontal="center" vertical="center" wrapText="1"/>
    </xf>
    <xf numFmtId="0" fontId="2" fillId="0" borderId="2" xfId="8" applyFont="1" applyBorder="1" applyAlignment="1">
      <alignment horizontal="center" vertical="center" wrapText="1"/>
    </xf>
    <xf numFmtId="0" fontId="2" fillId="0" borderId="3" xfId="8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0" fontId="2" fillId="0" borderId="2" xfId="10" applyFont="1" applyBorder="1" applyAlignment="1">
      <alignment horizontal="center" vertical="center" wrapText="1"/>
    </xf>
    <xf numFmtId="0" fontId="2" fillId="0" borderId="3" xfId="1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2" xfId="5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</cellXfs>
  <cellStyles count="13">
    <cellStyle name="Обычный" xfId="0" builtinId="0"/>
    <cellStyle name="Обычный 10" xfId="1"/>
    <cellStyle name="Обычный 11" xfId="2"/>
    <cellStyle name="Обычный 12" xfId="3"/>
    <cellStyle name="Обычный 13" xfId="4"/>
    <cellStyle name="Обычный 3" xfId="5"/>
    <cellStyle name="Обычный 4" xfId="6"/>
    <cellStyle name="Обычный 5" xfId="7"/>
    <cellStyle name="Обычный 6" xfId="8"/>
    <cellStyle name="Обычный 7" xfId="9"/>
    <cellStyle name="Обычный 8" xfId="10"/>
    <cellStyle name="Процентный" xfId="11" builtinId="5"/>
    <cellStyle name="Финансовый" xfId="1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0"/>
  <sheetViews>
    <sheetView showZeros="0" tabSelected="1" zoomScaleSheetLayoutView="100" workbookViewId="0">
      <pane xSplit="3" ySplit="3" topLeftCell="D4" activePane="bottomRight" state="frozenSplit"/>
      <selection pane="topRight" activeCell="C1" sqref="C1"/>
      <selection pane="bottomLeft" activeCell="A2" sqref="A2"/>
      <selection pane="bottomRight" activeCell="Z2" sqref="Z1:AA1048576"/>
    </sheetView>
  </sheetViews>
  <sheetFormatPr defaultRowHeight="11.25"/>
  <cols>
    <col min="1" max="1" width="2.85546875" style="47" bestFit="1" customWidth="1"/>
    <col min="2" max="2" width="4.85546875" style="47" bestFit="1" customWidth="1"/>
    <col min="3" max="3" width="18.7109375" style="4" customWidth="1"/>
    <col min="4" max="4" width="8.28515625" style="4" customWidth="1"/>
    <col min="5" max="5" width="9.140625" style="4" customWidth="1"/>
    <col min="6" max="6" width="10.85546875" style="4" bestFit="1" customWidth="1"/>
    <col min="7" max="7" width="8.28515625" style="4" customWidth="1"/>
    <col min="8" max="8" width="9.140625" style="4" customWidth="1"/>
    <col min="9" max="10" width="9.42578125" style="5" hidden="1" customWidth="1"/>
    <col min="11" max="11" width="9.5703125" style="5" hidden="1" customWidth="1"/>
    <col min="12" max="12" width="9.28515625" style="5" hidden="1" customWidth="1"/>
    <col min="13" max="13" width="10.28515625" style="5" hidden="1" customWidth="1"/>
    <col min="14" max="14" width="8.28515625" style="4" customWidth="1"/>
    <col min="15" max="15" width="12.85546875" style="4" bestFit="1" customWidth="1"/>
    <col min="16" max="16" width="11.140625" style="4" bestFit="1" customWidth="1"/>
    <col min="17" max="17" width="13.5703125" style="4" customWidth="1"/>
    <col min="18" max="19" width="10" style="4" customWidth="1"/>
    <col min="20" max="20" width="11.140625" style="4" customWidth="1"/>
    <col min="21" max="22" width="9" style="4" customWidth="1"/>
    <col min="23" max="23" width="14.7109375" style="4" customWidth="1"/>
    <col min="24" max="24" width="16" style="4" customWidth="1"/>
    <col min="25" max="25" width="11.28515625" style="4" bestFit="1" customWidth="1"/>
    <col min="26" max="26" width="13.140625" style="4" hidden="1" customWidth="1"/>
    <col min="27" max="27" width="13.28515625" style="4" hidden="1" customWidth="1"/>
    <col min="28" max="28" width="12.7109375" style="4" customWidth="1"/>
    <col min="29" max="29" width="11.7109375" style="4" hidden="1" customWidth="1"/>
    <col min="30" max="30" width="10.5703125" style="4" hidden="1" customWidth="1"/>
    <col min="31" max="16384" width="9.140625" style="4"/>
  </cols>
  <sheetData>
    <row r="1" spans="1:30" s="45" customFormat="1" ht="23.25" customHeight="1">
      <c r="A1" s="33"/>
      <c r="B1" s="34"/>
      <c r="C1" s="108" t="s">
        <v>0</v>
      </c>
      <c r="D1" s="87" t="s">
        <v>97</v>
      </c>
      <c r="E1" s="88"/>
      <c r="F1" s="88"/>
      <c r="G1" s="88"/>
      <c r="H1" s="89"/>
      <c r="I1" s="90" t="s">
        <v>102</v>
      </c>
      <c r="J1" s="91"/>
      <c r="K1" s="92"/>
      <c r="L1" s="93" t="s">
        <v>131</v>
      </c>
      <c r="M1" s="93"/>
      <c r="N1" s="94" t="s">
        <v>92</v>
      </c>
      <c r="O1" s="94" t="s">
        <v>103</v>
      </c>
      <c r="P1" s="94" t="s">
        <v>104</v>
      </c>
      <c r="Q1" s="94" t="s">
        <v>93</v>
      </c>
      <c r="R1" s="94" t="s">
        <v>94</v>
      </c>
      <c r="S1" s="94" t="s">
        <v>95</v>
      </c>
      <c r="T1" s="94" t="s">
        <v>105</v>
      </c>
      <c r="U1" s="98" t="s">
        <v>117</v>
      </c>
      <c r="V1" s="3" t="s">
        <v>106</v>
      </c>
      <c r="W1" s="100" t="s">
        <v>108</v>
      </c>
      <c r="X1" s="100" t="s">
        <v>109</v>
      </c>
      <c r="Y1" s="1" t="s">
        <v>110</v>
      </c>
      <c r="Z1" s="102" t="s">
        <v>112</v>
      </c>
      <c r="AA1" s="103"/>
      <c r="AB1" s="104" t="s">
        <v>96</v>
      </c>
      <c r="AC1" s="104" t="s">
        <v>116</v>
      </c>
      <c r="AD1" s="96" t="s">
        <v>114</v>
      </c>
    </row>
    <row r="2" spans="1:30" s="46" customFormat="1" ht="44.25" customHeight="1">
      <c r="A2" s="35"/>
      <c r="B2" s="36"/>
      <c r="C2" s="109"/>
      <c r="D2" s="52" t="s">
        <v>98</v>
      </c>
      <c r="E2" s="52" t="s">
        <v>130</v>
      </c>
      <c r="F2" s="52" t="s">
        <v>118</v>
      </c>
      <c r="G2" s="52" t="s">
        <v>100</v>
      </c>
      <c r="H2" s="52" t="s">
        <v>101</v>
      </c>
      <c r="I2" s="53" t="s">
        <v>99</v>
      </c>
      <c r="J2" s="53" t="s">
        <v>100</v>
      </c>
      <c r="K2" s="53" t="s">
        <v>101</v>
      </c>
      <c r="L2" s="7" t="s">
        <v>98</v>
      </c>
      <c r="M2" s="7" t="s">
        <v>120</v>
      </c>
      <c r="N2" s="95"/>
      <c r="O2" s="95"/>
      <c r="P2" s="95"/>
      <c r="Q2" s="95"/>
      <c r="R2" s="95"/>
      <c r="S2" s="95"/>
      <c r="T2" s="95"/>
      <c r="U2" s="99"/>
      <c r="V2" s="3" t="s">
        <v>107</v>
      </c>
      <c r="W2" s="101"/>
      <c r="X2" s="101"/>
      <c r="Y2" s="1" t="s">
        <v>111</v>
      </c>
      <c r="Z2" s="2" t="s">
        <v>115</v>
      </c>
      <c r="AA2" s="2" t="s">
        <v>113</v>
      </c>
      <c r="AB2" s="105"/>
      <c r="AC2" s="105"/>
      <c r="AD2" s="97"/>
    </row>
    <row r="3" spans="1:30" s="35" customFormat="1" ht="9">
      <c r="B3" s="36"/>
      <c r="C3" s="37"/>
      <c r="D3" s="38"/>
      <c r="E3" s="38"/>
      <c r="F3" s="38"/>
      <c r="G3" s="38"/>
      <c r="H3" s="38"/>
      <c r="I3" s="32"/>
      <c r="J3" s="32"/>
      <c r="K3" s="32"/>
      <c r="L3" s="32"/>
      <c r="M3" s="32"/>
      <c r="N3" s="39"/>
      <c r="O3" s="39"/>
      <c r="P3" s="39"/>
      <c r="Q3" s="39"/>
      <c r="R3" s="39"/>
      <c r="S3" s="39"/>
      <c r="T3" s="39"/>
      <c r="U3" s="40"/>
      <c r="V3" s="41"/>
      <c r="W3" s="42"/>
      <c r="X3" s="42"/>
      <c r="Y3" s="42"/>
      <c r="Z3" s="43"/>
      <c r="AA3" s="43"/>
      <c r="AB3" s="42"/>
      <c r="AC3" s="44"/>
      <c r="AD3" s="44"/>
    </row>
    <row r="4" spans="1:30">
      <c r="B4" s="48" t="s">
        <v>121</v>
      </c>
      <c r="C4" s="106" t="s">
        <v>1</v>
      </c>
      <c r="D4" s="8">
        <v>5787</v>
      </c>
      <c r="E4" s="8">
        <v>25</v>
      </c>
      <c r="F4" s="8">
        <v>3300</v>
      </c>
      <c r="G4" s="8">
        <v>819</v>
      </c>
      <c r="H4" s="8">
        <v>142</v>
      </c>
      <c r="I4" s="9">
        <f>F4*540</f>
        <v>1782000</v>
      </c>
      <c r="J4" s="9">
        <f>G4*400</f>
        <v>327600</v>
      </c>
      <c r="K4" s="9">
        <f>H4*200</f>
        <v>28400</v>
      </c>
      <c r="L4" s="58">
        <v>1443119</v>
      </c>
      <c r="M4" s="58">
        <v>769778</v>
      </c>
      <c r="N4" s="8">
        <v>4194</v>
      </c>
      <c r="O4" s="57">
        <v>575031</v>
      </c>
      <c r="P4" s="57">
        <v>243554</v>
      </c>
      <c r="Q4" s="8">
        <v>84433</v>
      </c>
      <c r="R4" s="8">
        <v>6533</v>
      </c>
      <c r="S4" s="8">
        <v>5452</v>
      </c>
      <c r="T4" s="10">
        <f>Y4+Y5</f>
        <v>16605</v>
      </c>
      <c r="U4" s="11">
        <f>V4/V5</f>
        <v>0.59590592175332513</v>
      </c>
      <c r="V4" s="57">
        <v>163393</v>
      </c>
      <c r="W4" s="8">
        <v>213443</v>
      </c>
      <c r="X4" s="8">
        <v>39753</v>
      </c>
      <c r="Y4" s="8">
        <v>109</v>
      </c>
      <c r="Z4" s="11">
        <f>AA4/AC4</f>
        <v>6.1423688078012975E-2</v>
      </c>
      <c r="AA4" s="12">
        <f>75648.8</f>
        <v>75648.800000000003</v>
      </c>
      <c r="AB4" s="8">
        <v>370718</v>
      </c>
      <c r="AC4" s="12">
        <f>1231590</f>
        <v>1231590</v>
      </c>
      <c r="AD4" s="12">
        <f>AC4*1000/L4</f>
        <v>853.42234424188166</v>
      </c>
    </row>
    <row r="5" spans="1:30">
      <c r="B5" s="48" t="s">
        <v>121</v>
      </c>
      <c r="C5" s="107"/>
      <c r="D5" s="13"/>
      <c r="E5" s="13"/>
      <c r="F5" s="14">
        <f>I4/L4/1.95</f>
        <v>0.63324379614304427</v>
      </c>
      <c r="G5" s="14">
        <f>J4/L4/0.35</f>
        <v>0.64859516089802716</v>
      </c>
      <c r="H5" s="14">
        <f>K4/L4/0.075</f>
        <v>0.2623946234972076</v>
      </c>
      <c r="I5" s="15"/>
      <c r="J5" s="15"/>
      <c r="K5" s="15"/>
      <c r="L5" s="15"/>
      <c r="M5" s="15"/>
      <c r="N5" s="13"/>
      <c r="O5" s="14">
        <f>O4/L4</f>
        <v>0.39846402133157416</v>
      </c>
      <c r="P5" s="14">
        <f>P4/M4</f>
        <v>0.31639511651411184</v>
      </c>
      <c r="Q5" s="13"/>
      <c r="R5" s="13"/>
      <c r="S5" s="14">
        <f>S4/R4</f>
        <v>0.83453237410071945</v>
      </c>
      <c r="T5" s="16"/>
      <c r="U5" s="16"/>
      <c r="V5" s="13">
        <f>0.19*L4</f>
        <v>274192.61</v>
      </c>
      <c r="W5" s="13"/>
      <c r="X5" s="13"/>
      <c r="Y5" s="13">
        <v>16496</v>
      </c>
      <c r="Z5" s="17"/>
      <c r="AA5" s="18"/>
      <c r="AB5" s="13"/>
      <c r="AC5" s="18"/>
      <c r="AD5" s="18"/>
    </row>
    <row r="6" spans="1:30">
      <c r="B6" s="48" t="s">
        <v>121</v>
      </c>
      <c r="C6" s="106" t="s">
        <v>2</v>
      </c>
      <c r="D6" s="8">
        <v>2668</v>
      </c>
      <c r="E6" s="8">
        <v>30</v>
      </c>
      <c r="F6" s="8">
        <v>1517</v>
      </c>
      <c r="G6" s="8">
        <v>675</v>
      </c>
      <c r="H6" s="8">
        <v>50</v>
      </c>
      <c r="I6" s="9">
        <f>F6*540</f>
        <v>819180</v>
      </c>
      <c r="J6" s="9">
        <f>G6*400</f>
        <v>270000</v>
      </c>
      <c r="K6" s="9">
        <f>H6*200</f>
        <v>10000</v>
      </c>
      <c r="L6" s="58">
        <v>1143766</v>
      </c>
      <c r="M6" s="58">
        <v>612793</v>
      </c>
      <c r="N6" s="8">
        <v>2181</v>
      </c>
      <c r="O6" s="57">
        <v>217051</v>
      </c>
      <c r="P6" s="57">
        <v>75866</v>
      </c>
      <c r="Q6" s="8">
        <v>8389</v>
      </c>
      <c r="R6" s="8">
        <v>4676</v>
      </c>
      <c r="S6" s="8">
        <v>3434</v>
      </c>
      <c r="T6" s="10">
        <f>Y6+Y7</f>
        <v>9845</v>
      </c>
      <c r="U6" s="11">
        <f>V6/V7</f>
        <v>0.37725788040744807</v>
      </c>
      <c r="V6" s="57">
        <v>81984</v>
      </c>
      <c r="W6" s="57">
        <v>22173</v>
      </c>
      <c r="X6" s="8">
        <v>23111</v>
      </c>
      <c r="Y6" s="8">
        <v>65</v>
      </c>
      <c r="Z6" s="11">
        <f>AA6/AC6</f>
        <v>5.0828116980845637E-3</v>
      </c>
      <c r="AA6" s="12">
        <f>20651.1</f>
        <v>20651.099999999999</v>
      </c>
      <c r="AB6" s="8">
        <v>84941</v>
      </c>
      <c r="AC6" s="12">
        <f>4062928.4</f>
        <v>4062928.4</v>
      </c>
      <c r="AD6" s="12">
        <f>AC6*1000/L6</f>
        <v>3552.2374331812625</v>
      </c>
    </row>
    <row r="7" spans="1:30">
      <c r="B7" s="48" t="s">
        <v>121</v>
      </c>
      <c r="C7" s="107"/>
      <c r="D7" s="13"/>
      <c r="E7" s="13"/>
      <c r="F7" s="14">
        <f>I6/L6/1.95</f>
        <v>0.3672886829056885</v>
      </c>
      <c r="G7" s="14">
        <f>J6/L6/0.35</f>
        <v>0.67446363279601906</v>
      </c>
      <c r="H7" s="14">
        <f>K6/L6/0.075</f>
        <v>0.11657396122400329</v>
      </c>
      <c r="I7" s="15"/>
      <c r="J7" s="15"/>
      <c r="K7" s="15"/>
      <c r="L7" s="15"/>
      <c r="M7" s="15"/>
      <c r="N7" s="13"/>
      <c r="O7" s="14">
        <f>O6/L6</f>
        <v>0.18976871143223351</v>
      </c>
      <c r="P7" s="14">
        <f>P6/M6</f>
        <v>0.12380363352714538</v>
      </c>
      <c r="Q7" s="13"/>
      <c r="R7" s="13"/>
      <c r="S7" s="14">
        <f>S6/R6</f>
        <v>0.73438836612489311</v>
      </c>
      <c r="T7" s="16"/>
      <c r="U7" s="16"/>
      <c r="V7" s="13">
        <f>0.19*L6</f>
        <v>217315.54</v>
      </c>
      <c r="W7" s="13"/>
      <c r="X7" s="13"/>
      <c r="Y7" s="13">
        <v>9780</v>
      </c>
      <c r="Z7" s="17"/>
      <c r="AA7" s="18"/>
      <c r="AB7" s="13"/>
      <c r="AC7" s="18"/>
      <c r="AD7" s="18"/>
    </row>
    <row r="8" spans="1:30" s="6" customFormat="1">
      <c r="A8" s="49"/>
      <c r="B8" s="48" t="s">
        <v>121</v>
      </c>
      <c r="C8" s="106" t="s">
        <v>3</v>
      </c>
      <c r="D8" s="8">
        <v>3030</v>
      </c>
      <c r="E8" s="8">
        <v>33</v>
      </c>
      <c r="F8" s="8">
        <v>1554</v>
      </c>
      <c r="G8" s="8">
        <v>716</v>
      </c>
      <c r="H8" s="8">
        <v>57</v>
      </c>
      <c r="I8" s="9">
        <f>F8*540</f>
        <v>839160</v>
      </c>
      <c r="J8" s="9">
        <f>G8*400</f>
        <v>286400</v>
      </c>
      <c r="K8" s="9">
        <f>H8*200</f>
        <v>11400</v>
      </c>
      <c r="L8" s="58">
        <v>1305791</v>
      </c>
      <c r="M8" s="58">
        <v>706119</v>
      </c>
      <c r="N8" s="8">
        <v>3112</v>
      </c>
      <c r="O8" s="57">
        <v>450342</v>
      </c>
      <c r="P8" s="57">
        <v>183636</v>
      </c>
      <c r="Q8" s="8">
        <v>24285</v>
      </c>
      <c r="R8" s="8">
        <v>6306</v>
      </c>
      <c r="S8" s="8">
        <v>4002</v>
      </c>
      <c r="T8" s="10">
        <f>Y8+Y9</f>
        <v>46362</v>
      </c>
      <c r="U8" s="11">
        <f>V8/V9</f>
        <v>0.33016487002090966</v>
      </c>
      <c r="V8" s="57">
        <v>81914</v>
      </c>
      <c r="W8" s="57">
        <v>133068</v>
      </c>
      <c r="X8" s="8">
        <v>34256</v>
      </c>
      <c r="Y8" s="8">
        <v>77</v>
      </c>
      <c r="Z8" s="11">
        <f>AA8/AC8</f>
        <v>0.2186973730531003</v>
      </c>
      <c r="AA8" s="12">
        <f>487297.9</f>
        <v>487297.9</v>
      </c>
      <c r="AB8" s="8">
        <v>287233</v>
      </c>
      <c r="AC8" s="12">
        <f>2228183.6</f>
        <v>2228183.6</v>
      </c>
      <c r="AD8" s="12">
        <f>AC8*1000/L8</f>
        <v>1706.3860908828442</v>
      </c>
    </row>
    <row r="9" spans="1:30" s="6" customFormat="1">
      <c r="A9" s="49"/>
      <c r="B9" s="48" t="s">
        <v>121</v>
      </c>
      <c r="C9" s="107"/>
      <c r="D9" s="13"/>
      <c r="E9" s="13"/>
      <c r="F9" s="14">
        <f>I8/L8/1.95</f>
        <v>0.32956151599946815</v>
      </c>
      <c r="G9" s="14">
        <f>J8/L8/0.35</f>
        <v>0.626659024519019</v>
      </c>
      <c r="H9" s="14">
        <f>K8/L8/0.075</f>
        <v>0.11640453947071162</v>
      </c>
      <c r="I9" s="15"/>
      <c r="J9" s="15"/>
      <c r="K9" s="15"/>
      <c r="L9" s="15"/>
      <c r="M9" s="15"/>
      <c r="N9" s="13"/>
      <c r="O9" s="14">
        <f>O8/L8</f>
        <v>0.34488061259420533</v>
      </c>
      <c r="P9" s="14">
        <f>P8/M8</f>
        <v>0.26006381360648845</v>
      </c>
      <c r="Q9" s="13"/>
      <c r="R9" s="13"/>
      <c r="S9" s="14">
        <f>S8/R8</f>
        <v>0.63463368220742156</v>
      </c>
      <c r="T9" s="16"/>
      <c r="U9" s="16"/>
      <c r="V9" s="13">
        <f>0.19*L8</f>
        <v>248100.29</v>
      </c>
      <c r="W9" s="13"/>
      <c r="X9" s="13"/>
      <c r="Y9" s="13">
        <v>46285</v>
      </c>
      <c r="Z9" s="17"/>
      <c r="AA9" s="18"/>
      <c r="AB9" s="13"/>
      <c r="AC9" s="18"/>
      <c r="AD9" s="18"/>
    </row>
    <row r="10" spans="1:30">
      <c r="B10" s="48" t="s">
        <v>121</v>
      </c>
      <c r="C10" s="106" t="s">
        <v>4</v>
      </c>
      <c r="D10" s="8">
        <v>6048</v>
      </c>
      <c r="E10" s="8">
        <v>25</v>
      </c>
      <c r="F10" s="8">
        <v>4171</v>
      </c>
      <c r="G10" s="8">
        <v>1428</v>
      </c>
      <c r="H10" s="8">
        <v>83</v>
      </c>
      <c r="I10" s="9">
        <f>F10*540</f>
        <v>2252340</v>
      </c>
      <c r="J10" s="9">
        <f>G10*400</f>
        <v>571200</v>
      </c>
      <c r="K10" s="9">
        <f>H10*200</f>
        <v>16600</v>
      </c>
      <c r="L10" s="58">
        <v>2160604</v>
      </c>
      <c r="M10" s="58">
        <v>1153557</v>
      </c>
      <c r="N10" s="8">
        <v>6190</v>
      </c>
      <c r="O10" s="57">
        <v>818679</v>
      </c>
      <c r="P10" s="57">
        <v>301128</v>
      </c>
      <c r="Q10" s="8">
        <v>83677</v>
      </c>
      <c r="R10" s="8">
        <v>15772</v>
      </c>
      <c r="S10" s="8">
        <v>12932</v>
      </c>
      <c r="T10" s="10">
        <f>Y10+Y11</f>
        <v>19947</v>
      </c>
      <c r="U10" s="11">
        <f>V10/V11</f>
        <v>0.38895312801907533</v>
      </c>
      <c r="V10" s="57">
        <v>159671</v>
      </c>
      <c r="W10" s="57">
        <v>263747</v>
      </c>
      <c r="X10" s="8">
        <v>74979</v>
      </c>
      <c r="Y10" s="8">
        <v>120</v>
      </c>
      <c r="Z10" s="11">
        <f>AA10/AC10</f>
        <v>9.8618399206535479E-2</v>
      </c>
      <c r="AA10" s="12">
        <f>362623.7</f>
        <v>362623.7</v>
      </c>
      <c r="AB10" s="8">
        <v>402594</v>
      </c>
      <c r="AC10" s="12">
        <f>3677039</f>
        <v>3677039</v>
      </c>
      <c r="AD10" s="12">
        <f>AC10*1000/L10</f>
        <v>1701.8569807331653</v>
      </c>
    </row>
    <row r="11" spans="1:30">
      <c r="B11" s="48" t="s">
        <v>121</v>
      </c>
      <c r="C11" s="107"/>
      <c r="D11" s="13"/>
      <c r="E11" s="13"/>
      <c r="F11" s="14">
        <f>I10/L10/1.95</f>
        <v>0.534594101393015</v>
      </c>
      <c r="G11" s="14">
        <f>J10/L10/0.35</f>
        <v>0.75534433889782671</v>
      </c>
      <c r="H11" s="14">
        <f>K10/L10/0.075</f>
        <v>0.10244049040607781</v>
      </c>
      <c r="I11" s="15"/>
      <c r="J11" s="15"/>
      <c r="K11" s="15"/>
      <c r="L11" s="15"/>
      <c r="M11" s="15"/>
      <c r="N11" s="13"/>
      <c r="O11" s="14">
        <f>O10/L10</f>
        <v>0.37891210050522911</v>
      </c>
      <c r="P11" s="14">
        <f>P10/M10</f>
        <v>0.26104301738015545</v>
      </c>
      <c r="Q11" s="13"/>
      <c r="R11" s="13"/>
      <c r="S11" s="14">
        <f>S10/R10</f>
        <v>0.81993406036013183</v>
      </c>
      <c r="T11" s="16"/>
      <c r="U11" s="16"/>
      <c r="V11" s="13">
        <f>0.19*L10</f>
        <v>410514.76</v>
      </c>
      <c r="W11" s="13"/>
      <c r="X11" s="13"/>
      <c r="Y11" s="13">
        <v>19827</v>
      </c>
      <c r="Z11" s="17"/>
      <c r="AA11" s="18"/>
      <c r="AB11" s="13"/>
      <c r="AC11" s="18"/>
      <c r="AD11" s="18"/>
    </row>
    <row r="12" spans="1:30">
      <c r="B12" s="48" t="s">
        <v>121</v>
      </c>
      <c r="C12" s="106" t="s">
        <v>5</v>
      </c>
      <c r="D12" s="8">
        <v>2021</v>
      </c>
      <c r="E12" s="8">
        <v>21</v>
      </c>
      <c r="F12" s="8">
        <v>1030</v>
      </c>
      <c r="G12" s="8">
        <v>518</v>
      </c>
      <c r="H12" s="8">
        <v>30</v>
      </c>
      <c r="I12" s="9">
        <f>F12*540</f>
        <v>556200</v>
      </c>
      <c r="J12" s="9">
        <f>G12*400</f>
        <v>207200</v>
      </c>
      <c r="K12" s="9">
        <f>H12*200</f>
        <v>6000</v>
      </c>
      <c r="L12" s="58">
        <v>961583</v>
      </c>
      <c r="M12" s="58">
        <v>521295</v>
      </c>
      <c r="N12" s="8">
        <v>1993</v>
      </c>
      <c r="O12" s="57">
        <v>247633</v>
      </c>
      <c r="P12" s="57">
        <v>100247</v>
      </c>
      <c r="Q12" s="8">
        <v>9615</v>
      </c>
      <c r="R12" s="8">
        <v>7187</v>
      </c>
      <c r="S12" s="8">
        <v>4461</v>
      </c>
      <c r="T12" s="10">
        <f>Y12+Y13</f>
        <v>8345</v>
      </c>
      <c r="U12" s="11">
        <f>V12/V13</f>
        <v>0.24051349099404454</v>
      </c>
      <c r="V12" s="57">
        <v>43942</v>
      </c>
      <c r="W12" s="57">
        <v>17064</v>
      </c>
      <c r="X12" s="8">
        <v>31701</v>
      </c>
      <c r="Y12" s="8">
        <v>46</v>
      </c>
      <c r="Z12" s="11">
        <f>AA12/AC12</f>
        <v>0.14730842068819536</v>
      </c>
      <c r="AA12" s="12">
        <f>167300</f>
        <v>167300</v>
      </c>
      <c r="AB12" s="8">
        <v>121060</v>
      </c>
      <c r="AC12" s="12">
        <f>1135712.4</f>
        <v>1135712.3999999999</v>
      </c>
      <c r="AD12" s="54">
        <f>AC12*1000/L12</f>
        <v>1181.0861880877678</v>
      </c>
    </row>
    <row r="13" spans="1:30">
      <c r="B13" s="48" t="s">
        <v>121</v>
      </c>
      <c r="C13" s="107"/>
      <c r="D13" s="13"/>
      <c r="E13" s="13"/>
      <c r="F13" s="14">
        <f>I12/L12/1.95</f>
        <v>0.2966262602716242</v>
      </c>
      <c r="G13" s="14">
        <f>J12/L12/0.35</f>
        <v>0.61565148302330641</v>
      </c>
      <c r="H13" s="14">
        <f>K12/L12/0.075</f>
        <v>8.3196146354500858E-2</v>
      </c>
      <c r="I13" s="15"/>
      <c r="J13" s="15"/>
      <c r="K13" s="15"/>
      <c r="L13" s="15"/>
      <c r="M13" s="15"/>
      <c r="N13" s="13"/>
      <c r="O13" s="14">
        <f>O12/L12</f>
        <v>0.2575263913775514</v>
      </c>
      <c r="P13" s="14">
        <f>P12/M12</f>
        <v>0.19230378192769929</v>
      </c>
      <c r="Q13" s="13"/>
      <c r="R13" s="13"/>
      <c r="S13" s="14">
        <f>S12/R12</f>
        <v>0.62070404897732012</v>
      </c>
      <c r="T13" s="16"/>
      <c r="U13" s="16"/>
      <c r="V13" s="13">
        <f>0.19*L12</f>
        <v>182700.77</v>
      </c>
      <c r="W13" s="13"/>
      <c r="X13" s="13"/>
      <c r="Y13" s="13">
        <v>8299</v>
      </c>
      <c r="Z13" s="17"/>
      <c r="AA13" s="18"/>
      <c r="AB13" s="13"/>
      <c r="AC13" s="18"/>
      <c r="AD13" s="18"/>
    </row>
    <row r="14" spans="1:30">
      <c r="B14" s="48" t="s">
        <v>121</v>
      </c>
      <c r="C14" s="106" t="s">
        <v>6</v>
      </c>
      <c r="D14" s="8">
        <v>2041</v>
      </c>
      <c r="E14" s="8">
        <v>18</v>
      </c>
      <c r="F14" s="8">
        <v>1066</v>
      </c>
      <c r="G14" s="8">
        <v>592</v>
      </c>
      <c r="H14" s="8">
        <v>49</v>
      </c>
      <c r="I14" s="9">
        <f>F14*540</f>
        <v>575640</v>
      </c>
      <c r="J14" s="9">
        <f>G14*400</f>
        <v>236800</v>
      </c>
      <c r="K14" s="9">
        <f>H14*200</f>
        <v>9800</v>
      </c>
      <c r="L14" s="58">
        <v>939189</v>
      </c>
      <c r="M14" s="58">
        <v>498240</v>
      </c>
      <c r="N14" s="8">
        <v>2342</v>
      </c>
      <c r="O14" s="57">
        <v>317997</v>
      </c>
      <c r="P14" s="57">
        <v>139673</v>
      </c>
      <c r="Q14" s="8">
        <v>11782</v>
      </c>
      <c r="R14" s="8">
        <v>5193</v>
      </c>
      <c r="S14" s="8">
        <v>2078</v>
      </c>
      <c r="T14" s="10">
        <f>Y14+Y15</f>
        <v>39497</v>
      </c>
      <c r="U14" s="11">
        <f>V14/V15</f>
        <v>0.6470476123549147</v>
      </c>
      <c r="V14" s="57">
        <v>115463</v>
      </c>
      <c r="W14" s="57">
        <v>79696</v>
      </c>
      <c r="X14" s="8">
        <v>35591</v>
      </c>
      <c r="Y14" s="8">
        <v>77</v>
      </c>
      <c r="Z14" s="11">
        <f>AA14/AC14</f>
        <v>1.3740646158726527E-2</v>
      </c>
      <c r="AA14" s="12">
        <f>34955.4</f>
        <v>34955.4</v>
      </c>
      <c r="AB14" s="8">
        <v>227561</v>
      </c>
      <c r="AC14" s="12">
        <f>2543941.5</f>
        <v>2543941.5</v>
      </c>
      <c r="AD14" s="12">
        <f>AC14*1000/L14</f>
        <v>2708.6576823195333</v>
      </c>
    </row>
    <row r="15" spans="1:30">
      <c r="B15" s="48" t="s">
        <v>121</v>
      </c>
      <c r="C15" s="107"/>
      <c r="D15" s="13"/>
      <c r="E15" s="13"/>
      <c r="F15" s="14">
        <f>I14/L14/1.95</f>
        <v>0.31431373237974464</v>
      </c>
      <c r="G15" s="14">
        <f>J14/L14/0.35</f>
        <v>0.72037835682852824</v>
      </c>
      <c r="H15" s="14">
        <f>K14/L14/0.075</f>
        <v>0.13912712634695112</v>
      </c>
      <c r="I15" s="15"/>
      <c r="J15" s="15"/>
      <c r="K15" s="15"/>
      <c r="L15" s="15"/>
      <c r="M15" s="15"/>
      <c r="N15" s="13"/>
      <c r="O15" s="14">
        <f>O14/L14</f>
        <v>0.33858680201748531</v>
      </c>
      <c r="P15" s="14">
        <f>P14/M14</f>
        <v>0.28033277135517021</v>
      </c>
      <c r="Q15" s="13"/>
      <c r="R15" s="13"/>
      <c r="S15" s="14">
        <f>S14/R14</f>
        <v>0.40015405353360295</v>
      </c>
      <c r="T15" s="16"/>
      <c r="U15" s="16"/>
      <c r="V15" s="13">
        <f>0.19*L14</f>
        <v>178445.91</v>
      </c>
      <c r="W15" s="13"/>
      <c r="X15" s="13"/>
      <c r="Y15" s="13">
        <v>39420</v>
      </c>
      <c r="Z15" s="17"/>
      <c r="AA15" s="18"/>
      <c r="AB15" s="13"/>
      <c r="AC15" s="18"/>
      <c r="AD15" s="18"/>
    </row>
    <row r="16" spans="1:30">
      <c r="B16" s="48" t="s">
        <v>121</v>
      </c>
      <c r="C16" s="106" t="s">
        <v>7</v>
      </c>
      <c r="D16" s="8">
        <v>1272</v>
      </c>
      <c r="E16" s="8">
        <v>6</v>
      </c>
      <c r="F16" s="8">
        <v>653</v>
      </c>
      <c r="G16" s="8">
        <v>380</v>
      </c>
      <c r="H16" s="8">
        <v>32</v>
      </c>
      <c r="I16" s="9">
        <f>F16*540</f>
        <v>352620</v>
      </c>
      <c r="J16" s="9">
        <f>G16*400</f>
        <v>152000</v>
      </c>
      <c r="K16" s="9">
        <f>H16*200</f>
        <v>6400</v>
      </c>
      <c r="L16" s="58">
        <v>605800</v>
      </c>
      <c r="M16" s="58">
        <v>323722</v>
      </c>
      <c r="N16" s="8">
        <v>1586</v>
      </c>
      <c r="O16" s="57">
        <v>197857</v>
      </c>
      <c r="P16" s="57">
        <v>82765</v>
      </c>
      <c r="Q16" s="8">
        <v>6254</v>
      </c>
      <c r="R16" s="8">
        <v>4144</v>
      </c>
      <c r="S16" s="8">
        <v>2973</v>
      </c>
      <c r="T16" s="10">
        <f>Y16+Y17</f>
        <v>8897</v>
      </c>
      <c r="U16" s="11">
        <f>V16/V17</f>
        <v>0.30151517784226167</v>
      </c>
      <c r="V16" s="57">
        <v>34705</v>
      </c>
      <c r="W16" s="57">
        <v>38240</v>
      </c>
      <c r="X16" s="8">
        <v>13116</v>
      </c>
      <c r="Y16" s="8">
        <v>36</v>
      </c>
      <c r="Z16" s="11">
        <f>AA16/AC16</f>
        <v>0.14035157264639811</v>
      </c>
      <c r="AA16" s="12">
        <f>90992.9</f>
        <v>90992.9</v>
      </c>
      <c r="AB16" s="8">
        <v>95018</v>
      </c>
      <c r="AC16" s="12">
        <f>648321.2</f>
        <v>648321.19999999995</v>
      </c>
      <c r="AD16" s="12">
        <f>AC16*1000/L16</f>
        <v>1070.190161769561</v>
      </c>
    </row>
    <row r="17" spans="2:30">
      <c r="B17" s="48" t="s">
        <v>121</v>
      </c>
      <c r="C17" s="107"/>
      <c r="D17" s="13"/>
      <c r="E17" s="13"/>
      <c r="F17" s="14">
        <f>I16/L16/1.95</f>
        <v>0.29849912385402644</v>
      </c>
      <c r="G17" s="14">
        <f>J16/L16/0.35</f>
        <v>0.71687968683676839</v>
      </c>
      <c r="H17" s="14">
        <f>K16/L16/0.075</f>
        <v>0.14086057004511943</v>
      </c>
      <c r="I17" s="15"/>
      <c r="J17" s="15"/>
      <c r="K17" s="15"/>
      <c r="L17" s="15"/>
      <c r="M17" s="15"/>
      <c r="N17" s="13"/>
      <c r="O17" s="14">
        <f>O16/L16</f>
        <v>0.32660448993067021</v>
      </c>
      <c r="P17" s="14">
        <f>P16/M16</f>
        <v>0.25566689937662562</v>
      </c>
      <c r="Q17" s="13"/>
      <c r="R17" s="13"/>
      <c r="S17" s="14">
        <f>S16/R16</f>
        <v>0.71742277992277992</v>
      </c>
      <c r="T17" s="16"/>
      <c r="U17" s="16"/>
      <c r="V17" s="13">
        <f>0.19*L16</f>
        <v>115102</v>
      </c>
      <c r="W17" s="13"/>
      <c r="X17" s="13"/>
      <c r="Y17" s="13">
        <v>8861</v>
      </c>
      <c r="Z17" s="17"/>
      <c r="AA17" s="18"/>
      <c r="AB17" s="13"/>
      <c r="AC17" s="18"/>
      <c r="AD17" s="18"/>
    </row>
    <row r="18" spans="2:30">
      <c r="B18" s="48" t="s">
        <v>121</v>
      </c>
      <c r="C18" s="106" t="s">
        <v>8</v>
      </c>
      <c r="D18" s="8">
        <v>2115</v>
      </c>
      <c r="E18" s="8">
        <v>13</v>
      </c>
      <c r="F18" s="8">
        <v>1159</v>
      </c>
      <c r="G18" s="8">
        <v>659</v>
      </c>
      <c r="H18" s="8">
        <v>35</v>
      </c>
      <c r="I18" s="9">
        <f>F18*540</f>
        <v>625860</v>
      </c>
      <c r="J18" s="9">
        <f>G18*400</f>
        <v>263600</v>
      </c>
      <c r="K18" s="9">
        <f>H18*200</f>
        <v>7000</v>
      </c>
      <c r="L18" s="58">
        <v>1036610</v>
      </c>
      <c r="M18" s="58">
        <v>559537</v>
      </c>
      <c r="N18" s="8">
        <v>2264</v>
      </c>
      <c r="O18" s="57">
        <v>346835</v>
      </c>
      <c r="P18" s="57">
        <v>92857</v>
      </c>
      <c r="Q18" s="8">
        <v>19928</v>
      </c>
      <c r="R18" s="8">
        <v>9037</v>
      </c>
      <c r="S18" s="8">
        <v>5445</v>
      </c>
      <c r="T18" s="10">
        <f>Y18+Y19</f>
        <v>7045</v>
      </c>
      <c r="U18" s="11">
        <f>V18/V19</f>
        <v>0.29441616118125935</v>
      </c>
      <c r="V18" s="57">
        <v>57987</v>
      </c>
      <c r="W18" s="57">
        <v>178792</v>
      </c>
      <c r="X18" s="8">
        <v>35262</v>
      </c>
      <c r="Y18" s="8">
        <v>69</v>
      </c>
      <c r="Z18" s="11">
        <f>AA18/AC18</f>
        <v>0.46616399874049047</v>
      </c>
      <c r="AA18" s="12">
        <f>626531.5</f>
        <v>626531.5</v>
      </c>
      <c r="AB18" s="8">
        <v>143689</v>
      </c>
      <c r="AC18" s="12">
        <f>1344015.2</f>
        <v>1344015.2</v>
      </c>
      <c r="AD18" s="54">
        <f>AC18*1000/L18</f>
        <v>1296.5485573166379</v>
      </c>
    </row>
    <row r="19" spans="2:30">
      <c r="B19" s="48" t="s">
        <v>121</v>
      </c>
      <c r="C19" s="107"/>
      <c r="D19" s="13"/>
      <c r="E19" s="13"/>
      <c r="F19" s="14">
        <f>I18/L18/1.95</f>
        <v>0.30961870535094799</v>
      </c>
      <c r="G19" s="14">
        <f>J18/L18/0.35</f>
        <v>0.72654407843148061</v>
      </c>
      <c r="H19" s="14">
        <f>K18/L18/0.075</f>
        <v>9.0037075981645301E-2</v>
      </c>
      <c r="I19" s="15"/>
      <c r="J19" s="15"/>
      <c r="K19" s="15"/>
      <c r="L19" s="15"/>
      <c r="M19" s="15"/>
      <c r="N19" s="13"/>
      <c r="O19" s="14">
        <f>O18/L18</f>
        <v>0.33458581337243515</v>
      </c>
      <c r="P19" s="14">
        <f>P18/M18</f>
        <v>0.16595327922907691</v>
      </c>
      <c r="Q19" s="13"/>
      <c r="R19" s="13"/>
      <c r="S19" s="14">
        <f>S18/R18</f>
        <v>0.60252296115967685</v>
      </c>
      <c r="T19" s="16"/>
      <c r="U19" s="16"/>
      <c r="V19" s="13">
        <f>0.19*L18</f>
        <v>196955.9</v>
      </c>
      <c r="W19" s="13"/>
      <c r="X19" s="13"/>
      <c r="Y19" s="13">
        <v>6976</v>
      </c>
      <c r="Z19" s="17"/>
      <c r="AA19" s="18"/>
      <c r="AB19" s="13"/>
      <c r="AC19" s="18"/>
      <c r="AD19" s="18"/>
    </row>
    <row r="20" spans="2:30">
      <c r="B20" s="48" t="s">
        <v>121</v>
      </c>
      <c r="C20" s="106" t="s">
        <v>9</v>
      </c>
      <c r="D20" s="8">
        <v>2989</v>
      </c>
      <c r="E20" s="8">
        <v>21</v>
      </c>
      <c r="F20" s="8">
        <v>1941</v>
      </c>
      <c r="G20" s="8">
        <v>602</v>
      </c>
      <c r="H20" s="8">
        <v>42</v>
      </c>
      <c r="I20" s="9">
        <f>F20*540</f>
        <v>1048140</v>
      </c>
      <c r="J20" s="9">
        <f>G20*400</f>
        <v>240800</v>
      </c>
      <c r="K20" s="9">
        <f>H20*200</f>
        <v>8400</v>
      </c>
      <c r="L20" s="58">
        <v>1076349</v>
      </c>
      <c r="M20" s="58">
        <v>578070</v>
      </c>
      <c r="N20" s="8">
        <v>2204</v>
      </c>
      <c r="O20" s="57">
        <v>366353</v>
      </c>
      <c r="P20" s="57">
        <v>132981</v>
      </c>
      <c r="Q20" s="8">
        <v>59700</v>
      </c>
      <c r="R20" s="8">
        <v>5620</v>
      </c>
      <c r="S20" s="8">
        <v>3301</v>
      </c>
      <c r="T20" s="10">
        <f>Y20+Y21</f>
        <v>21300</v>
      </c>
      <c r="U20" s="11">
        <f>V20/V21</f>
        <v>0.3367622250873335</v>
      </c>
      <c r="V20" s="57">
        <v>68870</v>
      </c>
      <c r="W20" s="8">
        <v>220366</v>
      </c>
      <c r="X20" s="8">
        <v>38333</v>
      </c>
      <c r="Y20" s="8">
        <v>63</v>
      </c>
      <c r="Z20" s="11">
        <f>AA20/AC20</f>
        <v>0.13295552347877851</v>
      </c>
      <c r="AA20" s="12">
        <f>229959.9</f>
        <v>229959.9</v>
      </c>
      <c r="AB20" s="8">
        <v>202175</v>
      </c>
      <c r="AC20" s="12">
        <f>1729600.2</f>
        <v>1729600.2</v>
      </c>
      <c r="AD20" s="12">
        <f>AC20*1000/L20</f>
        <v>1606.9139284748719</v>
      </c>
    </row>
    <row r="21" spans="2:30">
      <c r="B21" s="48" t="s">
        <v>121</v>
      </c>
      <c r="C21" s="107"/>
      <c r="D21" s="13"/>
      <c r="E21" s="13"/>
      <c r="F21" s="14">
        <f>I20/L20/1.95</f>
        <v>0.49938049118612299</v>
      </c>
      <c r="G21" s="14">
        <f>J20/L20/0.35</f>
        <v>0.63919788098469932</v>
      </c>
      <c r="H21" s="14">
        <f>K20/L20/0.075</f>
        <v>0.10405546899750918</v>
      </c>
      <c r="I21" s="15"/>
      <c r="J21" s="15"/>
      <c r="K21" s="15"/>
      <c r="L21" s="15"/>
      <c r="M21" s="15"/>
      <c r="N21" s="13"/>
      <c r="O21" s="14">
        <f>O20/L20</f>
        <v>0.34036636815753996</v>
      </c>
      <c r="P21" s="14">
        <f>P20/M20</f>
        <v>0.2300430743681561</v>
      </c>
      <c r="Q21" s="13"/>
      <c r="R21" s="13"/>
      <c r="S21" s="14">
        <f>S20/R20</f>
        <v>0.58736654804270461</v>
      </c>
      <c r="T21" s="16"/>
      <c r="U21" s="16"/>
      <c r="V21" s="13">
        <f>0.19*L20</f>
        <v>204506.31</v>
      </c>
      <c r="W21" s="13"/>
      <c r="X21" s="13"/>
      <c r="Y21" s="13">
        <v>21237</v>
      </c>
      <c r="Z21" s="17"/>
      <c r="AA21" s="18"/>
      <c r="AB21" s="13"/>
      <c r="AC21" s="18"/>
      <c r="AD21" s="18"/>
    </row>
    <row r="22" spans="2:30">
      <c r="B22" s="48" t="s">
        <v>121</v>
      </c>
      <c r="C22" s="106" t="s">
        <v>10</v>
      </c>
      <c r="D22" s="8">
        <v>9196</v>
      </c>
      <c r="E22" s="8">
        <v>126</v>
      </c>
      <c r="F22" s="8">
        <v>4901</v>
      </c>
      <c r="G22" s="8">
        <v>2207</v>
      </c>
      <c r="H22" s="8">
        <v>271</v>
      </c>
      <c r="I22" s="9">
        <f>F22*540</f>
        <v>2646540</v>
      </c>
      <c r="J22" s="9">
        <f>G22*400</f>
        <v>882800</v>
      </c>
      <c r="K22" s="9">
        <f>H22*200</f>
        <v>54200</v>
      </c>
      <c r="L22" s="58">
        <v>6740268</v>
      </c>
      <c r="M22" s="58">
        <v>3590706</v>
      </c>
      <c r="N22" s="8">
        <v>19920</v>
      </c>
      <c r="O22" s="57">
        <v>2229152</v>
      </c>
      <c r="P22" s="57">
        <v>820460</v>
      </c>
      <c r="Q22" s="8">
        <v>191766</v>
      </c>
      <c r="R22" s="8">
        <v>28069</v>
      </c>
      <c r="S22" s="8">
        <v>13854</v>
      </c>
      <c r="T22" s="10">
        <f>Y22+Y23</f>
        <v>33482</v>
      </c>
      <c r="U22" s="11">
        <f>V22/V23</f>
        <v>0.17974843605312837</v>
      </c>
      <c r="V22" s="57">
        <v>230195</v>
      </c>
      <c r="W22" s="57">
        <v>602015</v>
      </c>
      <c r="X22" s="8">
        <v>162234</v>
      </c>
      <c r="Y22" s="8">
        <v>510</v>
      </c>
      <c r="Z22" s="11">
        <f>AA22/AC22</f>
        <v>8.8409766855591806E-2</v>
      </c>
      <c r="AA22" s="12">
        <f>2081878.3</f>
        <v>2081878.3</v>
      </c>
      <c r="AB22" s="8">
        <v>1119997</v>
      </c>
      <c r="AC22" s="12">
        <f>23548057.8</f>
        <v>23548057.800000001</v>
      </c>
      <c r="AD22" s="12">
        <f>AC22*1000/L22</f>
        <v>3493.6382054838177</v>
      </c>
    </row>
    <row r="23" spans="2:30">
      <c r="B23" s="48" t="s">
        <v>121</v>
      </c>
      <c r="C23" s="107"/>
      <c r="D23" s="13"/>
      <c r="E23" s="13"/>
      <c r="F23" s="14">
        <f>I22/L22/1.95</f>
        <v>0.20135697868393365</v>
      </c>
      <c r="G23" s="14">
        <f>J22/L22/0.35</f>
        <v>0.37421148747879379</v>
      </c>
      <c r="H23" s="14">
        <f>K22/L22/0.075</f>
        <v>0.10721631048894001</v>
      </c>
      <c r="I23" s="15"/>
      <c r="J23" s="15"/>
      <c r="K23" s="15"/>
      <c r="L23" s="15"/>
      <c r="M23" s="15"/>
      <c r="N23" s="13"/>
      <c r="O23" s="14">
        <f>O22/L22</f>
        <v>0.3307215677477513</v>
      </c>
      <c r="P23" s="14">
        <f>P22/M22</f>
        <v>0.22849545465432147</v>
      </c>
      <c r="Q23" s="13"/>
      <c r="R23" s="13"/>
      <c r="S23" s="14">
        <f>S22/R22</f>
        <v>0.49356941821938793</v>
      </c>
      <c r="T23" s="16"/>
      <c r="U23" s="16"/>
      <c r="V23" s="13">
        <f>0.19*L22</f>
        <v>1280650.92</v>
      </c>
      <c r="W23" s="13"/>
      <c r="X23" s="13"/>
      <c r="Y23" s="13">
        <v>32972</v>
      </c>
      <c r="Z23" s="17"/>
      <c r="AA23" s="18"/>
      <c r="AB23" s="13"/>
      <c r="AC23" s="18"/>
      <c r="AD23" s="18"/>
    </row>
    <row r="24" spans="2:30">
      <c r="B24" s="48" t="s">
        <v>121</v>
      </c>
      <c r="C24" s="106" t="s">
        <v>11</v>
      </c>
      <c r="D24" s="8">
        <v>1874</v>
      </c>
      <c r="E24" s="8">
        <v>14</v>
      </c>
      <c r="F24" s="8">
        <v>1071</v>
      </c>
      <c r="G24" s="8">
        <v>586</v>
      </c>
      <c r="H24" s="8">
        <v>32</v>
      </c>
      <c r="I24" s="9">
        <f>F24*540</f>
        <v>578340</v>
      </c>
      <c r="J24" s="9">
        <f>G24*400</f>
        <v>234400</v>
      </c>
      <c r="K24" s="9">
        <f>H24*200</f>
        <v>6400</v>
      </c>
      <c r="L24" s="58">
        <v>711165</v>
      </c>
      <c r="M24" s="58">
        <v>385023</v>
      </c>
      <c r="N24" s="8">
        <v>1819</v>
      </c>
      <c r="O24" s="57">
        <v>136812</v>
      </c>
      <c r="P24" s="57">
        <v>49018</v>
      </c>
      <c r="Q24" s="8">
        <v>2274</v>
      </c>
      <c r="R24" s="8">
        <v>3458</v>
      </c>
      <c r="S24" s="8">
        <v>2261</v>
      </c>
      <c r="T24" s="10">
        <f>Y24+Y25</f>
        <v>8451</v>
      </c>
      <c r="U24" s="11">
        <f>V24/V25</f>
        <v>0.39055264027483444</v>
      </c>
      <c r="V24" s="57">
        <v>52772</v>
      </c>
      <c r="W24" s="57">
        <v>47041</v>
      </c>
      <c r="X24" s="8">
        <v>24626</v>
      </c>
      <c r="Y24" s="8">
        <v>50</v>
      </c>
      <c r="Z24" s="11">
        <f>AA24/AC24</f>
        <v>9.1014488426798434E-2</v>
      </c>
      <c r="AA24" s="12">
        <f>87798</f>
        <v>87798</v>
      </c>
      <c r="AB24" s="8">
        <v>92392</v>
      </c>
      <c r="AC24" s="12">
        <f>964659.6</f>
        <v>964659.6</v>
      </c>
      <c r="AD24" s="12">
        <f>AC24*1000/L24</f>
        <v>1356.4497690409398</v>
      </c>
    </row>
    <row r="25" spans="2:30">
      <c r="B25" s="48" t="s">
        <v>121</v>
      </c>
      <c r="C25" s="107"/>
      <c r="D25" s="13"/>
      <c r="E25" s="13"/>
      <c r="F25" s="14">
        <f>I24/L24/1.95</f>
        <v>0.41704051153335076</v>
      </c>
      <c r="G25" s="14">
        <f>J24/L24/0.35</f>
        <v>0.94171434999512882</v>
      </c>
      <c r="H25" s="14">
        <f>K24/L24/0.075</f>
        <v>0.11999090693908351</v>
      </c>
      <c r="I25" s="15"/>
      <c r="J25" s="15"/>
      <c r="K25" s="15"/>
      <c r="L25" s="15"/>
      <c r="M25" s="15"/>
      <c r="N25" s="13"/>
      <c r="O25" s="14">
        <f>O24/L24</f>
        <v>0.19237729640800658</v>
      </c>
      <c r="P25" s="14">
        <f>P24/M24</f>
        <v>0.12731187487500747</v>
      </c>
      <c r="Q25" s="13"/>
      <c r="R25" s="13"/>
      <c r="S25" s="14">
        <f>S24/R24</f>
        <v>0.65384615384615385</v>
      </c>
      <c r="T25" s="16"/>
      <c r="U25" s="16"/>
      <c r="V25" s="13">
        <f>0.19*L24</f>
        <v>135121.35</v>
      </c>
      <c r="W25" s="13"/>
      <c r="X25" s="13"/>
      <c r="Y25" s="13">
        <v>8401</v>
      </c>
      <c r="Z25" s="17"/>
      <c r="AA25" s="18"/>
      <c r="AB25" s="13"/>
      <c r="AC25" s="18"/>
      <c r="AD25" s="18"/>
    </row>
    <row r="26" spans="2:30">
      <c r="B26" s="48" t="s">
        <v>121</v>
      </c>
      <c r="C26" s="106" t="s">
        <v>12</v>
      </c>
      <c r="D26" s="8">
        <v>2840</v>
      </c>
      <c r="E26" s="8">
        <v>15</v>
      </c>
      <c r="F26" s="8">
        <v>1359</v>
      </c>
      <c r="G26" s="8">
        <v>516</v>
      </c>
      <c r="H26" s="8">
        <v>41</v>
      </c>
      <c r="I26" s="9">
        <f>F26*540</f>
        <v>733860</v>
      </c>
      <c r="J26" s="9">
        <f>G26*400</f>
        <v>206400</v>
      </c>
      <c r="K26" s="9">
        <f>H26*200</f>
        <v>8200</v>
      </c>
      <c r="L26" s="58">
        <v>1051637</v>
      </c>
      <c r="M26" s="58">
        <v>563918</v>
      </c>
      <c r="N26" s="8">
        <v>2382</v>
      </c>
      <c r="O26" s="57">
        <v>347634</v>
      </c>
      <c r="P26" s="57">
        <v>156497</v>
      </c>
      <c r="Q26" s="8">
        <v>16037</v>
      </c>
      <c r="R26" s="8">
        <v>9713</v>
      </c>
      <c r="S26" s="8">
        <v>7075</v>
      </c>
      <c r="T26" s="10">
        <f>Y26+Y27</f>
        <v>12303</v>
      </c>
      <c r="U26" s="11">
        <f>V26/V27</f>
        <v>0.34220333081712256</v>
      </c>
      <c r="V26" s="8">
        <v>68376</v>
      </c>
      <c r="W26" s="8">
        <v>136930</v>
      </c>
      <c r="X26" s="8">
        <v>41485</v>
      </c>
      <c r="Y26" s="8">
        <v>153</v>
      </c>
      <c r="Z26" s="11">
        <f>AA26/AC26</f>
        <v>8.6699420710392314E-2</v>
      </c>
      <c r="AA26" s="12">
        <f>271197.6</f>
        <v>271197.59999999998</v>
      </c>
      <c r="AB26" s="8">
        <v>168522</v>
      </c>
      <c r="AC26" s="12">
        <f>3128020.9</f>
        <v>3128020.9</v>
      </c>
      <c r="AD26" s="12">
        <f>AC26*1000/L26</f>
        <v>2974.4302454173826</v>
      </c>
    </row>
    <row r="27" spans="2:30">
      <c r="B27" s="48" t="s">
        <v>121</v>
      </c>
      <c r="C27" s="107"/>
      <c r="D27" s="13"/>
      <c r="E27" s="13"/>
      <c r="F27" s="14">
        <f>I26/L26/1.95</f>
        <v>0.35785966216333348</v>
      </c>
      <c r="G27" s="14">
        <f>J26/L26/0.35</f>
        <v>0.56075840400659716</v>
      </c>
      <c r="H27" s="14">
        <f>K26/L26/0.075</f>
        <v>0.10396489790044791</v>
      </c>
      <c r="I27" s="15"/>
      <c r="J27" s="15"/>
      <c r="K27" s="15"/>
      <c r="L27" s="15"/>
      <c r="M27" s="15"/>
      <c r="N27" s="13"/>
      <c r="O27" s="14">
        <f>O26/L26</f>
        <v>0.33056463399442965</v>
      </c>
      <c r="P27" s="14">
        <f>P26/M26</f>
        <v>0.27751729861433755</v>
      </c>
      <c r="Q27" s="13"/>
      <c r="R27" s="13"/>
      <c r="S27" s="14">
        <f>S26/R26</f>
        <v>0.72840523010398439</v>
      </c>
      <c r="T27" s="16"/>
      <c r="U27" s="16"/>
      <c r="V27" s="13">
        <f>0.19*L26</f>
        <v>199811.03</v>
      </c>
      <c r="W27" s="13"/>
      <c r="X27" s="13"/>
      <c r="Y27" s="13">
        <v>12150</v>
      </c>
      <c r="Z27" s="17"/>
      <c r="AA27" s="18"/>
      <c r="AB27" s="13"/>
      <c r="AC27" s="18"/>
      <c r="AD27" s="18"/>
    </row>
    <row r="28" spans="2:30">
      <c r="B28" s="48" t="s">
        <v>121</v>
      </c>
      <c r="C28" s="106" t="s">
        <v>13</v>
      </c>
      <c r="D28" s="8">
        <v>2443</v>
      </c>
      <c r="E28" s="8">
        <v>24</v>
      </c>
      <c r="F28" s="8">
        <v>1207</v>
      </c>
      <c r="G28" s="8">
        <v>924</v>
      </c>
      <c r="H28" s="8">
        <v>55</v>
      </c>
      <c r="I28" s="9">
        <f>F28*540</f>
        <v>651780</v>
      </c>
      <c r="J28" s="9">
        <f>G28*400</f>
        <v>369600</v>
      </c>
      <c r="K28" s="9">
        <f>H28*200</f>
        <v>11000</v>
      </c>
      <c r="L28" s="58">
        <v>898646</v>
      </c>
      <c r="M28" s="58">
        <v>477133</v>
      </c>
      <c r="N28" s="8">
        <v>2482</v>
      </c>
      <c r="O28" s="57">
        <v>257845</v>
      </c>
      <c r="P28" s="57">
        <v>108702</v>
      </c>
      <c r="Q28" s="8">
        <v>35013</v>
      </c>
      <c r="R28" s="8">
        <v>4125</v>
      </c>
      <c r="S28" s="8">
        <v>3345</v>
      </c>
      <c r="T28" s="10">
        <f>Y28+Y29</f>
        <v>31250</v>
      </c>
      <c r="U28" s="11">
        <f>V28/V29</f>
        <v>0.34795622935417342</v>
      </c>
      <c r="V28" s="57">
        <v>59411</v>
      </c>
      <c r="W28" s="57">
        <v>110403</v>
      </c>
      <c r="X28" s="8">
        <v>23687</v>
      </c>
      <c r="Y28" s="8">
        <v>31</v>
      </c>
      <c r="Z28" s="11">
        <f>AA28/AC28</f>
        <v>6.0295881087655399E-2</v>
      </c>
      <c r="AA28" s="12">
        <f>77535.8</f>
        <v>77535.8</v>
      </c>
      <c r="AB28" s="8">
        <v>55307</v>
      </c>
      <c r="AC28" s="12">
        <f>1285922</f>
        <v>1285922</v>
      </c>
      <c r="AD28" s="12">
        <f>AC28*1000/L28</f>
        <v>1430.9550145441031</v>
      </c>
    </row>
    <row r="29" spans="2:30">
      <c r="B29" s="48" t="s">
        <v>121</v>
      </c>
      <c r="C29" s="107"/>
      <c r="D29" s="13"/>
      <c r="E29" s="13"/>
      <c r="F29" s="14">
        <f>I28/L28/1.95</f>
        <v>0.37194418474700142</v>
      </c>
      <c r="G29" s="14">
        <f>J28/L28/0.35</f>
        <v>1.1751012078170937</v>
      </c>
      <c r="H29" s="14">
        <f>K28/L28/0.075</f>
        <v>0.16320850108570745</v>
      </c>
      <c r="I29" s="15"/>
      <c r="J29" s="15"/>
      <c r="K29" s="15"/>
      <c r="L29" s="15"/>
      <c r="M29" s="15"/>
      <c r="N29" s="13"/>
      <c r="O29" s="14">
        <f>O28/L28</f>
        <v>0.28692610883484709</v>
      </c>
      <c r="P29" s="14">
        <f>P28/M28</f>
        <v>0.2278232694028709</v>
      </c>
      <c r="Q29" s="13"/>
      <c r="R29" s="13"/>
      <c r="S29" s="14">
        <f>S28/R28</f>
        <v>0.81090909090909091</v>
      </c>
      <c r="T29" s="16"/>
      <c r="U29" s="16"/>
      <c r="V29" s="13">
        <f>0.19*L28</f>
        <v>170742.74</v>
      </c>
      <c r="W29" s="13"/>
      <c r="X29" s="13"/>
      <c r="Y29" s="13">
        <v>31219</v>
      </c>
      <c r="Z29" s="17"/>
      <c r="AA29" s="18"/>
      <c r="AB29" s="13"/>
      <c r="AC29" s="18"/>
      <c r="AD29" s="18"/>
    </row>
    <row r="30" spans="2:30">
      <c r="B30" s="48" t="s">
        <v>121</v>
      </c>
      <c r="C30" s="106" t="s">
        <v>14</v>
      </c>
      <c r="D30" s="8">
        <v>3891</v>
      </c>
      <c r="E30" s="8">
        <v>21</v>
      </c>
      <c r="F30" s="8">
        <v>2803</v>
      </c>
      <c r="G30" s="8">
        <v>632</v>
      </c>
      <c r="H30" s="8">
        <v>40</v>
      </c>
      <c r="I30" s="9">
        <f>F30*540</f>
        <v>1513620</v>
      </c>
      <c r="J30" s="9">
        <f>G30*400</f>
        <v>252800</v>
      </c>
      <c r="K30" s="9">
        <f>H30*200</f>
        <v>8000</v>
      </c>
      <c r="L30" s="58">
        <v>986616</v>
      </c>
      <c r="M30" s="58">
        <v>520264</v>
      </c>
      <c r="N30" s="8">
        <v>2061</v>
      </c>
      <c r="O30" s="57">
        <v>353438</v>
      </c>
      <c r="P30" s="57">
        <v>126843</v>
      </c>
      <c r="Q30" s="8">
        <v>56817</v>
      </c>
      <c r="R30" s="8">
        <v>2648</v>
      </c>
      <c r="S30" s="8">
        <v>2363</v>
      </c>
      <c r="T30" s="10">
        <f>Y30+Y31</f>
        <v>13652</v>
      </c>
      <c r="U30" s="11">
        <f>V30/V31</f>
        <v>0.49792208390786497</v>
      </c>
      <c r="V30" s="57">
        <v>93339</v>
      </c>
      <c r="W30" s="57">
        <v>132444</v>
      </c>
      <c r="X30" s="8">
        <v>30919</v>
      </c>
      <c r="Y30" s="8">
        <v>7</v>
      </c>
      <c r="Z30" s="11">
        <f>AA30/AC30</f>
        <v>2.695109910268581E-2</v>
      </c>
      <c r="AA30" s="12">
        <f>55564.1</f>
        <v>55564.1</v>
      </c>
      <c r="AB30" s="8">
        <v>163637</v>
      </c>
      <c r="AC30" s="12">
        <f>2061663.6</f>
        <v>2061663.6</v>
      </c>
      <c r="AD30" s="12">
        <f>AC30*1000/L30</f>
        <v>2089.6312243061129</v>
      </c>
    </row>
    <row r="31" spans="2:30">
      <c r="B31" s="48" t="s">
        <v>121</v>
      </c>
      <c r="C31" s="107"/>
      <c r="D31" s="13"/>
      <c r="E31" s="13"/>
      <c r="F31" s="14">
        <f>I30/L30/1.95</f>
        <v>0.78674518213305344</v>
      </c>
      <c r="G31" s="14">
        <f>J30/L30/0.35</f>
        <v>0.73208392554521151</v>
      </c>
      <c r="H31" s="14">
        <f>K30/L30/0.075</f>
        <v>0.10811365989064305</v>
      </c>
      <c r="I31" s="15"/>
      <c r="J31" s="15"/>
      <c r="K31" s="15"/>
      <c r="L31" s="15"/>
      <c r="M31" s="15"/>
      <c r="N31" s="13"/>
      <c r="O31" s="14">
        <f>O30/L30</f>
        <v>0.35823258491652277</v>
      </c>
      <c r="P31" s="14">
        <f>P30/M30</f>
        <v>0.24380506819614658</v>
      </c>
      <c r="Q31" s="13"/>
      <c r="R31" s="13"/>
      <c r="S31" s="14">
        <f>S30/R30</f>
        <v>0.89237160120845926</v>
      </c>
      <c r="T31" s="16"/>
      <c r="U31" s="16"/>
      <c r="V31" s="13">
        <f>0.19*L30</f>
        <v>187457.04</v>
      </c>
      <c r="W31" s="13"/>
      <c r="X31" s="13"/>
      <c r="Y31" s="13">
        <v>13645</v>
      </c>
      <c r="Z31" s="17"/>
      <c r="AA31" s="18"/>
      <c r="AB31" s="13"/>
      <c r="AC31" s="18"/>
      <c r="AD31" s="18"/>
    </row>
    <row r="32" spans="2:30">
      <c r="B32" s="48" t="s">
        <v>121</v>
      </c>
      <c r="C32" s="106" t="s">
        <v>15</v>
      </c>
      <c r="D32" s="8">
        <v>3510</v>
      </c>
      <c r="E32" s="8">
        <v>18</v>
      </c>
      <c r="F32" s="8">
        <v>1947</v>
      </c>
      <c r="G32" s="8">
        <v>819</v>
      </c>
      <c r="H32" s="8">
        <v>57</v>
      </c>
      <c r="I32" s="9">
        <f>F32*540</f>
        <v>1051380</v>
      </c>
      <c r="J32" s="9">
        <f>G32*400</f>
        <v>327600</v>
      </c>
      <c r="K32" s="9">
        <f>H32*200</f>
        <v>11400</v>
      </c>
      <c r="L32" s="58">
        <v>1216190</v>
      </c>
      <c r="M32" s="58">
        <v>652726</v>
      </c>
      <c r="N32" s="8">
        <v>3028</v>
      </c>
      <c r="O32" s="57">
        <v>366205</v>
      </c>
      <c r="P32" s="57">
        <v>144194</v>
      </c>
      <c r="Q32" s="8">
        <v>27474</v>
      </c>
      <c r="R32" s="8">
        <v>6914</v>
      </c>
      <c r="S32" s="8">
        <v>3488</v>
      </c>
      <c r="T32" s="10">
        <f>Y32+Y33</f>
        <v>27455</v>
      </c>
      <c r="U32" s="11">
        <f>V32/V33</f>
        <v>0.32761501514003394</v>
      </c>
      <c r="V32" s="8">
        <v>75704</v>
      </c>
      <c r="W32" s="8">
        <v>191510</v>
      </c>
      <c r="X32" s="8">
        <v>38392</v>
      </c>
      <c r="Y32" s="8">
        <v>111</v>
      </c>
      <c r="Z32" s="11">
        <f>AA32/AC32</f>
        <v>5.6575969942209295E-3</v>
      </c>
      <c r="AA32" s="12">
        <f>6967.6</f>
        <v>6967.6</v>
      </c>
      <c r="AB32" s="8">
        <v>219487</v>
      </c>
      <c r="AC32" s="12">
        <f>1231547.6</f>
        <v>1231547.6000000001</v>
      </c>
      <c r="AD32" s="12">
        <f>AC32*1000/L32</f>
        <v>1012.6276321956274</v>
      </c>
    </row>
    <row r="33" spans="1:30">
      <c r="B33" s="48" t="s">
        <v>121</v>
      </c>
      <c r="C33" s="107"/>
      <c r="D33" s="13"/>
      <c r="E33" s="13"/>
      <c r="F33" s="14">
        <f>I32/L32/1.95</f>
        <v>0.4433264792254753</v>
      </c>
      <c r="G33" s="14">
        <f>J32/L32/0.35</f>
        <v>0.76961658951315182</v>
      </c>
      <c r="H33" s="14">
        <f>K32/L32/0.075</f>
        <v>0.12498047180128105</v>
      </c>
      <c r="I33" s="15"/>
      <c r="J33" s="15"/>
      <c r="K33" s="15"/>
      <c r="L33" s="15"/>
      <c r="M33" s="15"/>
      <c r="N33" s="13"/>
      <c r="O33" s="14">
        <f>O32/L32</f>
        <v>0.3011083794472903</v>
      </c>
      <c r="P33" s="14">
        <f>P32/M32</f>
        <v>0.22091045859978001</v>
      </c>
      <c r="Q33" s="13"/>
      <c r="R33" s="13"/>
      <c r="S33" s="14">
        <f>S32/R32</f>
        <v>0.50448365634943593</v>
      </c>
      <c r="T33" s="16"/>
      <c r="U33" s="16"/>
      <c r="V33" s="13">
        <f>0.19*L32</f>
        <v>231076.1</v>
      </c>
      <c r="W33" s="13"/>
      <c r="X33" s="13"/>
      <c r="Y33" s="13">
        <v>27344</v>
      </c>
      <c r="Z33" s="17"/>
      <c r="AA33" s="18"/>
      <c r="AB33" s="13"/>
      <c r="AC33" s="18"/>
      <c r="AD33" s="18"/>
    </row>
    <row r="34" spans="1:30">
      <c r="B34" s="48" t="s">
        <v>121</v>
      </c>
      <c r="C34" s="106" t="s">
        <v>16</v>
      </c>
      <c r="D34" s="8">
        <v>2268</v>
      </c>
      <c r="E34" s="8">
        <v>20</v>
      </c>
      <c r="F34" s="8">
        <v>1234</v>
      </c>
      <c r="G34" s="8">
        <v>610</v>
      </c>
      <c r="H34" s="8">
        <v>46</v>
      </c>
      <c r="I34" s="9">
        <f>F34*540</f>
        <v>666360</v>
      </c>
      <c r="J34" s="9">
        <f>G34*400</f>
        <v>244000</v>
      </c>
      <c r="K34" s="9">
        <f>H34*200</f>
        <v>9200</v>
      </c>
      <c r="L34" s="58">
        <v>1404983</v>
      </c>
      <c r="M34" s="58">
        <v>758914</v>
      </c>
      <c r="N34" s="8">
        <v>2437</v>
      </c>
      <c r="O34" s="57">
        <v>395477</v>
      </c>
      <c r="P34" s="57">
        <v>164566</v>
      </c>
      <c r="Q34" s="8">
        <v>20231</v>
      </c>
      <c r="R34" s="8">
        <v>6800</v>
      </c>
      <c r="S34" s="8">
        <v>4947</v>
      </c>
      <c r="T34" s="10">
        <f>Y34+Y35</f>
        <v>6416</v>
      </c>
      <c r="U34" s="11">
        <f>V34/V35</f>
        <v>0.31474439642030505</v>
      </c>
      <c r="V34" s="57">
        <v>84020</v>
      </c>
      <c r="W34" s="57">
        <v>133407</v>
      </c>
      <c r="X34" s="8">
        <v>28512</v>
      </c>
      <c r="Y34" s="8">
        <v>43</v>
      </c>
      <c r="Z34" s="11">
        <f>AA34/AC34</f>
        <v>0.17916904377248113</v>
      </c>
      <c r="AA34" s="12">
        <f>160575.4</f>
        <v>160575.4</v>
      </c>
      <c r="AB34" s="8">
        <v>129955</v>
      </c>
      <c r="AC34" s="12">
        <f>896222.9</f>
        <v>896222.9</v>
      </c>
      <c r="AD34" s="12">
        <f>AC34*1000/L34</f>
        <v>637.88878584296037</v>
      </c>
    </row>
    <row r="35" spans="1:30">
      <c r="B35" s="48" t="s">
        <v>121</v>
      </c>
      <c r="C35" s="107"/>
      <c r="D35" s="13"/>
      <c r="E35" s="13"/>
      <c r="F35" s="14">
        <f>I34/L34/1.95</f>
        <v>0.2432222147336138</v>
      </c>
      <c r="G35" s="14">
        <f>J34/L34/0.35</f>
        <v>0.49619309069423417</v>
      </c>
      <c r="H35" s="14">
        <f>K34/L34/0.075</f>
        <v>8.7308292460952674E-2</v>
      </c>
      <c r="I35" s="15"/>
      <c r="J35" s="15"/>
      <c r="K35" s="15"/>
      <c r="L35" s="15"/>
      <c r="M35" s="15"/>
      <c r="N35" s="13"/>
      <c r="O35" s="14">
        <f>O34/L34</f>
        <v>0.28148169764331671</v>
      </c>
      <c r="P35" s="14">
        <f>P34/M34</f>
        <v>0.21684406928848329</v>
      </c>
      <c r="Q35" s="13"/>
      <c r="R35" s="13"/>
      <c r="S35" s="14">
        <f>S34/R34</f>
        <v>0.72750000000000004</v>
      </c>
      <c r="T35" s="16"/>
      <c r="U35" s="16"/>
      <c r="V35" s="13">
        <f>0.19*L34</f>
        <v>266946.77</v>
      </c>
      <c r="W35" s="13"/>
      <c r="X35" s="13"/>
      <c r="Y35" s="13">
        <v>6373</v>
      </c>
      <c r="Z35" s="17"/>
      <c r="AA35" s="18"/>
      <c r="AB35" s="13"/>
      <c r="AC35" s="18"/>
      <c r="AD35" s="18"/>
    </row>
    <row r="36" spans="1:30">
      <c r="B36" s="48" t="s">
        <v>121</v>
      </c>
      <c r="C36" s="106" t="s">
        <v>17</v>
      </c>
      <c r="D36" s="8">
        <v>2273</v>
      </c>
      <c r="E36" s="8">
        <v>13</v>
      </c>
      <c r="F36" s="8">
        <v>1128</v>
      </c>
      <c r="G36" s="8">
        <v>559</v>
      </c>
      <c r="H36" s="8">
        <v>24</v>
      </c>
      <c r="I36" s="9">
        <f>F36*540</f>
        <v>609120</v>
      </c>
      <c r="J36" s="9">
        <f>G36*400</f>
        <v>223600</v>
      </c>
      <c r="K36" s="9">
        <f>H36*200</f>
        <v>4800</v>
      </c>
      <c r="L36" s="58">
        <v>1178645</v>
      </c>
      <c r="M36" s="58">
        <v>641947</v>
      </c>
      <c r="N36" s="8">
        <v>3045</v>
      </c>
      <c r="O36" s="57">
        <v>364439</v>
      </c>
      <c r="P36" s="57">
        <v>144429</v>
      </c>
      <c r="Q36" s="8">
        <v>6894</v>
      </c>
      <c r="R36" s="8">
        <v>7738</v>
      </c>
      <c r="S36" s="8">
        <v>4460</v>
      </c>
      <c r="T36" s="10">
        <f>Y36+Y37</f>
        <v>10550</v>
      </c>
      <c r="U36" s="11">
        <f>V36/V37</f>
        <v>0.25832964749218046</v>
      </c>
      <c r="V36" s="57">
        <v>57851</v>
      </c>
      <c r="W36" s="8">
        <v>163771</v>
      </c>
      <c r="X36" s="8">
        <v>48718</v>
      </c>
      <c r="Y36" s="8">
        <v>118</v>
      </c>
      <c r="Z36" s="11">
        <f>AA36/AC36</f>
        <v>7.0674724286669155E-2</v>
      </c>
      <c r="AA36" s="12">
        <v>169736.09999999998</v>
      </c>
      <c r="AB36" s="8">
        <v>161076</v>
      </c>
      <c r="AC36" s="12">
        <v>2401652.1</v>
      </c>
      <c r="AD36" s="12">
        <f>AC36*1000/L36</f>
        <v>2037.63822015959</v>
      </c>
    </row>
    <row r="37" spans="1:30">
      <c r="B37" s="48" t="s">
        <v>121</v>
      </c>
      <c r="C37" s="107"/>
      <c r="D37" s="13"/>
      <c r="E37" s="13"/>
      <c r="F37" s="14">
        <f>I36/L36/1.95</f>
        <v>0.26502401551716653</v>
      </c>
      <c r="G37" s="14">
        <f>J36/L36/0.35</f>
        <v>0.54202677045008707</v>
      </c>
      <c r="H37" s="14">
        <f>K36/L36/0.075</f>
        <v>5.4299640689096373E-2</v>
      </c>
      <c r="I37" s="15"/>
      <c r="J37" s="15"/>
      <c r="K37" s="15"/>
      <c r="L37" s="15"/>
      <c r="M37" s="15"/>
      <c r="N37" s="13"/>
      <c r="O37" s="14">
        <f>O36/L36</f>
        <v>0.30920166801708743</v>
      </c>
      <c r="P37" s="14">
        <f>P36/M36</f>
        <v>0.22498586331893444</v>
      </c>
      <c r="Q37" s="13"/>
      <c r="R37" s="13"/>
      <c r="S37" s="14">
        <f>S36/R36</f>
        <v>0.57637632463168775</v>
      </c>
      <c r="T37" s="16"/>
      <c r="U37" s="16"/>
      <c r="V37" s="13">
        <f>0.19*L36</f>
        <v>223942.55</v>
      </c>
      <c r="W37" s="13"/>
      <c r="X37" s="13"/>
      <c r="Y37" s="13">
        <v>10432</v>
      </c>
      <c r="Z37" s="17"/>
      <c r="AA37" s="18"/>
      <c r="AB37" s="13"/>
      <c r="AC37" s="18"/>
      <c r="AD37" s="18"/>
    </row>
    <row r="38" spans="1:30">
      <c r="B38" s="48" t="s">
        <v>121</v>
      </c>
      <c r="C38" s="106" t="s">
        <v>18</v>
      </c>
      <c r="D38" s="8">
        <v>15463</v>
      </c>
      <c r="E38" s="8">
        <v>22</v>
      </c>
      <c r="F38" s="8">
        <v>8239</v>
      </c>
      <c r="G38" s="8">
        <v>3617</v>
      </c>
      <c r="H38" s="8">
        <v>315</v>
      </c>
      <c r="I38" s="9">
        <f>F38*540</f>
        <v>4449060</v>
      </c>
      <c r="J38" s="9">
        <f>G38*400</f>
        <v>1446800</v>
      </c>
      <c r="K38" s="9">
        <f>H38*200</f>
        <v>63000</v>
      </c>
      <c r="L38" s="58">
        <v>11342375</v>
      </c>
      <c r="M38" s="58">
        <v>6048196</v>
      </c>
      <c r="N38" s="8">
        <v>32438</v>
      </c>
      <c r="O38" s="57">
        <v>3664014</v>
      </c>
      <c r="P38" s="57">
        <v>1584598</v>
      </c>
      <c r="Q38" s="8">
        <v>360235</v>
      </c>
      <c r="R38" s="8">
        <v>94550</v>
      </c>
      <c r="S38" s="8">
        <v>56181</v>
      </c>
      <c r="T38" s="10">
        <f>Y38+Y39</f>
        <v>42178</v>
      </c>
      <c r="U38" s="11">
        <f>V38/V39</f>
        <v>0.21527933500421392</v>
      </c>
      <c r="V38" s="57">
        <v>463938</v>
      </c>
      <c r="W38" s="57">
        <v>1445363</v>
      </c>
      <c r="X38" s="8">
        <v>327343</v>
      </c>
      <c r="Y38" s="8">
        <v>1455</v>
      </c>
      <c r="Z38" s="11">
        <f>AA38/AC38</f>
        <v>6.9596664492524191E-2</v>
      </c>
      <c r="AA38" s="12">
        <f>2747340.9</f>
        <v>2747340.9</v>
      </c>
      <c r="AB38" s="8">
        <v>3285164</v>
      </c>
      <c r="AC38" s="12">
        <f>39475180.6</f>
        <v>39475180.600000001</v>
      </c>
      <c r="AD38" s="12">
        <f>AC38*1000/L38</f>
        <v>3480.3275857128688</v>
      </c>
    </row>
    <row r="39" spans="1:30">
      <c r="B39" s="48" t="s">
        <v>121</v>
      </c>
      <c r="C39" s="107"/>
      <c r="D39" s="13"/>
      <c r="E39" s="13"/>
      <c r="F39" s="14">
        <f>I38/L38/1.95</f>
        <v>0.201154452287923</v>
      </c>
      <c r="G39" s="14">
        <f>J38/L38/0.35</f>
        <v>0.36444874073677569</v>
      </c>
      <c r="H39" s="14">
        <f>K38/L38/0.075</f>
        <v>7.4058563572444044E-2</v>
      </c>
      <c r="I39" s="15"/>
      <c r="J39" s="15"/>
      <c r="K39" s="15"/>
      <c r="L39" s="15"/>
      <c r="M39" s="15"/>
      <c r="N39" s="13"/>
      <c r="O39" s="14">
        <f>O38/L38</f>
        <v>0.32303763541586306</v>
      </c>
      <c r="P39" s="14">
        <f>P38/M38</f>
        <v>0.26199514698267051</v>
      </c>
      <c r="Q39" s="13"/>
      <c r="R39" s="13"/>
      <c r="S39" s="14">
        <f>S38/R38</f>
        <v>0.59419354838709681</v>
      </c>
      <c r="T39" s="16"/>
      <c r="U39" s="16"/>
      <c r="V39" s="13">
        <f>0.19*L38</f>
        <v>2155051.25</v>
      </c>
      <c r="W39" s="13"/>
      <c r="X39" s="13"/>
      <c r="Y39" s="13">
        <v>40723</v>
      </c>
      <c r="Z39" s="17"/>
      <c r="AA39" s="18"/>
      <c r="AB39" s="13"/>
      <c r="AC39" s="18"/>
      <c r="AD39" s="18"/>
    </row>
    <row r="40" spans="1:30" s="21" customFormat="1" ht="11.25" customHeight="1">
      <c r="A40" s="50" t="s">
        <v>129</v>
      </c>
      <c r="B40" s="51" t="s">
        <v>121</v>
      </c>
      <c r="C40" s="110" t="s">
        <v>19</v>
      </c>
      <c r="D40" s="25">
        <f t="shared" ref="D40:T40" si="0">SUM(D38,D36,D34,D32,D30,D28,D26,D24,D22,D20,D18,D16,D14,D12,D10,D8,D6,D4)</f>
        <v>71729</v>
      </c>
      <c r="E40" s="25">
        <f t="shared" si="0"/>
        <v>465</v>
      </c>
      <c r="F40" s="25">
        <f t="shared" si="0"/>
        <v>40280</v>
      </c>
      <c r="G40" s="25">
        <f t="shared" si="0"/>
        <v>16859</v>
      </c>
      <c r="H40" s="25">
        <f t="shared" si="0"/>
        <v>1401</v>
      </c>
      <c r="I40" s="20">
        <f t="shared" si="0"/>
        <v>21751200</v>
      </c>
      <c r="J40" s="20">
        <f t="shared" si="0"/>
        <v>6743600</v>
      </c>
      <c r="K40" s="20">
        <f t="shared" si="0"/>
        <v>280200</v>
      </c>
      <c r="L40" s="20">
        <f t="shared" si="0"/>
        <v>36203336</v>
      </c>
      <c r="M40" s="20">
        <f t="shared" si="0"/>
        <v>19361938</v>
      </c>
      <c r="N40" s="25">
        <f>N4+N6+N8+N10+N12+N14+N16+N18+N20+N22+N24+N26+N28+N30+N32+N34+N36+N38</f>
        <v>95678</v>
      </c>
      <c r="O40" s="25">
        <f t="shared" si="0"/>
        <v>11652794</v>
      </c>
      <c r="P40" s="25">
        <f t="shared" si="0"/>
        <v>4652014</v>
      </c>
      <c r="Q40" s="25">
        <f t="shared" si="0"/>
        <v>1024804</v>
      </c>
      <c r="R40" s="25">
        <f t="shared" si="0"/>
        <v>228483</v>
      </c>
      <c r="S40" s="25">
        <f t="shared" si="0"/>
        <v>142052</v>
      </c>
      <c r="T40" s="25">
        <f t="shared" si="0"/>
        <v>363580</v>
      </c>
      <c r="U40" s="22">
        <f>V40/V41</f>
        <v>0.28981554279097954</v>
      </c>
      <c r="V40" s="25">
        <f>SUM(V38,V36,V34,V32,V30,V28,V26,V24,V22,V20,V18,V16,V14,V12,V10,V8,V6,V4)</f>
        <v>1993535</v>
      </c>
      <c r="W40" s="25">
        <f>SUM(W38,W36,W34,W32,W30,W28,W26,W24,W22,W20,W18,W16,W14,W12,W10,W8,W6,W4)</f>
        <v>4129473</v>
      </c>
      <c r="X40" s="25">
        <f>SUM(X38,X36,X34,X32,X30,X28,X26,X24,X22,X20,X18,X16,X14,X12,X10,X8,X6,X4)</f>
        <v>1052018</v>
      </c>
      <c r="Y40" s="25">
        <f>SUM(Y38,Y36,Y34,Y32,Y30,Y28,Y26,Y24,Y22,Y20,Y18,Y16,Y14,Y12,Y10,Y8,Y6,Y4)</f>
        <v>3140</v>
      </c>
      <c r="Z40" s="22">
        <f>AA40/AC40</f>
        <v>8.2852892004211018E-2</v>
      </c>
      <c r="AA40" s="23">
        <f>SUM(AA4:AA38)</f>
        <v>7754554.9999999981</v>
      </c>
      <c r="AB40" s="25">
        <f>SUM(AB38,AB36,AB34,AB32,AB30,AB28,AB26,AB24,AB22,AB20,AB18,AB16,AB14,AB12,AB10,AB8,AB6,AB4)</f>
        <v>7330526</v>
      </c>
      <c r="AC40" s="23">
        <f>SUM(AC4:AC38)</f>
        <v>93594258.599999994</v>
      </c>
      <c r="AD40" s="23">
        <f>AC40*1000/L40</f>
        <v>2585.2385150362938</v>
      </c>
    </row>
    <row r="41" spans="1:30" s="21" customFormat="1">
      <c r="A41" s="50" t="s">
        <v>129</v>
      </c>
      <c r="B41" s="51" t="s">
        <v>121</v>
      </c>
      <c r="C41" s="111"/>
      <c r="D41" s="27"/>
      <c r="E41" s="27"/>
      <c r="F41" s="24">
        <f>I40/L40/1.95</f>
        <v>0.30810590323669451</v>
      </c>
      <c r="G41" s="24">
        <f>J40/L40/0.35</f>
        <v>0.53220036328775255</v>
      </c>
      <c r="H41" s="24">
        <f>K40/L40/0.075</f>
        <v>0.10319490999392984</v>
      </c>
      <c r="I41" s="20"/>
      <c r="J41" s="20"/>
      <c r="K41" s="20"/>
      <c r="L41" s="20"/>
      <c r="M41" s="20"/>
      <c r="N41" s="27"/>
      <c r="O41" s="24">
        <f>O40/L40</f>
        <v>0.32187072484148976</v>
      </c>
      <c r="P41" s="24">
        <f>P40/M40</f>
        <v>0.24026592792519014</v>
      </c>
      <c r="Q41" s="27"/>
      <c r="R41" s="27"/>
      <c r="S41" s="24">
        <f>S40/R40</f>
        <v>0.62171802716175817</v>
      </c>
      <c r="T41" s="29"/>
      <c r="U41" s="29"/>
      <c r="V41" s="27">
        <f>SUM(V39,V37,V35,V33,V31,V29,V27,V25,V23,V21,V19,V17,V15,V13,V11,V9,V7,V5)</f>
        <v>6878633.8399999999</v>
      </c>
      <c r="W41" s="27"/>
      <c r="X41" s="27"/>
      <c r="Y41" s="27">
        <f>SUM(Y39,Y37,Y35,Y33,Y31,Y29,Y27,Y25,Y23,Y21,Y19,Y17,Y15,Y13,Y11,Y9,Y7,Y5)</f>
        <v>360440</v>
      </c>
      <c r="Z41" s="30"/>
      <c r="AA41" s="31"/>
      <c r="AB41" s="27"/>
      <c r="AC41" s="31"/>
      <c r="AD41" s="31"/>
    </row>
    <row r="42" spans="1:30">
      <c r="B42" s="48" t="s">
        <v>122</v>
      </c>
      <c r="C42" s="106" t="s">
        <v>20</v>
      </c>
      <c r="D42" s="8">
        <v>1567</v>
      </c>
      <c r="E42" s="8">
        <v>4</v>
      </c>
      <c r="F42" s="8">
        <v>624</v>
      </c>
      <c r="G42" s="8">
        <v>384</v>
      </c>
      <c r="H42" s="8">
        <v>30</v>
      </c>
      <c r="I42" s="9">
        <f t="shared" ref="I42:I60" si="1">F42*540</f>
        <v>336960</v>
      </c>
      <c r="J42" s="9">
        <f>G42*400</f>
        <v>153600</v>
      </c>
      <c r="K42" s="9">
        <f>H42*200</f>
        <v>6000</v>
      </c>
      <c r="L42" s="58">
        <v>589432</v>
      </c>
      <c r="M42" s="58">
        <v>317017</v>
      </c>
      <c r="N42" s="8">
        <v>1657</v>
      </c>
      <c r="O42" s="57">
        <v>190656</v>
      </c>
      <c r="P42" s="57">
        <v>71183</v>
      </c>
      <c r="Q42" s="8">
        <v>33114</v>
      </c>
      <c r="R42" s="8">
        <v>4451</v>
      </c>
      <c r="S42" s="8">
        <v>3143</v>
      </c>
      <c r="T42" s="10">
        <f>Y42+Y43</f>
        <v>7486</v>
      </c>
      <c r="U42" s="11">
        <f>V42/V43</f>
        <v>0.35109625609239509</v>
      </c>
      <c r="V42" s="57">
        <v>39320</v>
      </c>
      <c r="W42" s="8">
        <v>84300</v>
      </c>
      <c r="X42" s="8">
        <v>23215</v>
      </c>
      <c r="Y42" s="8">
        <v>20</v>
      </c>
      <c r="Z42" s="11">
        <f>AA42/AC42</f>
        <v>0.16320011909376531</v>
      </c>
      <c r="AA42" s="12">
        <f>176281.8</f>
        <v>176281.8</v>
      </c>
      <c r="AB42" s="8">
        <v>120815</v>
      </c>
      <c r="AC42" s="12">
        <f>1080157.3</f>
        <v>1080157.3</v>
      </c>
      <c r="AD42" s="12">
        <f>AC42*1000/L42</f>
        <v>1832.5392920642246</v>
      </c>
    </row>
    <row r="43" spans="1:30">
      <c r="B43" s="48" t="s">
        <v>122</v>
      </c>
      <c r="C43" s="107"/>
      <c r="D43" s="13"/>
      <c r="E43" s="13"/>
      <c r="F43" s="14">
        <f>I42/L42/1.95</f>
        <v>0.29316358799657977</v>
      </c>
      <c r="G43" s="14">
        <f>J42/L42/0.35</f>
        <v>0.74454244570559935</v>
      </c>
      <c r="H43" s="14">
        <f>K42/L42/0.075</f>
        <v>0.13572388333174989</v>
      </c>
      <c r="I43" s="15"/>
      <c r="J43" s="15"/>
      <c r="K43" s="15"/>
      <c r="L43" s="15"/>
      <c r="M43" s="15"/>
      <c r="N43" s="13"/>
      <c r="O43" s="14">
        <f>O42/L42</f>
        <v>0.32345715875622633</v>
      </c>
      <c r="P43" s="14">
        <f>P42/M42</f>
        <v>0.224540008895422</v>
      </c>
      <c r="Q43" s="13"/>
      <c r="R43" s="13"/>
      <c r="S43" s="14">
        <f>S42/R42</f>
        <v>0.70613345315659404</v>
      </c>
      <c r="T43" s="16"/>
      <c r="U43" s="16"/>
      <c r="V43" s="13">
        <f>0.19*L42</f>
        <v>111992.08</v>
      </c>
      <c r="W43" s="13"/>
      <c r="X43" s="13"/>
      <c r="Y43" s="13">
        <v>7466</v>
      </c>
      <c r="Z43" s="17"/>
      <c r="AA43" s="18"/>
      <c r="AB43" s="13"/>
      <c r="AC43" s="18"/>
      <c r="AD43" s="18"/>
    </row>
    <row r="44" spans="1:30">
      <c r="B44" s="48" t="s">
        <v>122</v>
      </c>
      <c r="C44" s="106" t="s">
        <v>21</v>
      </c>
      <c r="D44" s="8">
        <v>2271</v>
      </c>
      <c r="E44" s="8">
        <v>7</v>
      </c>
      <c r="F44" s="8">
        <v>800</v>
      </c>
      <c r="G44" s="8">
        <v>585</v>
      </c>
      <c r="H44" s="8">
        <v>41</v>
      </c>
      <c r="I44" s="9">
        <f t="shared" si="1"/>
        <v>432000</v>
      </c>
      <c r="J44" s="9">
        <f>G44*400</f>
        <v>234000</v>
      </c>
      <c r="K44" s="9">
        <f>H44*200</f>
        <v>8200</v>
      </c>
      <c r="L44" s="58">
        <v>811030</v>
      </c>
      <c r="M44" s="58">
        <v>424663</v>
      </c>
      <c r="N44" s="8">
        <v>2207</v>
      </c>
      <c r="O44" s="57">
        <v>246603</v>
      </c>
      <c r="P44" s="57">
        <v>83149</v>
      </c>
      <c r="Q44" s="8">
        <v>10866</v>
      </c>
      <c r="R44" s="8">
        <v>3952</v>
      </c>
      <c r="S44" s="8">
        <v>2873</v>
      </c>
      <c r="T44" s="10">
        <f>Y44+Y45</f>
        <v>9386</v>
      </c>
      <c r="U44" s="11">
        <f>V44/V45</f>
        <v>0.36231380888629594</v>
      </c>
      <c r="V44" s="57">
        <v>55831</v>
      </c>
      <c r="W44" s="57">
        <v>95021</v>
      </c>
      <c r="X44" s="8">
        <v>34355</v>
      </c>
      <c r="Y44" s="8">
        <v>45</v>
      </c>
      <c r="Z44" s="11">
        <f>AA44/AC44</f>
        <v>0.12569631365352582</v>
      </c>
      <c r="AA44" s="12">
        <f>259736.6</f>
        <v>259736.6</v>
      </c>
      <c r="AB44" s="8">
        <v>154029</v>
      </c>
      <c r="AC44" s="54">
        <f>2066382</f>
        <v>2066382</v>
      </c>
      <c r="AD44" s="54">
        <f>AC44*1000/L44</f>
        <v>2547.8490314784904</v>
      </c>
    </row>
    <row r="45" spans="1:30">
      <c r="B45" s="48" t="s">
        <v>122</v>
      </c>
      <c r="C45" s="107"/>
      <c r="D45" s="13"/>
      <c r="E45" s="13"/>
      <c r="F45" s="14">
        <f>I44/L44/1.95</f>
        <v>0.27315692580849238</v>
      </c>
      <c r="G45" s="14">
        <f>J44/L44/0.35</f>
        <v>0.82434857967205721</v>
      </c>
      <c r="H45" s="14">
        <f>K44/L44/0.075</f>
        <v>0.13480800134808002</v>
      </c>
      <c r="I45" s="15"/>
      <c r="J45" s="15"/>
      <c r="K45" s="15"/>
      <c r="L45" s="15"/>
      <c r="M45" s="15"/>
      <c r="N45" s="13"/>
      <c r="O45" s="14">
        <f>O44/L44</f>
        <v>0.30406150204061499</v>
      </c>
      <c r="P45" s="14">
        <f>P44/M44</f>
        <v>0.19579996373595063</v>
      </c>
      <c r="Q45" s="13"/>
      <c r="R45" s="13"/>
      <c r="S45" s="14">
        <f>S44/R44</f>
        <v>0.72697368421052633</v>
      </c>
      <c r="T45" s="16"/>
      <c r="U45" s="16"/>
      <c r="V45" s="13">
        <f>0.19*L44</f>
        <v>154095.70000000001</v>
      </c>
      <c r="W45" s="13"/>
      <c r="X45" s="13"/>
      <c r="Y45" s="13">
        <v>9341</v>
      </c>
      <c r="Z45" s="17"/>
      <c r="AA45" s="18"/>
      <c r="AB45" s="13"/>
      <c r="AC45" s="18"/>
      <c r="AD45" s="18"/>
    </row>
    <row r="46" spans="1:30" s="6" customFormat="1">
      <c r="A46" s="49"/>
      <c r="B46" s="48" t="s">
        <v>122</v>
      </c>
      <c r="C46" s="106" t="s">
        <v>22</v>
      </c>
      <c r="D46" s="8">
        <v>2083</v>
      </c>
      <c r="E46" s="8">
        <v>9</v>
      </c>
      <c r="F46" s="8">
        <v>845</v>
      </c>
      <c r="G46" s="8">
        <v>647</v>
      </c>
      <c r="H46" s="8">
        <v>48</v>
      </c>
      <c r="I46" s="9">
        <f t="shared" si="1"/>
        <v>456300</v>
      </c>
      <c r="J46" s="9">
        <f>G46*400</f>
        <v>258800</v>
      </c>
      <c r="K46" s="9">
        <f>H46*200</f>
        <v>9600</v>
      </c>
      <c r="L46" s="58">
        <v>1063282</v>
      </c>
      <c r="M46" s="58">
        <v>559931</v>
      </c>
      <c r="N46" s="8">
        <v>3978</v>
      </c>
      <c r="O46" s="57">
        <v>325975</v>
      </c>
      <c r="P46" s="57">
        <v>133122</v>
      </c>
      <c r="Q46" s="8">
        <v>50080</v>
      </c>
      <c r="R46" s="8">
        <v>4941</v>
      </c>
      <c r="S46" s="8">
        <v>1898</v>
      </c>
      <c r="T46" s="10">
        <f>Y46+Y47</f>
        <v>9270</v>
      </c>
      <c r="U46" s="11">
        <f>V46/V47</f>
        <v>0.27437886211104662</v>
      </c>
      <c r="V46" s="57">
        <v>55431</v>
      </c>
      <c r="W46" s="57">
        <v>125206</v>
      </c>
      <c r="X46" s="8">
        <v>30038</v>
      </c>
      <c r="Y46" s="8">
        <v>60</v>
      </c>
      <c r="Z46" s="11">
        <f>AA46/AC46</f>
        <v>0.29687787268955651</v>
      </c>
      <c r="AA46" s="12">
        <f>634602.4</f>
        <v>634602.4</v>
      </c>
      <c r="AB46" s="8">
        <v>145422</v>
      </c>
      <c r="AC46" s="12">
        <f>2137587.4</f>
        <v>2137587.4</v>
      </c>
      <c r="AD46" s="12">
        <f>AC46*1000/L46</f>
        <v>2010.3673343478024</v>
      </c>
    </row>
    <row r="47" spans="1:30" s="6" customFormat="1">
      <c r="A47" s="49"/>
      <c r="B47" s="48" t="s">
        <v>122</v>
      </c>
      <c r="C47" s="107"/>
      <c r="D47" s="13"/>
      <c r="E47" s="13"/>
      <c r="F47" s="14">
        <f>I46/L46/1.95</f>
        <v>0.22007332015401371</v>
      </c>
      <c r="G47" s="14">
        <f>J46/L46/0.35</f>
        <v>0.69542094329497861</v>
      </c>
      <c r="H47" s="14">
        <f>K46/L46/0.075</f>
        <v>0.12038198709279384</v>
      </c>
      <c r="I47" s="15"/>
      <c r="J47" s="15"/>
      <c r="K47" s="15"/>
      <c r="L47" s="15"/>
      <c r="M47" s="15"/>
      <c r="N47" s="13"/>
      <c r="O47" s="14">
        <f>O46/L46</f>
        <v>0.30657436127010518</v>
      </c>
      <c r="P47" s="14">
        <f>P46/M46</f>
        <v>0.23774715098824675</v>
      </c>
      <c r="Q47" s="13"/>
      <c r="R47" s="13"/>
      <c r="S47" s="14">
        <f>S46/R46</f>
        <v>0.38413276664642787</v>
      </c>
      <c r="T47" s="16"/>
      <c r="U47" s="16"/>
      <c r="V47" s="13">
        <f>0.19*L46</f>
        <v>202023.58000000002</v>
      </c>
      <c r="W47" s="13"/>
      <c r="X47" s="13"/>
      <c r="Y47" s="13">
        <v>9210</v>
      </c>
      <c r="Z47" s="17"/>
      <c r="AA47" s="18"/>
      <c r="AB47" s="13"/>
      <c r="AC47" s="18"/>
      <c r="AD47" s="18"/>
    </row>
    <row r="48" spans="1:30" s="6" customFormat="1">
      <c r="A48" s="49"/>
      <c r="B48" s="48" t="s">
        <v>122</v>
      </c>
      <c r="C48" s="106" t="s">
        <v>119</v>
      </c>
      <c r="D48" s="8">
        <v>96</v>
      </c>
      <c r="E48" s="81">
        <v>0</v>
      </c>
      <c r="F48" s="8">
        <v>35</v>
      </c>
      <c r="G48" s="8">
        <v>50</v>
      </c>
      <c r="H48" s="8">
        <v>1</v>
      </c>
      <c r="I48" s="9">
        <f t="shared" si="1"/>
        <v>18900</v>
      </c>
      <c r="J48" s="9">
        <f>G48*400</f>
        <v>20000</v>
      </c>
      <c r="K48" s="9">
        <f>H48*200</f>
        <v>200</v>
      </c>
      <c r="L48" s="58">
        <v>40575</v>
      </c>
      <c r="M48" s="58">
        <v>20681</v>
      </c>
      <c r="N48" s="8">
        <v>185</v>
      </c>
      <c r="O48" s="57">
        <v>13185</v>
      </c>
      <c r="P48" s="57">
        <v>4959</v>
      </c>
      <c r="Q48" s="8">
        <v>233</v>
      </c>
      <c r="R48" s="8">
        <v>117</v>
      </c>
      <c r="S48" s="8">
        <v>11</v>
      </c>
      <c r="T48" s="10">
        <f>Y48+Y49</f>
        <v>0</v>
      </c>
      <c r="U48" s="11">
        <f>V48/V49</f>
        <v>0.31805947400849627</v>
      </c>
      <c r="V48" s="57">
        <v>2452</v>
      </c>
      <c r="W48" s="57">
        <v>2997</v>
      </c>
      <c r="X48" s="8">
        <v>3497</v>
      </c>
      <c r="Y48" s="8">
        <v>0</v>
      </c>
      <c r="Z48" s="11">
        <f>AA48/AC48</f>
        <v>2.2109475852544989E-2</v>
      </c>
      <c r="AA48" s="12">
        <f>5744.4</f>
        <v>5744.4</v>
      </c>
      <c r="AB48" s="8">
        <v>10050</v>
      </c>
      <c r="AC48" s="54">
        <f>259816.2</f>
        <v>259816.2</v>
      </c>
      <c r="AD48" s="54">
        <f>AC48*1000/L48</f>
        <v>6403.3567467652492</v>
      </c>
    </row>
    <row r="49" spans="1:30" s="6" customFormat="1">
      <c r="A49" s="49"/>
      <c r="B49" s="48" t="s">
        <v>122</v>
      </c>
      <c r="C49" s="107"/>
      <c r="D49" s="13"/>
      <c r="E49" s="13"/>
      <c r="F49" s="14">
        <f>I48/L48/1.95</f>
        <v>0.2388738802786862</v>
      </c>
      <c r="G49" s="14">
        <f>J48/L48/0.35</f>
        <v>1.408326731801778</v>
      </c>
      <c r="H49" s="14">
        <f>K48/L48/0.075</f>
        <v>6.5721914150749641E-2</v>
      </c>
      <c r="I49" s="15"/>
      <c r="J49" s="15"/>
      <c r="K49" s="15"/>
      <c r="L49" s="15"/>
      <c r="M49" s="15"/>
      <c r="N49" s="13"/>
      <c r="O49" s="14">
        <f>O48/L48</f>
        <v>0.32495378927911278</v>
      </c>
      <c r="P49" s="14">
        <f>P48/M48</f>
        <v>0.23978531018809535</v>
      </c>
      <c r="Q49" s="13"/>
      <c r="R49" s="13"/>
      <c r="S49" s="14">
        <f>S48/R48</f>
        <v>9.4017094017094016E-2</v>
      </c>
      <c r="T49" s="16"/>
      <c r="U49" s="16"/>
      <c r="V49" s="13">
        <f>0.19*L48</f>
        <v>7709.25</v>
      </c>
      <c r="W49" s="13"/>
      <c r="X49" s="13"/>
      <c r="Y49" s="13">
        <v>0</v>
      </c>
      <c r="Z49" s="17"/>
      <c r="AA49" s="18"/>
      <c r="AB49" s="13"/>
      <c r="AC49" s="18"/>
      <c r="AD49" s="18"/>
    </row>
    <row r="50" spans="1:30">
      <c r="B50" s="48" t="s">
        <v>122</v>
      </c>
      <c r="C50" s="106" t="s">
        <v>23</v>
      </c>
      <c r="D50" s="8">
        <v>1931</v>
      </c>
      <c r="E50" s="8">
        <v>13</v>
      </c>
      <c r="F50" s="8">
        <v>806</v>
      </c>
      <c r="G50" s="8">
        <v>648</v>
      </c>
      <c r="H50" s="8">
        <v>48</v>
      </c>
      <c r="I50" s="9">
        <f t="shared" si="1"/>
        <v>435240</v>
      </c>
      <c r="J50" s="9">
        <f>G50*400</f>
        <v>259200</v>
      </c>
      <c r="K50" s="9">
        <f>H50*200</f>
        <v>9600</v>
      </c>
      <c r="L50" s="58">
        <v>1101673</v>
      </c>
      <c r="M50" s="58">
        <v>585979</v>
      </c>
      <c r="N50" s="8">
        <v>2640</v>
      </c>
      <c r="O50" s="57">
        <v>303341</v>
      </c>
      <c r="P50" s="57">
        <v>114025</v>
      </c>
      <c r="Q50" s="8">
        <v>2000</v>
      </c>
      <c r="R50" s="8">
        <v>3936</v>
      </c>
      <c r="S50" s="8">
        <v>2142</v>
      </c>
      <c r="T50" s="10">
        <f>Y50+Y51</f>
        <v>6436</v>
      </c>
      <c r="U50" s="11">
        <f>V50/V51</f>
        <v>0.23701273092450253</v>
      </c>
      <c r="V50" s="57">
        <v>49611</v>
      </c>
      <c r="W50" s="57">
        <v>92101</v>
      </c>
      <c r="X50" s="8">
        <v>23189</v>
      </c>
      <c r="Y50" s="8">
        <v>21</v>
      </c>
      <c r="Z50" s="11">
        <f>AA50/AC50</f>
        <v>0.17468382730786827</v>
      </c>
      <c r="AA50" s="12">
        <f>320969.2</f>
        <v>320969.2</v>
      </c>
      <c r="AB50" s="8">
        <v>138581</v>
      </c>
      <c r="AC50" s="12">
        <f>1837429.4</f>
        <v>1837429.4</v>
      </c>
      <c r="AD50" s="12">
        <f>AC50*1000/L50</f>
        <v>1667.8537097668727</v>
      </c>
    </row>
    <row r="51" spans="1:30">
      <c r="B51" s="48" t="s">
        <v>122</v>
      </c>
      <c r="C51" s="107"/>
      <c r="D51" s="13"/>
      <c r="E51" s="13"/>
      <c r="F51" s="14">
        <f>I50/L50/1.95</f>
        <v>0.20260095327742442</v>
      </c>
      <c r="G51" s="14">
        <f>J50/L50/0.35</f>
        <v>0.67222436110481842</v>
      </c>
      <c r="H51" s="14">
        <f>K50/L50/0.075</f>
        <v>0.11618692661070934</v>
      </c>
      <c r="I51" s="15"/>
      <c r="J51" s="15"/>
      <c r="K51" s="15"/>
      <c r="L51" s="15"/>
      <c r="M51" s="15"/>
      <c r="N51" s="13"/>
      <c r="O51" s="14">
        <f>O50/L50</f>
        <v>0.27534576957046236</v>
      </c>
      <c r="P51" s="14">
        <f>P50/M50</f>
        <v>0.19458888458460116</v>
      </c>
      <c r="Q51" s="13"/>
      <c r="R51" s="13"/>
      <c r="S51" s="14">
        <f>S50/R50</f>
        <v>0.54420731707317072</v>
      </c>
      <c r="T51" s="16"/>
      <c r="U51" s="16"/>
      <c r="V51" s="13">
        <f>0.19*L50</f>
        <v>209317.87</v>
      </c>
      <c r="W51" s="13"/>
      <c r="X51" s="13"/>
      <c r="Y51" s="13">
        <v>6415</v>
      </c>
      <c r="Z51" s="17"/>
      <c r="AA51" s="18"/>
      <c r="AB51" s="13"/>
      <c r="AC51" s="18"/>
      <c r="AD51" s="18"/>
    </row>
    <row r="52" spans="1:30">
      <c r="B52" s="48" t="s">
        <v>122</v>
      </c>
      <c r="C52" s="106" t="s">
        <v>24</v>
      </c>
      <c r="D52" s="8">
        <v>1951</v>
      </c>
      <c r="E52" s="8">
        <v>6</v>
      </c>
      <c r="F52" s="8">
        <v>1058</v>
      </c>
      <c r="G52" s="8">
        <v>463</v>
      </c>
      <c r="H52" s="8">
        <v>42</v>
      </c>
      <c r="I52" s="9">
        <f t="shared" si="1"/>
        <v>571320</v>
      </c>
      <c r="J52" s="9">
        <f>G52*400</f>
        <v>185200</v>
      </c>
      <c r="K52" s="9">
        <f>H52*200</f>
        <v>8400</v>
      </c>
      <c r="L52" s="58">
        <v>906295</v>
      </c>
      <c r="M52" s="58">
        <v>475743</v>
      </c>
      <c r="N52" s="8">
        <v>2576</v>
      </c>
      <c r="O52" s="57">
        <v>230311</v>
      </c>
      <c r="P52" s="57">
        <v>85487</v>
      </c>
      <c r="Q52" s="8">
        <v>7734</v>
      </c>
      <c r="R52" s="8">
        <v>5582</v>
      </c>
      <c r="S52" s="8">
        <v>3721</v>
      </c>
      <c r="T52" s="10">
        <f>Y52+Y53</f>
        <v>7617</v>
      </c>
      <c r="U52" s="11">
        <f>V52/V53</f>
        <v>0.28037228496240191</v>
      </c>
      <c r="V52" s="57">
        <v>48279</v>
      </c>
      <c r="W52" s="57">
        <v>79506</v>
      </c>
      <c r="X52" s="8">
        <v>29862</v>
      </c>
      <c r="Y52" s="8">
        <v>68</v>
      </c>
      <c r="Z52" s="11">
        <f>AA52/AC52</f>
        <v>0.14891081094915731</v>
      </c>
      <c r="AA52" s="12">
        <f>186181.4</f>
        <v>186181.4</v>
      </c>
      <c r="AB52" s="8">
        <v>161459</v>
      </c>
      <c r="AC52" s="12">
        <f>1250288</f>
        <v>1250288</v>
      </c>
      <c r="AD52" s="12">
        <f>AC52*1000/L52</f>
        <v>1379.5596356594708</v>
      </c>
    </row>
    <row r="53" spans="1:30">
      <c r="B53" s="48" t="s">
        <v>122</v>
      </c>
      <c r="C53" s="107"/>
      <c r="D53" s="13"/>
      <c r="E53" s="13"/>
      <c r="F53" s="14">
        <f>I52/L52/1.95</f>
        <v>0.32327731630938644</v>
      </c>
      <c r="G53" s="14">
        <f>J52/L52/0.35</f>
        <v>0.58385278208845592</v>
      </c>
      <c r="H53" s="14">
        <f>K52/L52/0.075</f>
        <v>0.1235800705068438</v>
      </c>
      <c r="I53" s="15"/>
      <c r="J53" s="15"/>
      <c r="K53" s="15"/>
      <c r="L53" s="15"/>
      <c r="M53" s="15"/>
      <c r="N53" s="13"/>
      <c r="O53" s="14">
        <f>O52/L52</f>
        <v>0.25412365730805092</v>
      </c>
      <c r="P53" s="14">
        <f>P52/M52</f>
        <v>0.17969155615531915</v>
      </c>
      <c r="Q53" s="13"/>
      <c r="R53" s="13"/>
      <c r="S53" s="14">
        <f>S52/R52</f>
        <v>0.66660695091365108</v>
      </c>
      <c r="T53" s="16"/>
      <c r="U53" s="16"/>
      <c r="V53" s="13">
        <f>0.19*L52</f>
        <v>172196.05</v>
      </c>
      <c r="W53" s="13"/>
      <c r="X53" s="13"/>
      <c r="Y53" s="13">
        <v>7549</v>
      </c>
      <c r="Z53" s="17"/>
      <c r="AA53" s="18"/>
      <c r="AB53" s="13"/>
      <c r="AC53" s="18"/>
      <c r="AD53" s="18"/>
    </row>
    <row r="54" spans="1:30">
      <c r="B54" s="48" t="s">
        <v>122</v>
      </c>
      <c r="C54" s="106" t="s">
        <v>25</v>
      </c>
      <c r="D54" s="8">
        <v>2661</v>
      </c>
      <c r="E54" s="8">
        <v>26</v>
      </c>
      <c r="F54" s="8">
        <v>1279</v>
      </c>
      <c r="G54" s="8">
        <v>701</v>
      </c>
      <c r="H54" s="8">
        <v>64</v>
      </c>
      <c r="I54" s="9">
        <f t="shared" si="1"/>
        <v>690660</v>
      </c>
      <c r="J54" s="9">
        <f>G54*400</f>
        <v>280400</v>
      </c>
      <c r="K54" s="9">
        <f>H54*200</f>
        <v>12800</v>
      </c>
      <c r="L54" s="58">
        <v>1664901</v>
      </c>
      <c r="M54" s="58">
        <v>869951</v>
      </c>
      <c r="N54" s="8">
        <v>3646</v>
      </c>
      <c r="O54" s="57">
        <v>485979</v>
      </c>
      <c r="P54" s="57">
        <v>196343</v>
      </c>
      <c r="Q54" s="8">
        <v>24319</v>
      </c>
      <c r="R54" s="8">
        <v>6778</v>
      </c>
      <c r="S54" s="8">
        <v>4272</v>
      </c>
      <c r="T54" s="10">
        <f>Y54+Y55</f>
        <v>14045</v>
      </c>
      <c r="U54" s="11">
        <f>V54/V55</f>
        <v>0.20855989572194888</v>
      </c>
      <c r="V54" s="57">
        <v>65974</v>
      </c>
      <c r="W54" s="57">
        <v>167726</v>
      </c>
      <c r="X54" s="8">
        <v>39178</v>
      </c>
      <c r="Y54" s="8">
        <v>82</v>
      </c>
      <c r="Z54" s="11">
        <f>AA54/AC54</f>
        <v>8.5433901542621177E-2</v>
      </c>
      <c r="AA54" s="12">
        <f>399603.2</f>
        <v>399603.20000000001</v>
      </c>
      <c r="AB54" s="8">
        <v>243890</v>
      </c>
      <c r="AC54" s="12">
        <f>4677337.6</f>
        <v>4677337.5999999996</v>
      </c>
      <c r="AD54" s="12">
        <f>AC54*1000/L54</f>
        <v>2809.3788159175829</v>
      </c>
    </row>
    <row r="55" spans="1:30">
      <c r="B55" s="48" t="s">
        <v>122</v>
      </c>
      <c r="C55" s="107"/>
      <c r="D55" s="13"/>
      <c r="E55" s="13"/>
      <c r="F55" s="14">
        <f>I54/L54/1.95</f>
        <v>0.21273614189949755</v>
      </c>
      <c r="G55" s="14">
        <f>J54/L54/0.35</f>
        <v>0.48119549279077684</v>
      </c>
      <c r="H55" s="14">
        <f>K54/L54/0.075</f>
        <v>0.10250859760830625</v>
      </c>
      <c r="I55" s="15"/>
      <c r="J55" s="15"/>
      <c r="K55" s="15"/>
      <c r="L55" s="15"/>
      <c r="M55" s="15"/>
      <c r="N55" s="13"/>
      <c r="O55" s="14">
        <f>O54/L54</f>
        <v>0.29189663529543197</v>
      </c>
      <c r="P55" s="14">
        <f>P54/M54</f>
        <v>0.22569432071461495</v>
      </c>
      <c r="Q55" s="13"/>
      <c r="R55" s="13"/>
      <c r="S55" s="14">
        <f>S54/R54</f>
        <v>0.63027441723222188</v>
      </c>
      <c r="T55" s="16"/>
      <c r="U55" s="16"/>
      <c r="V55" s="13">
        <f>0.19*L54</f>
        <v>316331.19</v>
      </c>
      <c r="W55" s="13"/>
      <c r="X55" s="13"/>
      <c r="Y55" s="13">
        <v>13963</v>
      </c>
      <c r="Z55" s="17"/>
      <c r="AA55" s="18"/>
      <c r="AB55" s="13"/>
      <c r="AC55" s="18"/>
      <c r="AD55" s="18"/>
    </row>
    <row r="56" spans="1:30">
      <c r="B56" s="48" t="s">
        <v>122</v>
      </c>
      <c r="C56" s="106" t="s">
        <v>26</v>
      </c>
      <c r="D56" s="8">
        <v>1136</v>
      </c>
      <c r="E56" s="8">
        <v>7</v>
      </c>
      <c r="F56" s="8">
        <v>299</v>
      </c>
      <c r="G56" s="8">
        <v>366</v>
      </c>
      <c r="H56" s="8">
        <v>33</v>
      </c>
      <c r="I56" s="9">
        <f t="shared" si="1"/>
        <v>161460</v>
      </c>
      <c r="J56" s="9">
        <f>G56*400</f>
        <v>146400</v>
      </c>
      <c r="K56" s="9">
        <f>H56*200</f>
        <v>6600</v>
      </c>
      <c r="L56" s="58">
        <v>725182</v>
      </c>
      <c r="M56" s="58">
        <v>374687</v>
      </c>
      <c r="N56" s="8">
        <v>2007</v>
      </c>
      <c r="O56" s="57">
        <v>220370</v>
      </c>
      <c r="P56" s="57">
        <v>84918</v>
      </c>
      <c r="Q56" s="8">
        <v>9774</v>
      </c>
      <c r="R56" s="8">
        <v>1655</v>
      </c>
      <c r="S56" s="8">
        <v>1197</v>
      </c>
      <c r="T56" s="10">
        <f>Y56+Y57</f>
        <v>4478</v>
      </c>
      <c r="U56" s="11">
        <f>V56/V57</f>
        <v>0.19634998343065677</v>
      </c>
      <c r="V56" s="57">
        <v>27054</v>
      </c>
      <c r="W56" s="57">
        <v>71126</v>
      </c>
      <c r="X56" s="8">
        <v>30549</v>
      </c>
      <c r="Y56" s="8">
        <v>36</v>
      </c>
      <c r="Z56" s="11">
        <f>AA56/AC56</f>
        <v>7.7923431104998039E-2</v>
      </c>
      <c r="AA56" s="12">
        <f>187114.8</f>
        <v>187114.8</v>
      </c>
      <c r="AB56" s="8">
        <v>94049</v>
      </c>
      <c r="AC56" s="12">
        <f>2401264.9</f>
        <v>2401264.9</v>
      </c>
      <c r="AD56" s="12">
        <f>AC56*1000/L56</f>
        <v>3311.258277232474</v>
      </c>
    </row>
    <row r="57" spans="1:30">
      <c r="B57" s="48" t="s">
        <v>122</v>
      </c>
      <c r="C57" s="107"/>
      <c r="D57" s="13"/>
      <c r="E57" s="13"/>
      <c r="F57" s="14">
        <f>I56/L56/1.95</f>
        <v>0.11417823387784032</v>
      </c>
      <c r="G57" s="14">
        <f>J56/L56/0.35</f>
        <v>0.57680101586320998</v>
      </c>
      <c r="H57" s="14">
        <f>K56/L56/0.075</f>
        <v>0.12134884759963707</v>
      </c>
      <c r="I57" s="15"/>
      <c r="J57" s="15"/>
      <c r="K57" s="15"/>
      <c r="L57" s="15"/>
      <c r="M57" s="15"/>
      <c r="N57" s="13"/>
      <c r="O57" s="14">
        <f>O56/L56</f>
        <v>0.30388233574468204</v>
      </c>
      <c r="P57" s="14">
        <f>P56/M56</f>
        <v>0.22663716648829557</v>
      </c>
      <c r="Q57" s="13"/>
      <c r="R57" s="13"/>
      <c r="S57" s="14">
        <f>S56/R56</f>
        <v>0.72326283987915407</v>
      </c>
      <c r="T57" s="16"/>
      <c r="U57" s="16"/>
      <c r="V57" s="13">
        <f>0.19*L56</f>
        <v>137784.57999999999</v>
      </c>
      <c r="W57" s="13"/>
      <c r="X57" s="13"/>
      <c r="Y57" s="13">
        <v>4442</v>
      </c>
      <c r="Z57" s="17"/>
      <c r="AA57" s="18"/>
      <c r="AB57" s="13"/>
      <c r="AC57" s="18"/>
      <c r="AD57" s="18"/>
    </row>
    <row r="58" spans="1:30">
      <c r="B58" s="48" t="s">
        <v>122</v>
      </c>
      <c r="C58" s="106" t="s">
        <v>27</v>
      </c>
      <c r="D58" s="8">
        <v>1602</v>
      </c>
      <c r="E58" s="8">
        <v>3</v>
      </c>
      <c r="F58" s="8">
        <v>786</v>
      </c>
      <c r="G58" s="8">
        <v>300</v>
      </c>
      <c r="H58" s="8">
        <v>33</v>
      </c>
      <c r="I58" s="9">
        <f t="shared" si="1"/>
        <v>424440</v>
      </c>
      <c r="J58" s="9">
        <f>G58*400</f>
        <v>120000</v>
      </c>
      <c r="K58" s="9">
        <f>H58*200</f>
        <v>6600</v>
      </c>
      <c r="L58" s="58">
        <v>571729</v>
      </c>
      <c r="M58" s="58">
        <v>309795</v>
      </c>
      <c r="N58" s="8">
        <v>1278</v>
      </c>
      <c r="O58" s="57">
        <v>182203</v>
      </c>
      <c r="P58" s="57">
        <v>70846</v>
      </c>
      <c r="Q58" s="8">
        <v>22253</v>
      </c>
      <c r="R58" s="8">
        <v>3447</v>
      </c>
      <c r="S58" s="8">
        <v>2416</v>
      </c>
      <c r="T58" s="10">
        <f>Y58+Y59</f>
        <v>7608</v>
      </c>
      <c r="U58" s="11">
        <f>V58/V59</f>
        <v>0.3534707417049171</v>
      </c>
      <c r="V58" s="57">
        <v>38397</v>
      </c>
      <c r="W58" s="57">
        <v>35925</v>
      </c>
      <c r="X58" s="8">
        <v>11145</v>
      </c>
      <c r="Y58" s="8">
        <v>25</v>
      </c>
      <c r="Z58" s="11">
        <f>AA58/AC58</f>
        <v>0.1881940229260616</v>
      </c>
      <c r="AA58" s="12">
        <f>260780.1</f>
        <v>260780.1</v>
      </c>
      <c r="AB58" s="8">
        <v>106658</v>
      </c>
      <c r="AC58" s="12">
        <f>1385698.1</f>
        <v>1385698.1</v>
      </c>
      <c r="AD58" s="12">
        <f>AC58*1000/L58</f>
        <v>2423.6974160834943</v>
      </c>
    </row>
    <row r="59" spans="1:30">
      <c r="B59" s="48" t="s">
        <v>122</v>
      </c>
      <c r="C59" s="107"/>
      <c r="D59" s="13"/>
      <c r="E59" s="13"/>
      <c r="F59" s="14">
        <f>I58/L58/1.95</f>
        <v>0.38070753532099727</v>
      </c>
      <c r="G59" s="14">
        <f>J58/L58/0.35</f>
        <v>0.59968471576068882</v>
      </c>
      <c r="H59" s="14">
        <f>K58/L58/0.075</f>
        <v>0.15391907704524349</v>
      </c>
      <c r="I59" s="15"/>
      <c r="J59" s="15"/>
      <c r="K59" s="15"/>
      <c r="L59" s="15"/>
      <c r="M59" s="15"/>
      <c r="N59" s="13"/>
      <c r="O59" s="14">
        <f>O58/L58</f>
        <v>0.31868769994175561</v>
      </c>
      <c r="P59" s="14">
        <f>P58/M58</f>
        <v>0.22868671218063558</v>
      </c>
      <c r="Q59" s="13"/>
      <c r="R59" s="13"/>
      <c r="S59" s="14">
        <f>S58/R58</f>
        <v>0.70089933275311866</v>
      </c>
      <c r="T59" s="16"/>
      <c r="U59" s="16"/>
      <c r="V59" s="13">
        <f>0.19*L58</f>
        <v>108628.51</v>
      </c>
      <c r="W59" s="13"/>
      <c r="X59" s="13"/>
      <c r="Y59" s="13">
        <v>7583</v>
      </c>
      <c r="Z59" s="17"/>
      <c r="AA59" s="18"/>
      <c r="AB59" s="13"/>
      <c r="AC59" s="18"/>
      <c r="AD59" s="18"/>
    </row>
    <row r="60" spans="1:30">
      <c r="B60" s="48" t="s">
        <v>122</v>
      </c>
      <c r="C60" s="106" t="s">
        <v>28</v>
      </c>
      <c r="D60" s="8">
        <v>1170</v>
      </c>
      <c r="E60" s="8">
        <v>9</v>
      </c>
      <c r="F60" s="8">
        <v>551</v>
      </c>
      <c r="G60" s="8">
        <v>341</v>
      </c>
      <c r="H60" s="8">
        <v>14</v>
      </c>
      <c r="I60" s="9">
        <f t="shared" si="1"/>
        <v>297540</v>
      </c>
      <c r="J60" s="9">
        <f>G60*400</f>
        <v>136400</v>
      </c>
      <c r="K60" s="9">
        <f>H60*200</f>
        <v>2800</v>
      </c>
      <c r="L60" s="58">
        <v>602611</v>
      </c>
      <c r="M60" s="58">
        <v>319581</v>
      </c>
      <c r="N60" s="8">
        <v>1282</v>
      </c>
      <c r="O60" s="57">
        <v>132342</v>
      </c>
      <c r="P60" s="57">
        <v>48240</v>
      </c>
      <c r="Q60" s="8">
        <v>5093</v>
      </c>
      <c r="R60" s="8">
        <v>5641</v>
      </c>
      <c r="S60" s="8">
        <v>4671</v>
      </c>
      <c r="T60" s="10">
        <f>Y60+Y61</f>
        <v>4874</v>
      </c>
      <c r="U60" s="11">
        <f>V60/V61</f>
        <v>0.46398964366381423</v>
      </c>
      <c r="V60" s="57">
        <v>53125</v>
      </c>
      <c r="W60" s="57">
        <v>39682</v>
      </c>
      <c r="X60" s="8">
        <v>19502</v>
      </c>
      <c r="Y60" s="8">
        <v>42</v>
      </c>
      <c r="Z60" s="11">
        <f>AA60/AC60</f>
        <v>0.15308179894250615</v>
      </c>
      <c r="AA60" s="12">
        <f>71010.1</f>
        <v>71010.100000000006</v>
      </c>
      <c r="AB60" s="8">
        <v>106502</v>
      </c>
      <c r="AC60" s="12">
        <f>463870.3</f>
        <v>463870.3</v>
      </c>
      <c r="AD60" s="12">
        <f>AC60*1000/L60</f>
        <v>769.76739555036329</v>
      </c>
    </row>
    <row r="61" spans="1:30">
      <c r="B61" s="48" t="s">
        <v>122</v>
      </c>
      <c r="C61" s="107"/>
      <c r="D61" s="13"/>
      <c r="E61" s="13"/>
      <c r="F61" s="14">
        <f>I60/L60/1.95</f>
        <v>0.25320582495941063</v>
      </c>
      <c r="G61" s="14">
        <f>J60/L60/0.35</f>
        <v>0.64670954515315149</v>
      </c>
      <c r="H61" s="14">
        <f>K60/L60/0.075</f>
        <v>6.1952625048884498E-2</v>
      </c>
      <c r="I61" s="15"/>
      <c r="J61" s="15"/>
      <c r="K61" s="15"/>
      <c r="L61" s="15"/>
      <c r="M61" s="15"/>
      <c r="N61" s="13"/>
      <c r="O61" s="14">
        <f>O60/L60</f>
        <v>0.21961431172016441</v>
      </c>
      <c r="P61" s="14">
        <f>P60/M60</f>
        <v>0.15094764707538935</v>
      </c>
      <c r="Q61" s="13"/>
      <c r="R61" s="13"/>
      <c r="S61" s="14">
        <f>S60/R60</f>
        <v>0.82804467293033146</v>
      </c>
      <c r="T61" s="16"/>
      <c r="U61" s="16"/>
      <c r="V61" s="13">
        <f>0.19*L60</f>
        <v>114496.09</v>
      </c>
      <c r="W61" s="13"/>
      <c r="X61" s="13"/>
      <c r="Y61" s="13">
        <v>4832</v>
      </c>
      <c r="Z61" s="17"/>
      <c r="AA61" s="18"/>
      <c r="AB61" s="13"/>
      <c r="AC61" s="18"/>
      <c r="AD61" s="18"/>
    </row>
    <row r="62" spans="1:30">
      <c r="B62" s="48" t="s">
        <v>122</v>
      </c>
      <c r="C62" s="106" t="s">
        <v>29</v>
      </c>
      <c r="D62" s="8">
        <v>6989</v>
      </c>
      <c r="E62" s="8">
        <v>7</v>
      </c>
      <c r="F62" s="8">
        <v>2539</v>
      </c>
      <c r="G62" s="8">
        <v>1773</v>
      </c>
      <c r="H62" s="8">
        <v>284</v>
      </c>
      <c r="I62" s="9">
        <f>F62*540</f>
        <v>1371060</v>
      </c>
      <c r="J62" s="9">
        <f>G62*400</f>
        <v>709200</v>
      </c>
      <c r="K62" s="9">
        <f>H62*200</f>
        <v>56800</v>
      </c>
      <c r="L62" s="58">
        <v>4804205</v>
      </c>
      <c r="M62" s="58">
        <v>2593652</v>
      </c>
      <c r="N62" s="8">
        <v>17580</v>
      </c>
      <c r="O62" s="85">
        <v>1538008</v>
      </c>
      <c r="P62" s="85">
        <v>699245</v>
      </c>
      <c r="Q62" s="8">
        <v>94918</v>
      </c>
      <c r="R62" s="8">
        <v>41368</v>
      </c>
      <c r="S62" s="8">
        <v>30879</v>
      </c>
      <c r="T62" s="10">
        <f>Y62+Y63</f>
        <v>34293</v>
      </c>
      <c r="U62" s="11">
        <f>V62/V63</f>
        <v>0.19299868826536229</v>
      </c>
      <c r="V62" s="57">
        <v>176169</v>
      </c>
      <c r="W62" s="57">
        <v>574411</v>
      </c>
      <c r="X62" s="8">
        <v>107445</v>
      </c>
      <c r="Y62" s="8">
        <v>581</v>
      </c>
      <c r="Z62" s="11">
        <f>AA62/AC62</f>
        <v>0.16391008535189469</v>
      </c>
      <c r="AA62" s="12">
        <f>2260076.9</f>
        <v>2260076.9</v>
      </c>
      <c r="AB62" s="8">
        <v>670530</v>
      </c>
      <c r="AC62" s="12">
        <f>13788516.4</f>
        <v>13788516.4</v>
      </c>
      <c r="AD62" s="12">
        <f>AC62*1000/L62</f>
        <v>2870.0932620485596</v>
      </c>
    </row>
    <row r="63" spans="1:30">
      <c r="B63" s="48" t="s">
        <v>122</v>
      </c>
      <c r="C63" s="107"/>
      <c r="D63" s="13"/>
      <c r="E63" s="13"/>
      <c r="F63" s="14">
        <f>I62/L62/1.95</f>
        <v>0.14635255829168245</v>
      </c>
      <c r="G63" s="14">
        <f>J62/L62/0.35</f>
        <v>0.42177336610026311</v>
      </c>
      <c r="H63" s="14">
        <f>K62/L62/0.075</f>
        <v>0.15763967885078456</v>
      </c>
      <c r="I63" s="15"/>
      <c r="J63" s="15"/>
      <c r="K63" s="15"/>
      <c r="L63" s="15"/>
      <c r="M63" s="15"/>
      <c r="N63" s="13"/>
      <c r="O63" s="14">
        <f>O62/L62</f>
        <v>0.32013787921206527</v>
      </c>
      <c r="P63" s="14">
        <f>P62/M62</f>
        <v>0.26959862001532975</v>
      </c>
      <c r="Q63" s="13"/>
      <c r="R63" s="13"/>
      <c r="S63" s="14">
        <f>S62/R62</f>
        <v>0.74644652871784956</v>
      </c>
      <c r="T63" s="16"/>
      <c r="U63" s="16"/>
      <c r="V63" s="13">
        <f>0.19*L62</f>
        <v>912798.95</v>
      </c>
      <c r="W63" s="13"/>
      <c r="X63" s="13"/>
      <c r="Y63" s="13">
        <v>33712</v>
      </c>
      <c r="Z63" s="17"/>
      <c r="AA63" s="18"/>
      <c r="AB63" s="13"/>
      <c r="AC63" s="18"/>
      <c r="AD63" s="18"/>
    </row>
    <row r="64" spans="1:30" s="21" customFormat="1">
      <c r="A64" s="50" t="s">
        <v>129</v>
      </c>
      <c r="B64" s="51" t="s">
        <v>122</v>
      </c>
      <c r="C64" s="110" t="s">
        <v>30</v>
      </c>
      <c r="D64" s="25">
        <f t="shared" ref="D64:T64" si="2">SUM(D62,D60,D58,D56,D54,D52,D50,D48,D46,D44,D42)</f>
        <v>23457</v>
      </c>
      <c r="E64" s="25">
        <f t="shared" si="2"/>
        <v>91</v>
      </c>
      <c r="F64" s="25">
        <f t="shared" si="2"/>
        <v>9622</v>
      </c>
      <c r="G64" s="25">
        <f t="shared" si="2"/>
        <v>6258</v>
      </c>
      <c r="H64" s="25">
        <f t="shared" si="2"/>
        <v>638</v>
      </c>
      <c r="I64" s="20">
        <f t="shared" si="2"/>
        <v>5195880</v>
      </c>
      <c r="J64" s="20">
        <f t="shared" si="2"/>
        <v>2503200</v>
      </c>
      <c r="K64" s="20">
        <f t="shared" si="2"/>
        <v>127600</v>
      </c>
      <c r="L64" s="20">
        <f t="shared" si="2"/>
        <v>12880915</v>
      </c>
      <c r="M64" s="20">
        <f t="shared" si="2"/>
        <v>6851680</v>
      </c>
      <c r="N64" s="25">
        <f t="shared" si="2"/>
        <v>39036</v>
      </c>
      <c r="O64" s="25">
        <f t="shared" si="2"/>
        <v>3868973</v>
      </c>
      <c r="P64" s="25">
        <f t="shared" si="2"/>
        <v>1591517</v>
      </c>
      <c r="Q64" s="25">
        <f t="shared" si="2"/>
        <v>260384</v>
      </c>
      <c r="R64" s="25">
        <f t="shared" si="2"/>
        <v>81868</v>
      </c>
      <c r="S64" s="25">
        <f t="shared" si="2"/>
        <v>57223</v>
      </c>
      <c r="T64" s="25">
        <f t="shared" si="2"/>
        <v>105493</v>
      </c>
      <c r="U64" s="22">
        <f>V64/V65</f>
        <v>0.2499180907730954</v>
      </c>
      <c r="V64" s="25">
        <f>SUM(V62,V60,V58,V56,V54,V52,V50,V48,V46,V44,V42)</f>
        <v>611643</v>
      </c>
      <c r="W64" s="25">
        <f>SUM(W62,W60,W58,W56,W54,W52,W50,W48,W46,W44,W42)</f>
        <v>1368001</v>
      </c>
      <c r="X64" s="25">
        <f>SUM(X62,X60,X58,X56,X54,X52,X50,X48,X46,X44,X42)</f>
        <v>351975</v>
      </c>
      <c r="Y64" s="25">
        <f>SUM(Y62,Y60,Y58,Y56,Y54,Y52,Y50,Y48,Y46,Y44,Y42)</f>
        <v>980</v>
      </c>
      <c r="Z64" s="22">
        <f>AA64/AC64</f>
        <v>0.15190915198350041</v>
      </c>
      <c r="AA64" s="23">
        <f>SUM(AA42:AA62)</f>
        <v>4762100.9000000004</v>
      </c>
      <c r="AB64" s="25">
        <f>SUM(AB62,AB60,AB58,AB56,AB54,AB52,AB50,AB48,AB46,AB44,AB42)</f>
        <v>1951985</v>
      </c>
      <c r="AC64" s="23">
        <f>SUM(AC42:AC62)</f>
        <v>31348347.600000001</v>
      </c>
      <c r="AD64" s="23">
        <f>AC64*1000/L64</f>
        <v>2433.7050279425025</v>
      </c>
    </row>
    <row r="65" spans="1:30" s="21" customFormat="1">
      <c r="A65" s="50" t="s">
        <v>129</v>
      </c>
      <c r="B65" s="51" t="s">
        <v>122</v>
      </c>
      <c r="C65" s="111"/>
      <c r="D65" s="27"/>
      <c r="E65" s="27"/>
      <c r="F65" s="24">
        <f>I64/L64/1.95</f>
        <v>0.20686060316008964</v>
      </c>
      <c r="G65" s="24">
        <f>J64/L64/0.35</f>
        <v>0.55524005864490211</v>
      </c>
      <c r="H65" s="24">
        <f>K64/L64/0.075</f>
        <v>0.13208171417429068</v>
      </c>
      <c r="I65" s="20"/>
      <c r="J65" s="20"/>
      <c r="K65" s="20"/>
      <c r="L65" s="20"/>
      <c r="M65" s="20"/>
      <c r="N65" s="27"/>
      <c r="O65" s="24">
        <f>O64/L64</f>
        <v>0.30036476445966764</v>
      </c>
      <c r="P65" s="24">
        <f>P64/M64</f>
        <v>0.23228127991966935</v>
      </c>
      <c r="Q65" s="27"/>
      <c r="R65" s="27"/>
      <c r="S65" s="24">
        <f>S64/R64</f>
        <v>0.69896662920799335</v>
      </c>
      <c r="T65" s="29"/>
      <c r="U65" s="29"/>
      <c r="V65" s="27">
        <f>SUM(V63,V61,V59,V57,V55,V53,V51,V49,V47,V45,V43)</f>
        <v>2447373.85</v>
      </c>
      <c r="W65" s="27"/>
      <c r="X65" s="27"/>
      <c r="Y65" s="27">
        <f>SUM(Y63,Y61,Y59,Y57,Y55,Y53,Y51,Y49,Y47,Y45,Y43)</f>
        <v>104513</v>
      </c>
      <c r="Z65" s="30"/>
      <c r="AA65" s="31"/>
      <c r="AB65" s="27"/>
      <c r="AC65" s="31"/>
      <c r="AD65" s="31"/>
    </row>
    <row r="66" spans="1:30">
      <c r="B66" s="48" t="s">
        <v>123</v>
      </c>
      <c r="C66" s="106" t="s">
        <v>31</v>
      </c>
      <c r="D66" s="8">
        <v>862</v>
      </c>
      <c r="E66" s="8">
        <v>3</v>
      </c>
      <c r="F66" s="8">
        <v>603</v>
      </c>
      <c r="G66" s="8">
        <v>185</v>
      </c>
      <c r="H66" s="8">
        <v>12</v>
      </c>
      <c r="I66" s="9">
        <f>F66*540</f>
        <v>325620</v>
      </c>
      <c r="J66" s="9">
        <f>G66*400</f>
        <v>74000</v>
      </c>
      <c r="K66" s="9">
        <f>H66*200</f>
        <v>2400</v>
      </c>
      <c r="L66" s="58">
        <v>418884</v>
      </c>
      <c r="M66" s="58">
        <v>221966</v>
      </c>
      <c r="N66" s="8">
        <v>1102</v>
      </c>
      <c r="O66" s="57">
        <v>154980</v>
      </c>
      <c r="P66" s="57">
        <v>47443</v>
      </c>
      <c r="Q66" s="8">
        <v>3674</v>
      </c>
      <c r="R66" s="8">
        <v>318</v>
      </c>
      <c r="S66" s="8">
        <v>297</v>
      </c>
      <c r="T66" s="10">
        <f>Y66+Y67</f>
        <v>2459</v>
      </c>
      <c r="U66" s="11">
        <f>V66/V67</f>
        <v>0.37114910345735708</v>
      </c>
      <c r="V66" s="57">
        <v>29539</v>
      </c>
      <c r="W66" s="8">
        <v>76979</v>
      </c>
      <c r="X66" s="8">
        <v>14844</v>
      </c>
      <c r="Y66" s="8">
        <v>20</v>
      </c>
      <c r="Z66" s="11">
        <f>AA66/AC66</f>
        <v>1.8712546680177498E-2</v>
      </c>
      <c r="AA66" s="12">
        <f>13176</f>
        <v>13176</v>
      </c>
      <c r="AB66" s="8">
        <v>135902</v>
      </c>
      <c r="AC66" s="12">
        <f>704126.5</f>
        <v>704126.5</v>
      </c>
      <c r="AD66" s="12">
        <f>AC66*1000/L66</f>
        <v>1680.9582127748972</v>
      </c>
    </row>
    <row r="67" spans="1:30">
      <c r="B67" s="48" t="s">
        <v>123</v>
      </c>
      <c r="C67" s="107"/>
      <c r="D67" s="13"/>
      <c r="E67" s="13"/>
      <c r="F67" s="14">
        <f>I66/L66/1.95</f>
        <v>0.3986416654362912</v>
      </c>
      <c r="G67" s="14">
        <f>J66/L66/0.35</f>
        <v>0.50474253356196808</v>
      </c>
      <c r="H67" s="14">
        <f>K66/L66/0.075</f>
        <v>7.6393464539108683E-2</v>
      </c>
      <c r="I67" s="15"/>
      <c r="J67" s="15"/>
      <c r="K67" s="15"/>
      <c r="L67" s="15"/>
      <c r="M67" s="15"/>
      <c r="N67" s="13"/>
      <c r="O67" s="14">
        <f>O66/L66</f>
        <v>0.36998309794597073</v>
      </c>
      <c r="P67" s="14">
        <f>P66/M66</f>
        <v>0.21373994215330275</v>
      </c>
      <c r="Q67" s="13"/>
      <c r="R67" s="13"/>
      <c r="S67" s="14">
        <f>S66/R66</f>
        <v>0.93396226415094341</v>
      </c>
      <c r="T67" s="16"/>
      <c r="U67" s="16"/>
      <c r="V67" s="13">
        <f>0.19*L66</f>
        <v>79587.960000000006</v>
      </c>
      <c r="W67" s="13"/>
      <c r="X67" s="13"/>
      <c r="Y67" s="13">
        <v>2439</v>
      </c>
      <c r="Z67" s="17"/>
      <c r="AA67" s="18"/>
      <c r="AB67" s="13"/>
      <c r="AC67" s="18"/>
      <c r="AD67" s="18"/>
    </row>
    <row r="68" spans="1:30">
      <c r="B68" s="48" t="s">
        <v>123</v>
      </c>
      <c r="C68" s="106" t="s">
        <v>32</v>
      </c>
      <c r="D68" s="8">
        <v>503</v>
      </c>
      <c r="E68" s="8">
        <v>2</v>
      </c>
      <c r="F68" s="8">
        <v>288</v>
      </c>
      <c r="G68" s="8">
        <v>185</v>
      </c>
      <c r="H68" s="8">
        <v>2</v>
      </c>
      <c r="I68" s="9">
        <f>F68*540</f>
        <v>155520</v>
      </c>
      <c r="J68" s="9">
        <f>G68*400</f>
        <v>74000</v>
      </c>
      <c r="K68" s="9">
        <f>H68*200</f>
        <v>400</v>
      </c>
      <c r="L68" s="58">
        <v>262676</v>
      </c>
      <c r="M68" s="58">
        <v>136026</v>
      </c>
      <c r="N68" s="8">
        <v>965</v>
      </c>
      <c r="O68" s="57">
        <v>79082</v>
      </c>
      <c r="P68" s="57">
        <v>26827</v>
      </c>
      <c r="Q68" s="8">
        <v>9463</v>
      </c>
      <c r="R68" s="8">
        <v>1738</v>
      </c>
      <c r="S68" s="8">
        <v>555</v>
      </c>
      <c r="T68" s="10">
        <f>Y68+Y69</f>
        <v>3388</v>
      </c>
      <c r="U68" s="11">
        <f>V68/V69</f>
        <v>0.26843155185776191</v>
      </c>
      <c r="V68" s="57">
        <v>13397</v>
      </c>
      <c r="W68" s="57">
        <v>10676</v>
      </c>
      <c r="X68" s="8">
        <v>5131</v>
      </c>
      <c r="Y68" s="8">
        <v>7</v>
      </c>
      <c r="Z68" s="11">
        <f>AA68/AC68</f>
        <v>3.6588163643954209E-2</v>
      </c>
      <c r="AA68" s="12">
        <f>8404.7</f>
        <v>8404.7000000000007</v>
      </c>
      <c r="AB68" s="8">
        <v>29170</v>
      </c>
      <c r="AC68" s="12">
        <f>229710.9</f>
        <v>229710.9</v>
      </c>
      <c r="AD68" s="12">
        <f>AC68*1000/L68</f>
        <v>874.50280954483856</v>
      </c>
    </row>
    <row r="69" spans="1:30">
      <c r="B69" s="48" t="s">
        <v>123</v>
      </c>
      <c r="C69" s="107"/>
      <c r="D69" s="13"/>
      <c r="E69" s="13"/>
      <c r="F69" s="14">
        <f>I68/L68/1.95</f>
        <v>0.30362060543729213</v>
      </c>
      <c r="G69" s="14">
        <f>J68/L68/0.35</f>
        <v>0.8049025089028744</v>
      </c>
      <c r="H69" s="14">
        <f>K68/L68/0.075</f>
        <v>2.0303847071423856E-2</v>
      </c>
      <c r="I69" s="15"/>
      <c r="J69" s="15"/>
      <c r="K69" s="15"/>
      <c r="L69" s="15"/>
      <c r="M69" s="15"/>
      <c r="N69" s="13"/>
      <c r="O69" s="14">
        <f>O68/L68</f>
        <v>0.30106290639418903</v>
      </c>
      <c r="P69" s="14">
        <f>P68/M68</f>
        <v>0.19721964918471468</v>
      </c>
      <c r="Q69" s="13"/>
      <c r="R69" s="13"/>
      <c r="S69" s="14">
        <f>S68/R68</f>
        <v>0.3193325661680092</v>
      </c>
      <c r="T69" s="16"/>
      <c r="U69" s="16"/>
      <c r="V69" s="13">
        <f>0.19*L68</f>
        <v>49908.44</v>
      </c>
      <c r="W69" s="13"/>
      <c r="X69" s="13"/>
      <c r="Y69" s="13">
        <v>3381</v>
      </c>
      <c r="Z69" s="17"/>
      <c r="AA69" s="18"/>
      <c r="AB69" s="13"/>
      <c r="AC69" s="18"/>
      <c r="AD69" s="18"/>
    </row>
    <row r="70" spans="1:30">
      <c r="B70" s="48" t="s">
        <v>123</v>
      </c>
      <c r="C70" s="106" t="s">
        <v>33</v>
      </c>
      <c r="D70" s="8">
        <v>9244</v>
      </c>
      <c r="E70" s="8">
        <v>80</v>
      </c>
      <c r="F70" s="8">
        <v>5414</v>
      </c>
      <c r="G70" s="8">
        <v>2150</v>
      </c>
      <c r="H70" s="8">
        <v>164</v>
      </c>
      <c r="I70" s="9">
        <f>F70*540</f>
        <v>2923560</v>
      </c>
      <c r="J70" s="9">
        <f>G70*400</f>
        <v>860000</v>
      </c>
      <c r="K70" s="9">
        <f>H70*200</f>
        <v>32800</v>
      </c>
      <c r="L70" s="58">
        <v>5082150</v>
      </c>
      <c r="M70" s="58">
        <v>2705640</v>
      </c>
      <c r="N70" s="8">
        <v>15089</v>
      </c>
      <c r="O70" s="57">
        <v>2264091</v>
      </c>
      <c r="P70" s="57">
        <v>808827</v>
      </c>
      <c r="Q70" s="8">
        <v>338653</v>
      </c>
      <c r="R70" s="8">
        <v>29185</v>
      </c>
      <c r="S70" s="8">
        <v>16243</v>
      </c>
      <c r="T70" s="10">
        <f>Y70+Y71</f>
        <v>57407</v>
      </c>
      <c r="U70" s="11">
        <f>V70/V71</f>
        <v>0.36454008016706563</v>
      </c>
      <c r="V70" s="57">
        <v>352003</v>
      </c>
      <c r="W70" s="57">
        <v>1367849</v>
      </c>
      <c r="X70" s="8">
        <v>215503</v>
      </c>
      <c r="Y70" s="8">
        <v>370</v>
      </c>
      <c r="Z70" s="11">
        <f>AA70/AC70</f>
        <v>0.39567477005143148</v>
      </c>
      <c r="AA70" s="12">
        <f>8708456.7</f>
        <v>8708456.6999999993</v>
      </c>
      <c r="AB70" s="8">
        <v>1421684</v>
      </c>
      <c r="AC70" s="12">
        <f>22009128.1</f>
        <v>22009128.100000001</v>
      </c>
      <c r="AD70" s="12">
        <f>AC70*1000/L70</f>
        <v>4330.672668063713</v>
      </c>
    </row>
    <row r="71" spans="1:30">
      <c r="B71" s="48" t="s">
        <v>123</v>
      </c>
      <c r="C71" s="107"/>
      <c r="D71" s="13"/>
      <c r="E71" s="13"/>
      <c r="F71" s="14">
        <f>I70/L70/1.95</f>
        <v>0.29500536947188466</v>
      </c>
      <c r="G71" s="14">
        <f>J70/L70/0.35</f>
        <v>0.48348491428683871</v>
      </c>
      <c r="H71" s="14">
        <f>K70/L70/0.075</f>
        <v>8.6052818852913313E-2</v>
      </c>
      <c r="I71" s="15"/>
      <c r="J71" s="15"/>
      <c r="K71" s="15"/>
      <c r="L71" s="15"/>
      <c r="M71" s="15"/>
      <c r="N71" s="13"/>
      <c r="O71" s="14">
        <f>O70/L70</f>
        <v>0.44549865706443137</v>
      </c>
      <c r="P71" s="14">
        <f>P70/M70</f>
        <v>0.29894110081163794</v>
      </c>
      <c r="Q71" s="13"/>
      <c r="R71" s="13"/>
      <c r="S71" s="14">
        <f>S70/R70</f>
        <v>0.55655302381360283</v>
      </c>
      <c r="T71" s="16"/>
      <c r="U71" s="16"/>
      <c r="V71" s="13">
        <f>0.19*L70</f>
        <v>965608.5</v>
      </c>
      <c r="W71" s="13"/>
      <c r="X71" s="13"/>
      <c r="Y71" s="13">
        <v>57037</v>
      </c>
      <c r="Z71" s="17"/>
      <c r="AA71" s="18"/>
      <c r="AB71" s="13"/>
      <c r="AC71" s="18"/>
      <c r="AD71" s="18"/>
    </row>
    <row r="72" spans="1:30">
      <c r="B72" s="48" t="s">
        <v>123</v>
      </c>
      <c r="C72" s="106" t="s">
        <v>34</v>
      </c>
      <c r="D72" s="8">
        <v>1559</v>
      </c>
      <c r="E72" s="8">
        <v>8</v>
      </c>
      <c r="F72" s="8">
        <v>916</v>
      </c>
      <c r="G72" s="8">
        <v>476</v>
      </c>
      <c r="H72" s="8">
        <v>16</v>
      </c>
      <c r="I72" s="9">
        <f>F72*540</f>
        <v>494640</v>
      </c>
      <c r="J72" s="9">
        <f>G72*400</f>
        <v>190400</v>
      </c>
      <c r="K72" s="9">
        <f>H72*200</f>
        <v>3200</v>
      </c>
      <c r="L72" s="58">
        <v>946669</v>
      </c>
      <c r="M72" s="58">
        <v>495734</v>
      </c>
      <c r="N72" s="8">
        <v>1738</v>
      </c>
      <c r="O72" s="57">
        <v>353390</v>
      </c>
      <c r="P72" s="57">
        <v>132933</v>
      </c>
      <c r="Q72" s="8">
        <v>13039</v>
      </c>
      <c r="R72" s="8">
        <v>1323</v>
      </c>
      <c r="S72" s="8">
        <v>675</v>
      </c>
      <c r="T72" s="10">
        <f>Y72+Y73</f>
        <v>4303</v>
      </c>
      <c r="U72" s="11">
        <f>V72/V73</f>
        <v>0.23335005493778155</v>
      </c>
      <c r="V72" s="57">
        <v>41972</v>
      </c>
      <c r="W72" s="57">
        <v>21139</v>
      </c>
      <c r="X72" s="8">
        <v>34987</v>
      </c>
      <c r="Y72" s="8">
        <v>50</v>
      </c>
      <c r="Z72" s="11">
        <f>AA72/AC72</f>
        <v>1.2035584313178299E-2</v>
      </c>
      <c r="AA72" s="12">
        <f>3709</f>
        <v>3709</v>
      </c>
      <c r="AB72" s="8">
        <v>73034</v>
      </c>
      <c r="AC72" s="12">
        <f>308169.5</f>
        <v>308169.5</v>
      </c>
      <c r="AD72" s="12">
        <f>AC72*1000/L72</f>
        <v>325.53035960826855</v>
      </c>
    </row>
    <row r="73" spans="1:30">
      <c r="B73" s="48" t="s">
        <v>123</v>
      </c>
      <c r="C73" s="107"/>
      <c r="D73" s="13"/>
      <c r="E73" s="13"/>
      <c r="F73" s="14">
        <f>I72/L72/1.95</f>
        <v>0.26795166891652572</v>
      </c>
      <c r="G73" s="14">
        <f>J72/L72/0.35</f>
        <v>0.57464647094179699</v>
      </c>
      <c r="H73" s="14">
        <f>K72/L72/0.075</f>
        <v>4.5070311446415455E-2</v>
      </c>
      <c r="I73" s="15"/>
      <c r="J73" s="15"/>
      <c r="K73" s="15"/>
      <c r="L73" s="15"/>
      <c r="M73" s="15"/>
      <c r="N73" s="13"/>
      <c r="O73" s="14">
        <f>O72/L72</f>
        <v>0.37329837567301771</v>
      </c>
      <c r="P73" s="14">
        <f>P72/M72</f>
        <v>0.26815388898078407</v>
      </c>
      <c r="Q73" s="13"/>
      <c r="R73" s="13"/>
      <c r="S73" s="14">
        <f>S72/R72</f>
        <v>0.51020408163265307</v>
      </c>
      <c r="T73" s="16"/>
      <c r="U73" s="16"/>
      <c r="V73" s="13">
        <f>0.19*L72</f>
        <v>179867.11000000002</v>
      </c>
      <c r="W73" s="13"/>
      <c r="X73" s="13"/>
      <c r="Y73" s="13">
        <v>4253</v>
      </c>
      <c r="Z73" s="17"/>
      <c r="AA73" s="18"/>
      <c r="AB73" s="13"/>
      <c r="AC73" s="18"/>
      <c r="AD73" s="18"/>
    </row>
    <row r="74" spans="1:30" s="55" customFormat="1">
      <c r="A74" s="48"/>
      <c r="B74" s="48" t="s">
        <v>123</v>
      </c>
      <c r="C74" s="112" t="s">
        <v>35</v>
      </c>
      <c r="D74" s="8">
        <v>4439</v>
      </c>
      <c r="E74" s="8">
        <v>41</v>
      </c>
      <c r="F74" s="8">
        <v>2503</v>
      </c>
      <c r="G74" s="8">
        <v>1149</v>
      </c>
      <c r="H74" s="8">
        <v>55</v>
      </c>
      <c r="I74" s="9">
        <f>F74*540</f>
        <v>1351620</v>
      </c>
      <c r="J74" s="9">
        <f>G74*400</f>
        <v>459600</v>
      </c>
      <c r="K74" s="9">
        <f>H74*200</f>
        <v>11000</v>
      </c>
      <c r="L74" s="58">
        <v>2384378</v>
      </c>
      <c r="M74" s="58">
        <v>1267911</v>
      </c>
      <c r="N74" s="8">
        <v>5134</v>
      </c>
      <c r="O74" s="57">
        <v>749054</v>
      </c>
      <c r="P74" s="57">
        <v>234764</v>
      </c>
      <c r="Q74" s="8">
        <v>41616</v>
      </c>
      <c r="R74" s="8">
        <v>13678</v>
      </c>
      <c r="S74" s="8">
        <v>10394</v>
      </c>
      <c r="T74" s="10">
        <f>Y74+Y75</f>
        <v>32341</v>
      </c>
      <c r="U74" s="11">
        <f>V74/V75</f>
        <v>0.2584167266661313</v>
      </c>
      <c r="V74" s="57">
        <v>117071</v>
      </c>
      <c r="W74" s="57">
        <v>236922</v>
      </c>
      <c r="X74" s="8">
        <v>46013</v>
      </c>
      <c r="Y74" s="8">
        <v>260</v>
      </c>
      <c r="Z74" s="11">
        <f>AA74/AC74</f>
        <v>9.3231601805393388E-2</v>
      </c>
      <c r="AA74" s="12">
        <f>296991.3</f>
        <v>296991.3</v>
      </c>
      <c r="AB74" s="8">
        <v>174425</v>
      </c>
      <c r="AC74" s="54">
        <f>3185521.8</f>
        <v>3185521.8</v>
      </c>
      <c r="AD74" s="54">
        <f>AC74*1000/L74</f>
        <v>1335.9969769893867</v>
      </c>
    </row>
    <row r="75" spans="1:30" s="55" customFormat="1">
      <c r="A75" s="48"/>
      <c r="B75" s="48" t="s">
        <v>123</v>
      </c>
      <c r="C75" s="113"/>
      <c r="D75" s="13"/>
      <c r="E75" s="13"/>
      <c r="F75" s="14">
        <f>I74/L74/1.95</f>
        <v>0.29069990644875165</v>
      </c>
      <c r="G75" s="14">
        <f>J74/L74/0.35</f>
        <v>0.5507276351077125</v>
      </c>
      <c r="H75" s="14">
        <f>K74/L74/0.075</f>
        <v>6.1511499714670521E-2</v>
      </c>
      <c r="I75" s="15"/>
      <c r="J75" s="15"/>
      <c r="K75" s="15"/>
      <c r="L75" s="15"/>
      <c r="M75" s="15"/>
      <c r="N75" s="13"/>
      <c r="O75" s="14">
        <f>O74/L74</f>
        <v>0.31415069254958733</v>
      </c>
      <c r="P75" s="14">
        <f>P74/M74</f>
        <v>0.18515810652324965</v>
      </c>
      <c r="Q75" s="13"/>
      <c r="R75" s="13"/>
      <c r="S75" s="14">
        <f>S74/R74</f>
        <v>0.75990641906711509</v>
      </c>
      <c r="T75" s="16"/>
      <c r="U75" s="16"/>
      <c r="V75" s="13">
        <f>0.19*L74</f>
        <v>453031.82</v>
      </c>
      <c r="W75" s="13"/>
      <c r="X75" s="13"/>
      <c r="Y75" s="13">
        <v>32081</v>
      </c>
      <c r="Z75" s="17"/>
      <c r="AA75" s="18"/>
      <c r="AB75" s="13"/>
      <c r="AC75" s="18"/>
      <c r="AD75" s="18"/>
    </row>
    <row r="76" spans="1:30" s="55" customFormat="1">
      <c r="A76" s="48"/>
      <c r="B76" s="48" t="s">
        <v>123</v>
      </c>
      <c r="C76" s="112" t="s">
        <v>36</v>
      </c>
      <c r="D76" s="8">
        <v>9812</v>
      </c>
      <c r="E76" s="8">
        <v>54</v>
      </c>
      <c r="F76" s="8">
        <v>5844</v>
      </c>
      <c r="G76" s="8">
        <v>1765</v>
      </c>
      <c r="H76" s="8">
        <v>139</v>
      </c>
      <c r="I76" s="9">
        <f>F76*540</f>
        <v>3155760</v>
      </c>
      <c r="J76" s="9">
        <f>G76*400</f>
        <v>706000</v>
      </c>
      <c r="K76" s="9">
        <f>H76*200</f>
        <v>27800</v>
      </c>
      <c r="L76" s="58">
        <v>3962773</v>
      </c>
      <c r="M76" s="58">
        <v>2108091</v>
      </c>
      <c r="N76" s="8">
        <v>9344</v>
      </c>
      <c r="O76" s="57">
        <v>1302157</v>
      </c>
      <c r="P76" s="57">
        <v>477138</v>
      </c>
      <c r="Q76" s="8">
        <v>15812</v>
      </c>
      <c r="R76" s="8">
        <v>21119</v>
      </c>
      <c r="S76" s="8">
        <v>11999</v>
      </c>
      <c r="T76" s="10">
        <f>Y76+Y77</f>
        <v>37316</v>
      </c>
      <c r="U76" s="11">
        <f>V76/V77</f>
        <v>0.33084753636166553</v>
      </c>
      <c r="V76" s="57">
        <v>249104</v>
      </c>
      <c r="W76" s="57">
        <v>491561</v>
      </c>
      <c r="X76" s="8">
        <v>116615</v>
      </c>
      <c r="Y76" s="8">
        <v>170</v>
      </c>
      <c r="Z76" s="11">
        <f>AA76/AC76</f>
        <v>9.8484150395881265E-2</v>
      </c>
      <c r="AA76" s="12">
        <f>794198.2</f>
        <v>794198.2</v>
      </c>
      <c r="AB76" s="8">
        <v>661648</v>
      </c>
      <c r="AC76" s="12">
        <f>8064223.5</f>
        <v>8064223.5</v>
      </c>
      <c r="AD76" s="12">
        <f>AC76*1000/L76</f>
        <v>2034.9950653242061</v>
      </c>
    </row>
    <row r="77" spans="1:30" s="55" customFormat="1">
      <c r="A77" s="48"/>
      <c r="B77" s="48" t="s">
        <v>123</v>
      </c>
      <c r="C77" s="113"/>
      <c r="D77" s="13"/>
      <c r="E77" s="13"/>
      <c r="F77" s="14">
        <f>I76/L76/1.95</f>
        <v>0.40838535579465735</v>
      </c>
      <c r="G77" s="14">
        <f>J76/L76/0.35</f>
        <v>0.50902306469304626</v>
      </c>
      <c r="H77" s="14">
        <f>K76/L76/0.075</f>
        <v>9.353719394642758E-2</v>
      </c>
      <c r="I77" s="15"/>
      <c r="J77" s="15"/>
      <c r="K77" s="15"/>
      <c r="L77" s="15"/>
      <c r="M77" s="15"/>
      <c r="N77" s="13"/>
      <c r="O77" s="14">
        <f>O76/L76</f>
        <v>0.3285974240765242</v>
      </c>
      <c r="P77" s="14">
        <f>P76/M76</f>
        <v>0.22633652911567859</v>
      </c>
      <c r="Q77" s="13"/>
      <c r="R77" s="13"/>
      <c r="S77" s="14">
        <f>S76/R76</f>
        <v>0.56816137127704913</v>
      </c>
      <c r="T77" s="16"/>
      <c r="U77" s="16"/>
      <c r="V77" s="13">
        <f>0.19*L76</f>
        <v>752926.87</v>
      </c>
      <c r="W77" s="13"/>
      <c r="X77" s="13"/>
      <c r="Y77" s="13">
        <v>37146</v>
      </c>
      <c r="Z77" s="17"/>
      <c r="AA77" s="18"/>
      <c r="AB77" s="13"/>
      <c r="AC77" s="18"/>
      <c r="AD77" s="18"/>
    </row>
    <row r="78" spans="1:30" s="56" customFormat="1">
      <c r="A78" s="51" t="s">
        <v>129</v>
      </c>
      <c r="B78" s="51" t="s">
        <v>123</v>
      </c>
      <c r="C78" s="114" t="s">
        <v>37</v>
      </c>
      <c r="D78" s="25">
        <f t="shared" ref="D78:T78" si="3">SUM(D76,D74,D72,D70,D68,D66)</f>
        <v>26419</v>
      </c>
      <c r="E78" s="25">
        <f t="shared" si="3"/>
        <v>188</v>
      </c>
      <c r="F78" s="25">
        <f t="shared" si="3"/>
        <v>15568</v>
      </c>
      <c r="G78" s="25">
        <f t="shared" si="3"/>
        <v>5910</v>
      </c>
      <c r="H78" s="25">
        <f t="shared" si="3"/>
        <v>388</v>
      </c>
      <c r="I78" s="20">
        <f t="shared" si="3"/>
        <v>8406720</v>
      </c>
      <c r="J78" s="20">
        <f t="shared" si="3"/>
        <v>2364000</v>
      </c>
      <c r="K78" s="20">
        <f t="shared" si="3"/>
        <v>77600</v>
      </c>
      <c r="L78" s="20">
        <f t="shared" si="3"/>
        <v>13057530</v>
      </c>
      <c r="M78" s="20">
        <f t="shared" si="3"/>
        <v>6935368</v>
      </c>
      <c r="N78" s="25">
        <f t="shared" si="3"/>
        <v>33372</v>
      </c>
      <c r="O78" s="25">
        <f t="shared" si="3"/>
        <v>4902754</v>
      </c>
      <c r="P78" s="25">
        <f t="shared" si="3"/>
        <v>1727932</v>
      </c>
      <c r="Q78" s="25">
        <f t="shared" si="3"/>
        <v>422257</v>
      </c>
      <c r="R78" s="25">
        <f t="shared" si="3"/>
        <v>67361</v>
      </c>
      <c r="S78" s="25">
        <f t="shared" si="3"/>
        <v>40163</v>
      </c>
      <c r="T78" s="25">
        <f t="shared" si="3"/>
        <v>137214</v>
      </c>
      <c r="U78" s="22">
        <f>V78/V79</f>
        <v>0.32370351981214152</v>
      </c>
      <c r="V78" s="25">
        <f>SUM(V76,V74,V72,V70,V68,V66)</f>
        <v>803086</v>
      </c>
      <c r="W78" s="25">
        <f>SUM(W76,W74,W72,W70,W68,W66)</f>
        <v>2205126</v>
      </c>
      <c r="X78" s="25">
        <f>SUM(X76,X74,X72,X70,X68,X66)</f>
        <v>433093</v>
      </c>
      <c r="Y78" s="25">
        <f>SUM(Y76,Y74,Y72,Y70,Y68,Y66)</f>
        <v>877</v>
      </c>
      <c r="Z78" s="22">
        <f>AA78/AC78</f>
        <v>0.28477348446091677</v>
      </c>
      <c r="AA78" s="23">
        <f>SUM(AA66:AA76)</f>
        <v>9824935.8999999985</v>
      </c>
      <c r="AB78" s="25">
        <f>SUM(AB76,AB74,AB72,AB70,AB68,AB66)</f>
        <v>2495863</v>
      </c>
      <c r="AC78" s="23">
        <f>SUM(AC66:AC77)</f>
        <v>34500880.299999997</v>
      </c>
      <c r="AD78" s="23">
        <f>AC78*1000/L78</f>
        <v>2642.221024956481</v>
      </c>
    </row>
    <row r="79" spans="1:30" s="56" customFormat="1">
      <c r="A79" s="51" t="s">
        <v>129</v>
      </c>
      <c r="B79" s="51" t="s">
        <v>123</v>
      </c>
      <c r="C79" s="115"/>
      <c r="D79" s="27"/>
      <c r="E79" s="27"/>
      <c r="F79" s="24">
        <f>I78/L78/1.95</f>
        <v>0.33016492870691944</v>
      </c>
      <c r="G79" s="24">
        <f>J78/L78/0.35</f>
        <v>0.51727131504087798</v>
      </c>
      <c r="H79" s="24">
        <f>K78/L78/0.075</f>
        <v>7.9239080183362912E-2</v>
      </c>
      <c r="I79" s="20"/>
      <c r="J79" s="20"/>
      <c r="K79" s="20"/>
      <c r="L79" s="20"/>
      <c r="M79" s="20"/>
      <c r="N79" s="27"/>
      <c r="O79" s="24">
        <f>O78/L78</f>
        <v>0.37547330927058947</v>
      </c>
      <c r="P79" s="24">
        <f>P78/M78</f>
        <v>0.24914784622820302</v>
      </c>
      <c r="Q79" s="27"/>
      <c r="R79" s="27"/>
      <c r="S79" s="24">
        <f>S78/R78</f>
        <v>0.59623521028488291</v>
      </c>
      <c r="T79" s="29"/>
      <c r="U79" s="29"/>
      <c r="V79" s="27">
        <f>SUM(V77,V75,V73,V71,V69,V67)</f>
        <v>2480930.6999999997</v>
      </c>
      <c r="W79" s="27"/>
      <c r="X79" s="27"/>
      <c r="Y79" s="27">
        <f>SUM(Y77,Y75,Y73,Y71,Y69,Y67)</f>
        <v>136337</v>
      </c>
      <c r="Z79" s="30"/>
      <c r="AA79" s="31"/>
      <c r="AB79" s="27"/>
      <c r="AC79" s="31"/>
      <c r="AD79" s="31"/>
    </row>
    <row r="80" spans="1:30">
      <c r="B80" s="48" t="s">
        <v>124</v>
      </c>
      <c r="C80" s="106" t="s">
        <v>38</v>
      </c>
      <c r="D80" s="8">
        <v>3477</v>
      </c>
      <c r="E80" s="8">
        <v>12</v>
      </c>
      <c r="F80" s="8">
        <v>2048</v>
      </c>
      <c r="G80" s="8">
        <v>868</v>
      </c>
      <c r="H80" s="8">
        <v>21</v>
      </c>
      <c r="I80" s="9">
        <f t="shared" ref="I80:I92" si="4">F80*540</f>
        <v>1105920</v>
      </c>
      <c r="J80" s="9">
        <f>G80*400</f>
        <v>347200</v>
      </c>
      <c r="K80" s="9">
        <f>H80*200</f>
        <v>4200</v>
      </c>
      <c r="L80" s="58">
        <v>2781101</v>
      </c>
      <c r="M80" s="58">
        <v>1443804</v>
      </c>
      <c r="N80" s="8">
        <v>7159</v>
      </c>
      <c r="O80" s="8">
        <v>959091</v>
      </c>
      <c r="P80" s="8">
        <v>211143</v>
      </c>
      <c r="Q80" s="8">
        <v>29991</v>
      </c>
      <c r="R80" s="8">
        <v>1681</v>
      </c>
      <c r="S80" s="8">
        <v>475</v>
      </c>
      <c r="T80" s="10">
        <f>Y80+Y81</f>
        <v>19838</v>
      </c>
      <c r="U80" s="11">
        <f>V80/V81</f>
        <v>0.15433683127274905</v>
      </c>
      <c r="V80" s="8">
        <v>81553</v>
      </c>
      <c r="W80" s="8">
        <v>426138</v>
      </c>
      <c r="X80" s="8">
        <v>111548</v>
      </c>
      <c r="Y80" s="8">
        <v>114</v>
      </c>
      <c r="Z80" s="11">
        <f>AA80/AC80</f>
        <v>6.8492875379978141E-2</v>
      </c>
      <c r="AA80" s="12">
        <f>194600.8</f>
        <v>194600.8</v>
      </c>
      <c r="AB80" s="8">
        <v>959545</v>
      </c>
      <c r="AC80" s="12">
        <f>2841183.1</f>
        <v>2841183.1</v>
      </c>
      <c r="AD80" s="12">
        <f>AC80*1000/L80</f>
        <v>1021.6037101852827</v>
      </c>
    </row>
    <row r="81" spans="1:30">
      <c r="B81" s="48" t="s">
        <v>124</v>
      </c>
      <c r="C81" s="107"/>
      <c r="D81" s="13"/>
      <c r="E81" s="13"/>
      <c r="F81" s="14">
        <f>I80/L80/1.95</f>
        <v>0.20392587739117046</v>
      </c>
      <c r="G81" s="14">
        <f>J80/L80/0.35</f>
        <v>0.35669326644375737</v>
      </c>
      <c r="H81" s="14">
        <f>K80/L80/0.075</f>
        <v>2.0135910202470176E-2</v>
      </c>
      <c r="I81" s="15"/>
      <c r="J81" s="15"/>
      <c r="K81" s="15"/>
      <c r="L81" s="15"/>
      <c r="M81" s="15"/>
      <c r="N81" s="13"/>
      <c r="O81" s="14">
        <f>O80/L80</f>
        <v>0.34486018307138072</v>
      </c>
      <c r="P81" s="14">
        <f>P80/M80</f>
        <v>0.14624076398181471</v>
      </c>
      <c r="Q81" s="13"/>
      <c r="R81" s="13"/>
      <c r="S81" s="14">
        <f>S80/R80</f>
        <v>0.28256989886972039</v>
      </c>
      <c r="T81" s="16"/>
      <c r="U81" s="16"/>
      <c r="V81" s="13">
        <f>0.19*L80</f>
        <v>528409.19000000006</v>
      </c>
      <c r="W81" s="13"/>
      <c r="X81" s="13"/>
      <c r="Y81" s="13">
        <v>19724</v>
      </c>
      <c r="Z81" s="17"/>
      <c r="AA81" s="18"/>
      <c r="AB81" s="13"/>
      <c r="AC81" s="18"/>
      <c r="AD81" s="18"/>
    </row>
    <row r="82" spans="1:30">
      <c r="B82" s="48" t="s">
        <v>124</v>
      </c>
      <c r="C82" s="106" t="s">
        <v>39</v>
      </c>
      <c r="D82" s="8">
        <v>296</v>
      </c>
      <c r="E82" s="8">
        <v>4</v>
      </c>
      <c r="F82" s="8">
        <v>159</v>
      </c>
      <c r="G82" s="8">
        <v>125</v>
      </c>
      <c r="H82" s="8">
        <v>5</v>
      </c>
      <c r="I82" s="9">
        <f t="shared" si="4"/>
        <v>85860</v>
      </c>
      <c r="J82" s="9">
        <f>G82*400</f>
        <v>50000</v>
      </c>
      <c r="K82" s="9">
        <f>H82*200</f>
        <v>1000</v>
      </c>
      <c r="L82" s="58">
        <v>430625</v>
      </c>
      <c r="M82" s="58">
        <v>238169</v>
      </c>
      <c r="N82" s="8">
        <v>980</v>
      </c>
      <c r="O82" s="8">
        <v>61927</v>
      </c>
      <c r="P82" s="8">
        <v>2224</v>
      </c>
      <c r="Q82" s="8">
        <v>23254</v>
      </c>
      <c r="R82" s="8">
        <v>958</v>
      </c>
      <c r="S82" s="8">
        <v>480</v>
      </c>
      <c r="T82" s="10">
        <f>Y82+Y83</f>
        <v>1513</v>
      </c>
      <c r="U82" s="11">
        <f>V82/V83</f>
        <v>8.7889389657016273E-2</v>
      </c>
      <c r="V82" s="8">
        <v>7191</v>
      </c>
      <c r="W82" s="8">
        <v>3276</v>
      </c>
      <c r="X82" s="8">
        <v>16818</v>
      </c>
      <c r="Y82" s="8">
        <v>15</v>
      </c>
      <c r="Z82" s="11">
        <f>AA82/AC82</f>
        <v>0</v>
      </c>
      <c r="AA82" s="12">
        <f>0</f>
        <v>0</v>
      </c>
      <c r="AB82" s="8">
        <v>61927</v>
      </c>
      <c r="AC82" s="12">
        <f>728464.2</f>
        <v>728464.2</v>
      </c>
      <c r="AD82" s="12">
        <f>AC82*1000/L82</f>
        <v>1691.6440058055152</v>
      </c>
    </row>
    <row r="83" spans="1:30">
      <c r="B83" s="48" t="s">
        <v>124</v>
      </c>
      <c r="C83" s="107"/>
      <c r="D83" s="13"/>
      <c r="E83" s="13"/>
      <c r="F83" s="14">
        <f>I82/L82/1.95</f>
        <v>0.10224852071005917</v>
      </c>
      <c r="G83" s="14">
        <f>J82/L82/0.35</f>
        <v>0.33174372797014312</v>
      </c>
      <c r="H83" s="14">
        <f>K82/L82/0.075</f>
        <v>3.0962747943880018E-2</v>
      </c>
      <c r="I83" s="15"/>
      <c r="J83" s="15"/>
      <c r="K83" s="15"/>
      <c r="L83" s="15"/>
      <c r="M83" s="15"/>
      <c r="N83" s="13"/>
      <c r="O83" s="14">
        <f>O82/L82</f>
        <v>0.14380725689404936</v>
      </c>
      <c r="P83" s="14">
        <f>P82/M82</f>
        <v>9.3379071163753463E-3</v>
      </c>
      <c r="Q83" s="13"/>
      <c r="R83" s="13"/>
      <c r="S83" s="14">
        <f>S82/R82</f>
        <v>0.5010438413361169</v>
      </c>
      <c r="T83" s="16"/>
      <c r="U83" s="16"/>
      <c r="V83" s="13">
        <f>0.19*L82</f>
        <v>81818.75</v>
      </c>
      <c r="W83" s="13"/>
      <c r="X83" s="13"/>
      <c r="Y83" s="13">
        <v>1498</v>
      </c>
      <c r="Z83" s="17"/>
      <c r="AA83" s="18"/>
      <c r="AB83" s="13"/>
      <c r="AC83" s="18"/>
      <c r="AD83" s="18"/>
    </row>
    <row r="84" spans="1:30">
      <c r="B84" s="48" t="s">
        <v>124</v>
      </c>
      <c r="C84" s="106" t="s">
        <v>40</v>
      </c>
      <c r="D84" s="8">
        <v>1504</v>
      </c>
      <c r="E84" s="8">
        <v>12</v>
      </c>
      <c r="F84" s="8">
        <v>935</v>
      </c>
      <c r="G84" s="8">
        <v>491</v>
      </c>
      <c r="H84" s="8">
        <v>15</v>
      </c>
      <c r="I84" s="9">
        <f t="shared" si="4"/>
        <v>504900</v>
      </c>
      <c r="J84" s="9">
        <f>G84*400</f>
        <v>196400</v>
      </c>
      <c r="K84" s="9">
        <f>H84*200</f>
        <v>3000</v>
      </c>
      <c r="L84" s="58">
        <v>802301</v>
      </c>
      <c r="M84" s="58">
        <v>426462</v>
      </c>
      <c r="N84" s="8">
        <v>1886</v>
      </c>
      <c r="O84" s="8">
        <v>259361</v>
      </c>
      <c r="P84" s="8">
        <v>84114</v>
      </c>
      <c r="Q84" s="8">
        <v>1156</v>
      </c>
      <c r="R84" s="8">
        <v>2903</v>
      </c>
      <c r="S84" s="8">
        <v>1592</v>
      </c>
      <c r="T84" s="10">
        <f>Y84+Y85</f>
        <v>10690</v>
      </c>
      <c r="U84" s="11">
        <f>V84/V85</f>
        <v>0.35044597712671033</v>
      </c>
      <c r="V84" s="8">
        <v>53421</v>
      </c>
      <c r="W84" s="8">
        <v>46110</v>
      </c>
      <c r="X84" s="8">
        <v>39161</v>
      </c>
      <c r="Y84" s="8">
        <v>72</v>
      </c>
      <c r="Z84" s="11">
        <f>AA84/AC84</f>
        <v>2.6133423293536767E-2</v>
      </c>
      <c r="AA84" s="12">
        <f>22047</f>
        <v>22047</v>
      </c>
      <c r="AB84" s="8">
        <v>90783</v>
      </c>
      <c r="AC84" s="12">
        <v>843632.3</v>
      </c>
      <c r="AD84" s="12">
        <f>AC84*1000/L84</f>
        <v>1051.5159522423628</v>
      </c>
    </row>
    <row r="85" spans="1:30">
      <c r="B85" s="48" t="s">
        <v>124</v>
      </c>
      <c r="C85" s="107"/>
      <c r="D85" s="13"/>
      <c r="E85" s="13"/>
      <c r="F85" s="14">
        <f>I84/L84/1.95</f>
        <v>0.32272560662778299</v>
      </c>
      <c r="G85" s="14">
        <f>J84/L84/0.35</f>
        <v>0.69941687364574789</v>
      </c>
      <c r="H85" s="14">
        <f>K84/L84/0.075</f>
        <v>4.9856599954381214E-2</v>
      </c>
      <c r="I85" s="15"/>
      <c r="J85" s="15"/>
      <c r="K85" s="15"/>
      <c r="L85" s="15"/>
      <c r="M85" s="15"/>
      <c r="N85" s="13"/>
      <c r="O85" s="14">
        <f>O84/L84</f>
        <v>0.32327144051920664</v>
      </c>
      <c r="P85" s="14">
        <f>P84/M84</f>
        <v>0.19723679952727324</v>
      </c>
      <c r="Q85" s="13"/>
      <c r="R85" s="13"/>
      <c r="S85" s="14">
        <f>S84/R84</f>
        <v>0.54839820874956946</v>
      </c>
      <c r="T85" s="16"/>
      <c r="U85" s="16"/>
      <c r="V85" s="13">
        <f>0.19*L84</f>
        <v>152437.19</v>
      </c>
      <c r="W85" s="13"/>
      <c r="X85" s="13"/>
      <c r="Y85" s="13">
        <v>10618</v>
      </c>
      <c r="Z85" s="17"/>
      <c r="AA85" s="18"/>
      <c r="AB85" s="13"/>
      <c r="AC85" s="18"/>
      <c r="AD85" s="18"/>
    </row>
    <row r="86" spans="1:30">
      <c r="B86" s="48" t="s">
        <v>124</v>
      </c>
      <c r="C86" s="106" t="s">
        <v>41</v>
      </c>
      <c r="D86" s="8">
        <v>568</v>
      </c>
      <c r="E86" s="8">
        <v>4</v>
      </c>
      <c r="F86" s="8">
        <v>303</v>
      </c>
      <c r="G86" s="8">
        <v>223</v>
      </c>
      <c r="H86" s="8">
        <v>10</v>
      </c>
      <c r="I86" s="9">
        <f t="shared" si="4"/>
        <v>163620</v>
      </c>
      <c r="J86" s="9">
        <f>G86*400</f>
        <v>89200</v>
      </c>
      <c r="K86" s="9">
        <f>H86*200</f>
        <v>2000</v>
      </c>
      <c r="L86" s="58">
        <v>438028</v>
      </c>
      <c r="M86" s="58">
        <v>235046</v>
      </c>
      <c r="N86" s="8">
        <v>1030</v>
      </c>
      <c r="O86" s="8">
        <v>154890</v>
      </c>
      <c r="P86" s="8">
        <v>38548</v>
      </c>
      <c r="Q86" s="8">
        <v>851</v>
      </c>
      <c r="R86" s="8">
        <v>1999</v>
      </c>
      <c r="S86" s="8">
        <v>1062</v>
      </c>
      <c r="T86" s="10">
        <f>Y86+Y87</f>
        <v>4505</v>
      </c>
      <c r="U86" s="11">
        <f>V86/V87</f>
        <v>0.14502797946586446</v>
      </c>
      <c r="V86" s="57">
        <v>12070</v>
      </c>
      <c r="W86" s="8">
        <v>26619</v>
      </c>
      <c r="X86" s="8">
        <v>15645</v>
      </c>
      <c r="Y86" s="8">
        <v>39</v>
      </c>
      <c r="Z86" s="11">
        <f>AA86/AC86</f>
        <v>6.846969278059668E-6</v>
      </c>
      <c r="AA86" s="12">
        <f>5</f>
        <v>5</v>
      </c>
      <c r="AB86" s="8">
        <v>154912</v>
      </c>
      <c r="AC86" s="12">
        <f>730250.1</f>
        <v>730250.1</v>
      </c>
      <c r="AD86" s="54">
        <f>AC86*1000/L86</f>
        <v>1667.1310966422238</v>
      </c>
    </row>
    <row r="87" spans="1:30">
      <c r="B87" s="48" t="s">
        <v>124</v>
      </c>
      <c r="C87" s="107"/>
      <c r="D87" s="13"/>
      <c r="E87" s="13"/>
      <c r="F87" s="14">
        <f>I86/L86/1.95</f>
        <v>0.19155782805595148</v>
      </c>
      <c r="G87" s="14">
        <f>J86/L86/0.35</f>
        <v>0.58182842845010563</v>
      </c>
      <c r="H87" s="14">
        <f>K86/L86/0.075</f>
        <v>6.087890880643855E-2</v>
      </c>
      <c r="I87" s="15"/>
      <c r="J87" s="15"/>
      <c r="K87" s="15"/>
      <c r="L87" s="15"/>
      <c r="M87" s="15"/>
      <c r="N87" s="13"/>
      <c r="O87" s="14">
        <f>O86/L86</f>
        <v>0.35360753193859751</v>
      </c>
      <c r="P87" s="14">
        <f>P86/M86</f>
        <v>0.16400194004577828</v>
      </c>
      <c r="Q87" s="13"/>
      <c r="R87" s="13"/>
      <c r="S87" s="14">
        <f>S86/R86</f>
        <v>0.53126563281640815</v>
      </c>
      <c r="T87" s="16"/>
      <c r="U87" s="16"/>
      <c r="V87" s="13">
        <f>0.19*L86</f>
        <v>83225.320000000007</v>
      </c>
      <c r="W87" s="13"/>
      <c r="X87" s="13"/>
      <c r="Y87" s="13">
        <v>4466</v>
      </c>
      <c r="Z87" s="17"/>
      <c r="AA87" s="18"/>
      <c r="AB87" s="13"/>
      <c r="AC87" s="18"/>
      <c r="AD87" s="18"/>
    </row>
    <row r="88" spans="1:30">
      <c r="B88" s="48" t="s">
        <v>124</v>
      </c>
      <c r="C88" s="106" t="s">
        <v>42</v>
      </c>
      <c r="D88" s="8">
        <v>1045</v>
      </c>
      <c r="E88" s="8">
        <v>15</v>
      </c>
      <c r="F88" s="8">
        <v>571</v>
      </c>
      <c r="G88" s="8">
        <v>430</v>
      </c>
      <c r="H88" s="8">
        <v>18</v>
      </c>
      <c r="I88" s="9">
        <f t="shared" si="4"/>
        <v>308340</v>
      </c>
      <c r="J88" s="9">
        <f>G88*400</f>
        <v>172000</v>
      </c>
      <c r="K88" s="9">
        <f>H88*200</f>
        <v>3600</v>
      </c>
      <c r="L88" s="58">
        <v>651326</v>
      </c>
      <c r="M88" s="58">
        <v>347783</v>
      </c>
      <c r="N88" s="8">
        <v>2025</v>
      </c>
      <c r="O88" s="8">
        <v>185377</v>
      </c>
      <c r="P88" s="8">
        <v>60917</v>
      </c>
      <c r="Q88" s="8">
        <v>9331</v>
      </c>
      <c r="R88" s="8">
        <v>3848</v>
      </c>
      <c r="S88" s="8">
        <v>1703</v>
      </c>
      <c r="T88" s="10">
        <f>Y88+Y89</f>
        <v>5231</v>
      </c>
      <c r="U88" s="11">
        <f>V88/V89</f>
        <v>0.21954403300667447</v>
      </c>
      <c r="V88" s="8">
        <v>27169</v>
      </c>
      <c r="W88" s="8">
        <v>9162</v>
      </c>
      <c r="X88" s="8">
        <v>27069</v>
      </c>
      <c r="Y88" s="8">
        <v>96</v>
      </c>
      <c r="Z88" s="11">
        <f>AA88/AC88</f>
        <v>1.2398290538417537E-2</v>
      </c>
      <c r="AA88" s="12">
        <f>12070.6</f>
        <v>12070.6</v>
      </c>
      <c r="AB88" s="8">
        <v>98624</v>
      </c>
      <c r="AC88" s="12">
        <f>973569.7</f>
        <v>973569.7</v>
      </c>
      <c r="AD88" s="12">
        <f>AC88*1000/L88</f>
        <v>1494.7502479557088</v>
      </c>
    </row>
    <row r="89" spans="1:30">
      <c r="B89" s="48" t="s">
        <v>124</v>
      </c>
      <c r="C89" s="107"/>
      <c r="D89" s="13"/>
      <c r="E89" s="13"/>
      <c r="F89" s="14">
        <f>I88/L88/1.95</f>
        <v>0.24277101930995681</v>
      </c>
      <c r="G89" s="14">
        <f>J88/L88/0.35</f>
        <v>0.75450476632066188</v>
      </c>
      <c r="H89" s="14">
        <f>K88/L88/0.075</f>
        <v>7.3695814384808836E-2</v>
      </c>
      <c r="I89" s="15"/>
      <c r="J89" s="15"/>
      <c r="K89" s="15"/>
      <c r="L89" s="15"/>
      <c r="M89" s="15"/>
      <c r="N89" s="13"/>
      <c r="O89" s="14">
        <f>O88/L88</f>
        <v>0.28461477048359807</v>
      </c>
      <c r="P89" s="14">
        <f>P88/M88</f>
        <v>0.1751580727062565</v>
      </c>
      <c r="Q89" s="13"/>
      <c r="R89" s="13"/>
      <c r="S89" s="14">
        <f>S88/R88</f>
        <v>0.44256756756756754</v>
      </c>
      <c r="T89" s="16"/>
      <c r="U89" s="16"/>
      <c r="V89" s="13">
        <f>0.19*L88</f>
        <v>123751.94</v>
      </c>
      <c r="W89" s="13"/>
      <c r="X89" s="13"/>
      <c r="Y89" s="13">
        <v>5135</v>
      </c>
      <c r="Z89" s="17"/>
      <c r="AA89" s="18"/>
      <c r="AB89" s="13"/>
      <c r="AC89" s="18"/>
      <c r="AD89" s="18"/>
    </row>
    <row r="90" spans="1:30">
      <c r="B90" s="48" t="s">
        <v>124</v>
      </c>
      <c r="C90" s="106" t="s">
        <v>43</v>
      </c>
      <c r="D90" s="8">
        <v>1219</v>
      </c>
      <c r="E90" s="8">
        <v>13</v>
      </c>
      <c r="F90" s="8">
        <v>695</v>
      </c>
      <c r="G90" s="8">
        <v>489</v>
      </c>
      <c r="H90" s="8">
        <v>7</v>
      </c>
      <c r="I90" s="9">
        <f t="shared" si="4"/>
        <v>375300</v>
      </c>
      <c r="J90" s="9">
        <f>G90*400</f>
        <v>195600</v>
      </c>
      <c r="K90" s="9">
        <f>H90*200</f>
        <v>1400</v>
      </c>
      <c r="L90" s="58">
        <v>1260999</v>
      </c>
      <c r="M90" s="58">
        <v>641974</v>
      </c>
      <c r="N90" s="8">
        <v>4998</v>
      </c>
      <c r="O90" s="8">
        <v>449060</v>
      </c>
      <c r="P90" s="8">
        <v>116078</v>
      </c>
      <c r="Q90" s="8">
        <v>7720</v>
      </c>
      <c r="R90" s="8">
        <v>2241</v>
      </c>
      <c r="S90" s="8">
        <v>359</v>
      </c>
      <c r="T90" s="10">
        <f>Y90+Y91</f>
        <v>4920</v>
      </c>
      <c r="U90" s="11">
        <f>V90/V91</f>
        <v>0.12974257961972591</v>
      </c>
      <c r="V90" s="8">
        <v>31085</v>
      </c>
      <c r="W90" s="8">
        <v>21099</v>
      </c>
      <c r="X90" s="8">
        <v>67782</v>
      </c>
      <c r="Y90" s="8">
        <v>74</v>
      </c>
      <c r="Z90" s="11">
        <f>AA90/AC90</f>
        <v>0.31256512319649543</v>
      </c>
      <c r="AA90" s="12">
        <v>1144404</v>
      </c>
      <c r="AB90" s="8">
        <v>127733</v>
      </c>
      <c r="AC90" s="12">
        <v>3661329.8</v>
      </c>
      <c r="AD90" s="12">
        <f>AC90*1000/L90</f>
        <v>2903.5152287987539</v>
      </c>
    </row>
    <row r="91" spans="1:30">
      <c r="B91" s="48" t="s">
        <v>124</v>
      </c>
      <c r="C91" s="107"/>
      <c r="D91" s="13"/>
      <c r="E91" s="13"/>
      <c r="F91" s="14">
        <f>I90/L90/1.95</f>
        <v>0.15262624194114227</v>
      </c>
      <c r="G91" s="14">
        <f>J90/L90/0.35</f>
        <v>0.44318603175509486</v>
      </c>
      <c r="H91" s="14">
        <f>K90/L90/0.075</f>
        <v>1.4803078088615983E-2</v>
      </c>
      <c r="I91" s="15"/>
      <c r="J91" s="15"/>
      <c r="K91" s="15"/>
      <c r="L91" s="15"/>
      <c r="M91" s="15"/>
      <c r="N91" s="13"/>
      <c r="O91" s="14">
        <f>O90/L90</f>
        <v>0.3561144774896729</v>
      </c>
      <c r="P91" s="14">
        <f>P90/M90</f>
        <v>0.18081417627505164</v>
      </c>
      <c r="Q91" s="13"/>
      <c r="R91" s="13"/>
      <c r="S91" s="14">
        <f>S90/R90</f>
        <v>0.16019634091923249</v>
      </c>
      <c r="T91" s="16"/>
      <c r="U91" s="16"/>
      <c r="V91" s="13">
        <f>0.19*L90</f>
        <v>239589.81</v>
      </c>
      <c r="W91" s="13"/>
      <c r="X91" s="13"/>
      <c r="Y91" s="13">
        <v>4846</v>
      </c>
      <c r="Z91" s="17"/>
      <c r="AA91" s="18"/>
      <c r="AB91" s="13"/>
      <c r="AC91" s="18"/>
      <c r="AD91" s="18"/>
    </row>
    <row r="92" spans="1:30">
      <c r="B92" s="48" t="s">
        <v>124</v>
      </c>
      <c r="C92" s="106" t="s">
        <v>44</v>
      </c>
      <c r="D92" s="8">
        <v>4442</v>
      </c>
      <c r="E92" s="8">
        <v>40</v>
      </c>
      <c r="F92" s="8">
        <v>2695</v>
      </c>
      <c r="G92" s="8">
        <v>1099</v>
      </c>
      <c r="H92" s="8">
        <v>71</v>
      </c>
      <c r="I92" s="9">
        <f t="shared" si="4"/>
        <v>1455300</v>
      </c>
      <c r="J92" s="9">
        <f>G92*400</f>
        <v>439600</v>
      </c>
      <c r="K92" s="9">
        <f>H92*200</f>
        <v>14200</v>
      </c>
      <c r="L92" s="58">
        <v>2616435</v>
      </c>
      <c r="M92" s="58">
        <v>1388711</v>
      </c>
      <c r="N92" s="8">
        <v>5043</v>
      </c>
      <c r="O92" s="57">
        <v>689434</v>
      </c>
      <c r="P92" s="57">
        <v>268913</v>
      </c>
      <c r="Q92" s="8">
        <v>56208</v>
      </c>
      <c r="R92" s="8">
        <v>9823</v>
      </c>
      <c r="S92" s="8">
        <v>5362</v>
      </c>
      <c r="T92" s="10">
        <f>Y92+Y93</f>
        <v>16581</v>
      </c>
      <c r="U92" s="11">
        <f>V92/V93</f>
        <v>0.27288034451860116</v>
      </c>
      <c r="V92" s="57">
        <v>135655</v>
      </c>
      <c r="W92" s="57">
        <v>274219</v>
      </c>
      <c r="X92" s="8">
        <v>54963</v>
      </c>
      <c r="Y92" s="8">
        <v>128</v>
      </c>
      <c r="Z92" s="11">
        <f>AA92/AC92</f>
        <v>7.0313031299188922E-2</v>
      </c>
      <c r="AA92" s="12">
        <f>146299.6</f>
        <v>146299.6</v>
      </c>
      <c r="AB92" s="8">
        <v>406679</v>
      </c>
      <c r="AC92" s="12">
        <f>2080689.7</f>
        <v>2080689.7</v>
      </c>
      <c r="AD92" s="12">
        <f>AC92*1000/L92</f>
        <v>795.23844467758613</v>
      </c>
    </row>
    <row r="93" spans="1:30">
      <c r="B93" s="48" t="s">
        <v>124</v>
      </c>
      <c r="C93" s="107"/>
      <c r="D93" s="13"/>
      <c r="E93" s="13"/>
      <c r="F93" s="14">
        <f>I92/L92/1.95</f>
        <v>0.28523838440767391</v>
      </c>
      <c r="G93" s="14">
        <f>J92/L92/0.35</f>
        <v>0.48004250057807668</v>
      </c>
      <c r="H93" s="14">
        <f>K92/L92/0.075</f>
        <v>7.2363094566971223E-2</v>
      </c>
      <c r="I93" s="15"/>
      <c r="J93" s="15"/>
      <c r="K93" s="15"/>
      <c r="L93" s="15"/>
      <c r="M93" s="15"/>
      <c r="N93" s="13"/>
      <c r="O93" s="14">
        <f>O92/L92</f>
        <v>0.26350129087861918</v>
      </c>
      <c r="P93" s="14">
        <f>P92/M92</f>
        <v>0.193642161688069</v>
      </c>
      <c r="Q93" s="13"/>
      <c r="R93" s="13"/>
      <c r="S93" s="14">
        <f>S92/R92</f>
        <v>0.54586175302860629</v>
      </c>
      <c r="T93" s="16"/>
      <c r="U93" s="16"/>
      <c r="V93" s="13">
        <f>0.19*L92</f>
        <v>497122.65</v>
      </c>
      <c r="W93" s="13"/>
      <c r="X93" s="13"/>
      <c r="Y93" s="13">
        <v>16453</v>
      </c>
      <c r="Z93" s="17"/>
      <c r="AA93" s="18"/>
      <c r="AB93" s="13"/>
      <c r="AC93" s="18"/>
      <c r="AD93" s="18"/>
    </row>
    <row r="94" spans="1:30" s="21" customFormat="1">
      <c r="A94" s="50" t="s">
        <v>129</v>
      </c>
      <c r="B94" s="51" t="s">
        <v>124</v>
      </c>
      <c r="C94" s="110" t="s">
        <v>45</v>
      </c>
      <c r="D94" s="25">
        <f t="shared" ref="D94:T94" si="5">SUM(D92,D90,D88,D86,D84,D82,D80)</f>
        <v>12551</v>
      </c>
      <c r="E94" s="25">
        <f t="shared" si="5"/>
        <v>100</v>
      </c>
      <c r="F94" s="25">
        <f t="shared" si="5"/>
        <v>7406</v>
      </c>
      <c r="G94" s="25">
        <f t="shared" si="5"/>
        <v>3725</v>
      </c>
      <c r="H94" s="25">
        <f t="shared" si="5"/>
        <v>147</v>
      </c>
      <c r="I94" s="20">
        <f t="shared" si="5"/>
        <v>3999240</v>
      </c>
      <c r="J94" s="20">
        <f t="shared" si="5"/>
        <v>1490000</v>
      </c>
      <c r="K94" s="20">
        <f t="shared" si="5"/>
        <v>29400</v>
      </c>
      <c r="L94" s="20">
        <f t="shared" si="5"/>
        <v>8980815</v>
      </c>
      <c r="M94" s="20">
        <f t="shared" si="5"/>
        <v>4721949</v>
      </c>
      <c r="N94" s="25">
        <f t="shared" si="5"/>
        <v>23121</v>
      </c>
      <c r="O94" s="25">
        <f t="shared" si="5"/>
        <v>2759140</v>
      </c>
      <c r="P94" s="25">
        <f t="shared" si="5"/>
        <v>781937</v>
      </c>
      <c r="Q94" s="25">
        <f t="shared" si="5"/>
        <v>128511</v>
      </c>
      <c r="R94" s="25">
        <f t="shared" si="5"/>
        <v>23453</v>
      </c>
      <c r="S94" s="25">
        <f t="shared" si="5"/>
        <v>11033</v>
      </c>
      <c r="T94" s="25">
        <f t="shared" si="5"/>
        <v>63278</v>
      </c>
      <c r="U94" s="22">
        <f>V94/V95</f>
        <v>0.20402790193376247</v>
      </c>
      <c r="V94" s="25">
        <f>SUM(V92,V90,V88,V86,V84,V82,V80)</f>
        <v>348144</v>
      </c>
      <c r="W94" s="25">
        <f>SUM(W92,W90,W88,W86,W84,W82,W80)</f>
        <v>806623</v>
      </c>
      <c r="X94" s="25">
        <f>SUM(X92,X90,X88,X86,X84,X82,X80)</f>
        <v>332986</v>
      </c>
      <c r="Y94" s="25">
        <f>SUM(Y92,Y90,Y88,Y86,Y84,Y82,Y80)</f>
        <v>538</v>
      </c>
      <c r="Z94" s="22">
        <f>AA94/AC94</f>
        <v>0.12812309352931778</v>
      </c>
      <c r="AA94" s="23">
        <f>SUM(AA80:AA92)</f>
        <v>1519427</v>
      </c>
      <c r="AB94" s="25">
        <f>SUM(AB92,AB90,AB88,AB86,AB84,AB82,AB80)</f>
        <v>1900203</v>
      </c>
      <c r="AC94" s="23">
        <f>SUM(AC80:AC92)</f>
        <v>11859118.899999999</v>
      </c>
      <c r="AD94" s="23">
        <f>AC94*1000/L94</f>
        <v>1320.4947323823058</v>
      </c>
    </row>
    <row r="95" spans="1:30" s="21" customFormat="1">
      <c r="A95" s="50" t="s">
        <v>129</v>
      </c>
      <c r="B95" s="51" t="s">
        <v>124</v>
      </c>
      <c r="C95" s="111"/>
      <c r="D95" s="27"/>
      <c r="E95" s="27"/>
      <c r="F95" s="24">
        <f>I94/L94/1.95</f>
        <v>0.22836371840331948</v>
      </c>
      <c r="G95" s="24">
        <f>J94/L94/0.35</f>
        <v>0.47402633916218712</v>
      </c>
      <c r="H95" s="24">
        <f>K94/L94/0.075</f>
        <v>4.3648599820840316E-2</v>
      </c>
      <c r="I95" s="20"/>
      <c r="J95" s="20"/>
      <c r="K95" s="20"/>
      <c r="L95" s="20"/>
      <c r="M95" s="20"/>
      <c r="N95" s="27"/>
      <c r="O95" s="24">
        <f>O94/L94</f>
        <v>0.3072260145654932</v>
      </c>
      <c r="P95" s="24">
        <f>P94/M94</f>
        <v>0.16559624002715828</v>
      </c>
      <c r="Q95" s="27"/>
      <c r="R95" s="27"/>
      <c r="S95" s="24">
        <f>S94/R94</f>
        <v>0.4704302221464205</v>
      </c>
      <c r="T95" s="29"/>
      <c r="U95" s="29"/>
      <c r="V95" s="27">
        <f>SUM(V93,V91,V89,V87,V85,V83,V81)</f>
        <v>1706354.85</v>
      </c>
      <c r="W95" s="27"/>
      <c r="X95" s="27"/>
      <c r="Y95" s="27">
        <f>SUM(Y93,Y91,Y89,Y87,Y85,Y83,Y81)</f>
        <v>62740</v>
      </c>
      <c r="Z95" s="30"/>
      <c r="AA95" s="31"/>
      <c r="AB95" s="27"/>
      <c r="AC95" s="31"/>
      <c r="AD95" s="31"/>
    </row>
    <row r="96" spans="1:30">
      <c r="B96" s="48" t="s">
        <v>125</v>
      </c>
      <c r="C96" s="106" t="s">
        <v>46</v>
      </c>
      <c r="D96" s="8">
        <v>11140</v>
      </c>
      <c r="E96" s="8">
        <v>30</v>
      </c>
      <c r="F96" s="8">
        <v>6345</v>
      </c>
      <c r="G96" s="8">
        <v>2507</v>
      </c>
      <c r="H96" s="8">
        <v>190</v>
      </c>
      <c r="I96" s="9">
        <f t="shared" ref="I96:I122" si="6">F96*540</f>
        <v>3426300</v>
      </c>
      <c r="J96" s="9">
        <f>G96*400</f>
        <v>1002800</v>
      </c>
      <c r="K96" s="9">
        <f>H96*200</f>
        <v>38000</v>
      </c>
      <c r="L96" s="58">
        <v>3770539</v>
      </c>
      <c r="M96" s="58">
        <v>1984019</v>
      </c>
      <c r="N96" s="8">
        <v>7938</v>
      </c>
      <c r="O96" s="57">
        <v>1169371</v>
      </c>
      <c r="P96" s="57">
        <v>442937</v>
      </c>
      <c r="Q96" s="8">
        <v>33999</v>
      </c>
      <c r="R96" s="8">
        <v>18447</v>
      </c>
      <c r="S96" s="8">
        <v>10192</v>
      </c>
      <c r="T96" s="10">
        <f>Y96+Y97</f>
        <v>32085</v>
      </c>
      <c r="U96" s="11">
        <f>V96/V97</f>
        <v>0.42952954331909632</v>
      </c>
      <c r="V96" s="57">
        <v>307716</v>
      </c>
      <c r="W96" s="57">
        <v>481556</v>
      </c>
      <c r="X96" s="8">
        <v>125513</v>
      </c>
      <c r="Y96" s="8">
        <v>155</v>
      </c>
      <c r="Z96" s="11">
        <f>AA96/AC96</f>
        <v>0.18852437809394149</v>
      </c>
      <c r="AA96" s="12">
        <f>461974.2</f>
        <v>461974.2</v>
      </c>
      <c r="AB96" s="8">
        <v>634324</v>
      </c>
      <c r="AC96" s="12">
        <f>2450474.6</f>
        <v>2450474.6</v>
      </c>
      <c r="AD96" s="12">
        <f>AC96*1000/L96</f>
        <v>649.90034581262785</v>
      </c>
    </row>
    <row r="97" spans="2:30">
      <c r="B97" s="48" t="s">
        <v>125</v>
      </c>
      <c r="C97" s="107"/>
      <c r="D97" s="13"/>
      <c r="E97" s="13"/>
      <c r="F97" s="14">
        <f>I96/L96/1.95</f>
        <v>0.46600152473609824</v>
      </c>
      <c r="G97" s="14">
        <f>J96/L96/0.35</f>
        <v>0.7598762026179432</v>
      </c>
      <c r="H97" s="14">
        <f>K96/L96/0.075</f>
        <v>0.13437512956812453</v>
      </c>
      <c r="I97" s="15"/>
      <c r="J97" s="15"/>
      <c r="K97" s="15"/>
      <c r="L97" s="15"/>
      <c r="M97" s="15"/>
      <c r="N97" s="13"/>
      <c r="O97" s="14">
        <f>O96/L96</f>
        <v>0.31013364402277765</v>
      </c>
      <c r="P97" s="14">
        <f>P96/M96</f>
        <v>0.22325239828852445</v>
      </c>
      <c r="Q97" s="13"/>
      <c r="R97" s="13"/>
      <c r="S97" s="14">
        <f>S96/R96</f>
        <v>0.55250176180408739</v>
      </c>
      <c r="T97" s="16"/>
      <c r="U97" s="16"/>
      <c r="V97" s="13">
        <f>0.19*L96</f>
        <v>716402.41</v>
      </c>
      <c r="W97" s="13"/>
      <c r="X97" s="13"/>
      <c r="Y97" s="13">
        <v>31930</v>
      </c>
      <c r="Z97" s="17"/>
      <c r="AA97" s="18"/>
      <c r="AB97" s="13"/>
      <c r="AC97" s="18"/>
      <c r="AD97" s="18"/>
    </row>
    <row r="98" spans="2:30">
      <c r="B98" s="48" t="s">
        <v>125</v>
      </c>
      <c r="C98" s="106" t="s">
        <v>47</v>
      </c>
      <c r="D98" s="8">
        <v>1674</v>
      </c>
      <c r="E98" s="8">
        <v>6</v>
      </c>
      <c r="F98" s="8">
        <v>1003</v>
      </c>
      <c r="G98" s="8">
        <v>387</v>
      </c>
      <c r="H98" s="8">
        <v>34</v>
      </c>
      <c r="I98" s="9">
        <f t="shared" si="6"/>
        <v>541620</v>
      </c>
      <c r="J98" s="9">
        <f>G98*400</f>
        <v>154800</v>
      </c>
      <c r="K98" s="9">
        <f>H98*200</f>
        <v>6800</v>
      </c>
      <c r="L98" s="58">
        <v>637459</v>
      </c>
      <c r="M98" s="58">
        <v>336594</v>
      </c>
      <c r="N98" s="8">
        <v>1274</v>
      </c>
      <c r="O98" s="57">
        <v>240271</v>
      </c>
      <c r="P98" s="57">
        <v>109678</v>
      </c>
      <c r="Q98" s="8">
        <v>6966</v>
      </c>
      <c r="R98" s="8">
        <v>6924</v>
      </c>
      <c r="S98" s="8">
        <v>6060</v>
      </c>
      <c r="T98" s="10">
        <f>Y98+Y99</f>
        <v>58077</v>
      </c>
      <c r="U98" s="11">
        <f>V98/V99</f>
        <v>0.42251633768644437</v>
      </c>
      <c r="V98" s="57">
        <v>51174</v>
      </c>
      <c r="W98" s="8">
        <v>103746</v>
      </c>
      <c r="X98" s="8">
        <v>16480</v>
      </c>
      <c r="Y98" s="8">
        <v>21</v>
      </c>
      <c r="Z98" s="11">
        <f>AA98/AC98</f>
        <v>0.18074625947708339</v>
      </c>
      <c r="AA98" s="12">
        <f>270075.2</f>
        <v>270075.2</v>
      </c>
      <c r="AB98" s="8">
        <v>180705</v>
      </c>
      <c r="AC98" s="12">
        <f>1494222.9</f>
        <v>1494222.9</v>
      </c>
      <c r="AD98" s="12">
        <f>AC98*1000/L98</f>
        <v>2344.0298121134065</v>
      </c>
    </row>
    <row r="99" spans="2:30">
      <c r="B99" s="48" t="s">
        <v>125</v>
      </c>
      <c r="C99" s="107"/>
      <c r="D99" s="13"/>
      <c r="E99" s="13"/>
      <c r="F99" s="14">
        <f>I98/L98/1.95</f>
        <v>0.43572033049003334</v>
      </c>
      <c r="G99" s="14">
        <f>J98/L98/0.35</f>
        <v>0.69382613514863589</v>
      </c>
      <c r="H99" s="14">
        <f>K98/L98/0.075</f>
        <v>0.14223136965148608</v>
      </c>
      <c r="I99" s="15"/>
      <c r="J99" s="15"/>
      <c r="K99" s="15"/>
      <c r="L99" s="15"/>
      <c r="M99" s="15"/>
      <c r="N99" s="13"/>
      <c r="O99" s="14">
        <f>O98/L98</f>
        <v>0.37691992739925234</v>
      </c>
      <c r="P99" s="14">
        <f>P98/M98</f>
        <v>0.32584656886337843</v>
      </c>
      <c r="Q99" s="13"/>
      <c r="R99" s="13"/>
      <c r="S99" s="14">
        <f>S98/R98</f>
        <v>0.87521663778162917</v>
      </c>
      <c r="T99" s="16"/>
      <c r="U99" s="16"/>
      <c r="V99" s="13">
        <f>0.19*L98</f>
        <v>121117.21</v>
      </c>
      <c r="W99" s="13"/>
      <c r="X99" s="13"/>
      <c r="Y99" s="13">
        <v>58056</v>
      </c>
      <c r="Z99" s="17"/>
      <c r="AA99" s="18"/>
      <c r="AB99" s="13"/>
      <c r="AC99" s="18"/>
      <c r="AD99" s="18"/>
    </row>
    <row r="100" spans="2:30">
      <c r="B100" s="48" t="s">
        <v>125</v>
      </c>
      <c r="C100" s="106" t="s">
        <v>48</v>
      </c>
      <c r="D100" s="8">
        <v>2112</v>
      </c>
      <c r="E100" s="8">
        <v>7</v>
      </c>
      <c r="F100" s="8">
        <v>1268</v>
      </c>
      <c r="G100" s="8">
        <v>547</v>
      </c>
      <c r="H100" s="8">
        <v>26</v>
      </c>
      <c r="I100" s="9">
        <f t="shared" si="6"/>
        <v>684720</v>
      </c>
      <c r="J100" s="9">
        <f>G100*400</f>
        <v>218800</v>
      </c>
      <c r="K100" s="9">
        <f>H100*200</f>
        <v>5200</v>
      </c>
      <c r="L100" s="58">
        <v>756297</v>
      </c>
      <c r="M100" s="58">
        <v>401055</v>
      </c>
      <c r="N100" s="8">
        <v>2656</v>
      </c>
      <c r="O100" s="57">
        <v>269866</v>
      </c>
      <c r="P100" s="57">
        <v>121482</v>
      </c>
      <c r="Q100" s="8">
        <v>16354</v>
      </c>
      <c r="R100" s="8">
        <v>5694</v>
      </c>
      <c r="S100" s="8">
        <v>2945</v>
      </c>
      <c r="T100" s="10">
        <f>Y100+Y101</f>
        <v>34084</v>
      </c>
      <c r="U100" s="11">
        <f>V100/V101</f>
        <v>0.60740548669163186</v>
      </c>
      <c r="V100" s="57">
        <v>87282</v>
      </c>
      <c r="W100" s="8">
        <v>125004</v>
      </c>
      <c r="X100" s="8">
        <v>24261</v>
      </c>
      <c r="Y100" s="8">
        <v>45</v>
      </c>
      <c r="Z100" s="11">
        <f>AA100/AC100</f>
        <v>6.4654268182784511E-2</v>
      </c>
      <c r="AA100" s="12">
        <f>243753.8</f>
        <v>243753.8</v>
      </c>
      <c r="AB100" s="8">
        <v>175558</v>
      </c>
      <c r="AC100" s="12">
        <f>3770111.5</f>
        <v>3770111.5</v>
      </c>
      <c r="AD100" s="12">
        <f>AC100*1000/L100</f>
        <v>4984.9615957752048</v>
      </c>
    </row>
    <row r="101" spans="2:30">
      <c r="B101" s="48" t="s">
        <v>125</v>
      </c>
      <c r="C101" s="107"/>
      <c r="D101" s="13"/>
      <c r="E101" s="13"/>
      <c r="F101" s="14">
        <f>I100/L100/1.95</f>
        <v>0.46428646621428032</v>
      </c>
      <c r="G101" s="14">
        <f>J100/L100/0.35</f>
        <v>0.82658381183960428</v>
      </c>
      <c r="H101" s="14">
        <f>K100/L100/0.075</f>
        <v>9.167474329970017E-2</v>
      </c>
      <c r="I101" s="15"/>
      <c r="J101" s="15"/>
      <c r="K101" s="15"/>
      <c r="L101" s="15"/>
      <c r="M101" s="15"/>
      <c r="N101" s="13"/>
      <c r="O101" s="14">
        <f>O100/L100</f>
        <v>0.35682542704783965</v>
      </c>
      <c r="P101" s="14">
        <f>P100/M100</f>
        <v>0.30290608520028423</v>
      </c>
      <c r="Q101" s="13"/>
      <c r="R101" s="13"/>
      <c r="S101" s="14">
        <f>S100/R100</f>
        <v>0.51721109940288024</v>
      </c>
      <c r="T101" s="16"/>
      <c r="U101" s="16"/>
      <c r="V101" s="13">
        <f>0.19*L100</f>
        <v>143696.43</v>
      </c>
      <c r="W101" s="13"/>
      <c r="X101" s="13"/>
      <c r="Y101" s="13">
        <v>34039</v>
      </c>
      <c r="Z101" s="17"/>
      <c r="AA101" s="18"/>
      <c r="AB101" s="13"/>
      <c r="AC101" s="18"/>
      <c r="AD101" s="18"/>
    </row>
    <row r="102" spans="2:30">
      <c r="B102" s="48" t="s">
        <v>125</v>
      </c>
      <c r="C102" s="106" t="s">
        <v>49</v>
      </c>
      <c r="D102" s="8">
        <v>10578</v>
      </c>
      <c r="E102" s="8">
        <v>44</v>
      </c>
      <c r="F102" s="8">
        <v>5172</v>
      </c>
      <c r="G102" s="8">
        <v>1993</v>
      </c>
      <c r="H102" s="8">
        <v>184</v>
      </c>
      <c r="I102" s="9">
        <f t="shared" si="6"/>
        <v>2792880</v>
      </c>
      <c r="J102" s="9">
        <f>G102*400</f>
        <v>797200</v>
      </c>
      <c r="K102" s="9">
        <f>H102*200</f>
        <v>36800</v>
      </c>
      <c r="L102" s="58">
        <v>3563241</v>
      </c>
      <c r="M102" s="58">
        <v>1896433</v>
      </c>
      <c r="N102" s="8">
        <v>9152</v>
      </c>
      <c r="O102" s="57">
        <v>1418786</v>
      </c>
      <c r="P102" s="57">
        <v>587231</v>
      </c>
      <c r="Q102" s="8">
        <v>61183</v>
      </c>
      <c r="R102" s="8">
        <v>25788</v>
      </c>
      <c r="S102" s="8">
        <v>19786</v>
      </c>
      <c r="T102" s="10">
        <f>Y102+Y103</f>
        <v>17281</v>
      </c>
      <c r="U102" s="11">
        <f>V102/V103</f>
        <v>0.37209915000653082</v>
      </c>
      <c r="V102" s="57">
        <v>251917</v>
      </c>
      <c r="W102" s="8">
        <v>544275</v>
      </c>
      <c r="X102" s="8">
        <v>117235</v>
      </c>
      <c r="Y102" s="8">
        <v>52</v>
      </c>
      <c r="Z102" s="11">
        <f>AA102/AC102</f>
        <v>6.2777274814660625E-2</v>
      </c>
      <c r="AA102" s="12">
        <f>490557.1</f>
        <v>490557.1</v>
      </c>
      <c r="AB102" s="8">
        <v>424666</v>
      </c>
      <c r="AC102" s="12">
        <f>7814246.5</f>
        <v>7814246.5</v>
      </c>
      <c r="AD102" s="12">
        <f>AC102*1000/L102</f>
        <v>2193.0165543110893</v>
      </c>
    </row>
    <row r="103" spans="2:30">
      <c r="B103" s="48" t="s">
        <v>125</v>
      </c>
      <c r="C103" s="107"/>
      <c r="D103" s="13"/>
      <c r="E103" s="13"/>
      <c r="F103" s="14">
        <f>I102/L102/1.95</f>
        <v>0.40195040241346403</v>
      </c>
      <c r="G103" s="14">
        <f>J102/L102/0.35</f>
        <v>0.63922543709905832</v>
      </c>
      <c r="H103" s="14">
        <f>K102/L102/0.075</f>
        <v>0.13770235206281772</v>
      </c>
      <c r="I103" s="15"/>
      <c r="J103" s="15"/>
      <c r="K103" s="15"/>
      <c r="L103" s="15"/>
      <c r="M103" s="15"/>
      <c r="N103" s="13"/>
      <c r="O103" s="14">
        <f>O102/L102</f>
        <v>0.39817289933518391</v>
      </c>
      <c r="P103" s="14">
        <f>P102/M102</f>
        <v>0.30965027501630693</v>
      </c>
      <c r="Q103" s="13"/>
      <c r="R103" s="13"/>
      <c r="S103" s="14">
        <f>S102/R102</f>
        <v>0.76725608810299362</v>
      </c>
      <c r="T103" s="16"/>
      <c r="U103" s="16"/>
      <c r="V103" s="13">
        <f>0.19*L102</f>
        <v>677015.79</v>
      </c>
      <c r="W103" s="13"/>
      <c r="X103" s="13"/>
      <c r="Y103" s="13">
        <v>17229</v>
      </c>
      <c r="Z103" s="17"/>
      <c r="AA103" s="18"/>
      <c r="AB103" s="13"/>
      <c r="AC103" s="18"/>
      <c r="AD103" s="18"/>
    </row>
    <row r="104" spans="2:30">
      <c r="B104" s="48" t="s">
        <v>125</v>
      </c>
      <c r="C104" s="106" t="s">
        <v>50</v>
      </c>
      <c r="D104" s="8">
        <v>3165</v>
      </c>
      <c r="E104" s="8">
        <v>31</v>
      </c>
      <c r="F104" s="8">
        <v>1369</v>
      </c>
      <c r="G104" s="8">
        <v>809</v>
      </c>
      <c r="H104" s="8">
        <v>70</v>
      </c>
      <c r="I104" s="9">
        <f t="shared" si="6"/>
        <v>739260</v>
      </c>
      <c r="J104" s="9">
        <f>G104*400</f>
        <v>323600</v>
      </c>
      <c r="K104" s="9">
        <f>H104*200</f>
        <v>14000</v>
      </c>
      <c r="L104" s="58">
        <v>1409505</v>
      </c>
      <c r="M104" s="58">
        <v>753490</v>
      </c>
      <c r="N104" s="8">
        <v>3659</v>
      </c>
      <c r="O104" s="57">
        <v>449724</v>
      </c>
      <c r="P104" s="57">
        <v>204014</v>
      </c>
      <c r="Q104" s="8">
        <v>735</v>
      </c>
      <c r="R104" s="8">
        <v>7353</v>
      </c>
      <c r="S104" s="8">
        <v>4997</v>
      </c>
      <c r="T104" s="10">
        <f>Y104+Y105</f>
        <v>21645</v>
      </c>
      <c r="U104" s="11">
        <f>V104/V105</f>
        <v>0.32542219468984912</v>
      </c>
      <c r="V104" s="57">
        <v>87150</v>
      </c>
      <c r="W104" s="8">
        <v>111960</v>
      </c>
      <c r="X104" s="8">
        <v>61286</v>
      </c>
      <c r="Y104" s="8">
        <v>130</v>
      </c>
      <c r="Z104" s="11">
        <f>AA104/AC104</f>
        <v>0.2907085301425934</v>
      </c>
      <c r="AA104" s="12">
        <f>1349208.9</f>
        <v>1349208.9</v>
      </c>
      <c r="AB104" s="8">
        <v>207811</v>
      </c>
      <c r="AC104" s="12">
        <f>4641105.3</f>
        <v>4641105.3</v>
      </c>
      <c r="AD104" s="12">
        <f>AC104*1000/L104</f>
        <v>3292.7199974459118</v>
      </c>
    </row>
    <row r="105" spans="2:30">
      <c r="B105" s="48" t="s">
        <v>125</v>
      </c>
      <c r="C105" s="107"/>
      <c r="D105" s="13"/>
      <c r="E105" s="13"/>
      <c r="F105" s="14">
        <f>I104/L104/1.95</f>
        <v>0.26896512769212755</v>
      </c>
      <c r="G105" s="14">
        <f>J104/L104/0.35</f>
        <v>0.65595469939548179</v>
      </c>
      <c r="H105" s="14">
        <f>K104/L104/0.075</f>
        <v>0.13243419971313808</v>
      </c>
      <c r="I105" s="15"/>
      <c r="J105" s="15"/>
      <c r="K105" s="15"/>
      <c r="L105" s="15"/>
      <c r="M105" s="15"/>
      <c r="N105" s="13"/>
      <c r="O105" s="14">
        <f>O104/L104</f>
        <v>0.31906520374173913</v>
      </c>
      <c r="P105" s="14">
        <f>P104/M104</f>
        <v>0.2707587360150765</v>
      </c>
      <c r="Q105" s="13"/>
      <c r="R105" s="13"/>
      <c r="S105" s="14">
        <f>S104/R104</f>
        <v>0.67958656330749356</v>
      </c>
      <c r="T105" s="16"/>
      <c r="U105" s="16"/>
      <c r="V105" s="13">
        <f>0.19*L104</f>
        <v>267805.95</v>
      </c>
      <c r="W105" s="13"/>
      <c r="X105" s="13"/>
      <c r="Y105" s="13">
        <v>21515</v>
      </c>
      <c r="Z105" s="17"/>
      <c r="AA105" s="18"/>
      <c r="AB105" s="13"/>
      <c r="AC105" s="18"/>
      <c r="AD105" s="18"/>
    </row>
    <row r="106" spans="2:30">
      <c r="B106" s="48" t="s">
        <v>125</v>
      </c>
      <c r="C106" s="106" t="s">
        <v>51</v>
      </c>
      <c r="D106" s="8">
        <v>3903</v>
      </c>
      <c r="E106" s="8">
        <v>11</v>
      </c>
      <c r="F106" s="8">
        <v>2253</v>
      </c>
      <c r="G106" s="8">
        <v>745</v>
      </c>
      <c r="H106" s="8">
        <v>70</v>
      </c>
      <c r="I106" s="9">
        <f t="shared" si="6"/>
        <v>1216620</v>
      </c>
      <c r="J106" s="9">
        <f>G106*400</f>
        <v>298000</v>
      </c>
      <c r="K106" s="9">
        <f>H106*200</f>
        <v>14000</v>
      </c>
      <c r="L106" s="58">
        <v>1146090</v>
      </c>
      <c r="M106" s="58">
        <v>604437</v>
      </c>
      <c r="N106" s="8">
        <v>2422</v>
      </c>
      <c r="O106" s="57">
        <v>449049</v>
      </c>
      <c r="P106" s="57">
        <v>217501</v>
      </c>
      <c r="Q106" s="8">
        <v>118871</v>
      </c>
      <c r="R106" s="8">
        <v>6499</v>
      </c>
      <c r="S106" s="8">
        <v>5497</v>
      </c>
      <c r="T106" s="10">
        <f>Y106+Y107</f>
        <v>52530</v>
      </c>
      <c r="U106" s="11">
        <f>V106/V107</f>
        <v>0.46072894982528695</v>
      </c>
      <c r="V106" s="57">
        <v>100327</v>
      </c>
      <c r="W106" s="8">
        <v>202003</v>
      </c>
      <c r="X106" s="8">
        <v>37513</v>
      </c>
      <c r="Y106" s="8">
        <v>71</v>
      </c>
      <c r="Z106" s="11">
        <f>AA106/AC106</f>
        <v>0.10365923246320366</v>
      </c>
      <c r="AA106" s="12">
        <v>300466.89999999997</v>
      </c>
      <c r="AB106" s="8">
        <v>310978</v>
      </c>
      <c r="AC106" s="12">
        <v>2898602.3999999994</v>
      </c>
      <c r="AD106" s="12">
        <f>AC106*1000/L106</f>
        <v>2529.1228437557256</v>
      </c>
    </row>
    <row r="107" spans="2:30">
      <c r="B107" s="48" t="s">
        <v>125</v>
      </c>
      <c r="C107" s="107"/>
      <c r="D107" s="13"/>
      <c r="E107" s="13"/>
      <c r="F107" s="14">
        <f>I106/L106/1.95</f>
        <v>0.54437931777407733</v>
      </c>
      <c r="G107" s="14">
        <f>J106/L106/0.35</f>
        <v>0.74289852579515703</v>
      </c>
      <c r="H107" s="14">
        <f>K106/L106/0.075</f>
        <v>0.16287260744502324</v>
      </c>
      <c r="I107" s="15"/>
      <c r="J107" s="15"/>
      <c r="K107" s="15"/>
      <c r="L107" s="15"/>
      <c r="M107" s="15"/>
      <c r="N107" s="13"/>
      <c r="O107" s="14">
        <f>O106/L106</f>
        <v>0.39180954375310839</v>
      </c>
      <c r="P107" s="14">
        <f>P106/M106</f>
        <v>0.35984064509618041</v>
      </c>
      <c r="Q107" s="13"/>
      <c r="R107" s="13"/>
      <c r="S107" s="14">
        <f>S106/R106</f>
        <v>0.84582243422064929</v>
      </c>
      <c r="T107" s="16"/>
      <c r="U107" s="16"/>
      <c r="V107" s="13">
        <f>0.19*L106</f>
        <v>217757.1</v>
      </c>
      <c r="W107" s="13"/>
      <c r="X107" s="13"/>
      <c r="Y107" s="13">
        <v>52459</v>
      </c>
      <c r="Z107" s="17"/>
      <c r="AA107" s="18"/>
      <c r="AB107" s="13"/>
      <c r="AC107" s="18"/>
      <c r="AD107" s="18"/>
    </row>
    <row r="108" spans="2:30">
      <c r="B108" s="48" t="s">
        <v>125</v>
      </c>
      <c r="C108" s="106" t="s">
        <v>52</v>
      </c>
      <c r="D108" s="8">
        <v>5048</v>
      </c>
      <c r="E108" s="8">
        <v>29</v>
      </c>
      <c r="F108" s="8">
        <v>2329</v>
      </c>
      <c r="G108" s="8">
        <v>1250</v>
      </c>
      <c r="H108" s="8">
        <v>64</v>
      </c>
      <c r="I108" s="9">
        <f t="shared" si="6"/>
        <v>1257660</v>
      </c>
      <c r="J108" s="9">
        <f>G108*400</f>
        <v>500000</v>
      </c>
      <c r="K108" s="9">
        <f>H108*200</f>
        <v>12800</v>
      </c>
      <c r="L108" s="58">
        <v>2447057</v>
      </c>
      <c r="M108" s="58">
        <v>1309944</v>
      </c>
      <c r="N108" s="8">
        <v>6203</v>
      </c>
      <c r="O108" s="57">
        <v>739379</v>
      </c>
      <c r="P108" s="57">
        <v>300792</v>
      </c>
      <c r="Q108" s="8">
        <v>19163</v>
      </c>
      <c r="R108" s="8">
        <v>11418</v>
      </c>
      <c r="S108" s="8">
        <v>6814</v>
      </c>
      <c r="T108" s="10">
        <f>Y108+Y109</f>
        <v>10865</v>
      </c>
      <c r="U108" s="11">
        <f>V108/V109</f>
        <v>0.32999898073051576</v>
      </c>
      <c r="V108" s="57">
        <v>153430</v>
      </c>
      <c r="W108" s="8">
        <v>229571</v>
      </c>
      <c r="X108" s="8">
        <v>84308</v>
      </c>
      <c r="Y108" s="8">
        <v>210</v>
      </c>
      <c r="Z108" s="11">
        <f>AA108/AC108</f>
        <v>8.7300462091438893E-2</v>
      </c>
      <c r="AA108" s="12">
        <f>534911.8</f>
        <v>534911.80000000005</v>
      </c>
      <c r="AB108" s="8">
        <v>361200</v>
      </c>
      <c r="AC108" s="12">
        <f>6127250.5</f>
        <v>6127250.5</v>
      </c>
      <c r="AD108" s="12">
        <f>AC108*1000/L108</f>
        <v>2503.9263490797312</v>
      </c>
    </row>
    <row r="109" spans="2:30">
      <c r="B109" s="48" t="s">
        <v>125</v>
      </c>
      <c r="C109" s="107"/>
      <c r="D109" s="13"/>
      <c r="E109" s="13"/>
      <c r="F109" s="14">
        <f>I108/L108/1.95</f>
        <v>0.26356306622765474</v>
      </c>
      <c r="G109" s="14">
        <f>J108/L108/0.35</f>
        <v>0.58379164382825111</v>
      </c>
      <c r="H109" s="14">
        <f>K108/L108/0.075</f>
        <v>6.9743641716015062E-2</v>
      </c>
      <c r="I109" s="15"/>
      <c r="J109" s="15"/>
      <c r="K109" s="15"/>
      <c r="L109" s="15"/>
      <c r="M109" s="15"/>
      <c r="N109" s="13"/>
      <c r="O109" s="14">
        <f>O108/L108</f>
        <v>0.30215029727546189</v>
      </c>
      <c r="P109" s="14">
        <f>P108/M108</f>
        <v>0.22962202964401532</v>
      </c>
      <c r="Q109" s="13"/>
      <c r="R109" s="13"/>
      <c r="S109" s="14">
        <f>S108/R108</f>
        <v>0.59677701874233668</v>
      </c>
      <c r="T109" s="16"/>
      <c r="U109" s="16"/>
      <c r="V109" s="13">
        <f>0.19*L108</f>
        <v>464940.83</v>
      </c>
      <c r="W109" s="13"/>
      <c r="X109" s="13"/>
      <c r="Y109" s="13">
        <v>10655</v>
      </c>
      <c r="Z109" s="17"/>
      <c r="AA109" s="18"/>
      <c r="AB109" s="13"/>
      <c r="AC109" s="18"/>
      <c r="AD109" s="18"/>
    </row>
    <row r="110" spans="2:30">
      <c r="B110" s="48" t="s">
        <v>125</v>
      </c>
      <c r="C110" s="106" t="s">
        <v>53</v>
      </c>
      <c r="D110" s="8">
        <v>2705</v>
      </c>
      <c r="E110" s="8">
        <v>28</v>
      </c>
      <c r="F110" s="8">
        <v>1087</v>
      </c>
      <c r="G110" s="8">
        <v>849</v>
      </c>
      <c r="H110" s="8">
        <v>30</v>
      </c>
      <c r="I110" s="9">
        <f t="shared" si="6"/>
        <v>586980</v>
      </c>
      <c r="J110" s="9">
        <f>G110*400</f>
        <v>339600</v>
      </c>
      <c r="K110" s="9">
        <f>H110*200</f>
        <v>6000</v>
      </c>
      <c r="L110" s="58">
        <v>1203951</v>
      </c>
      <c r="M110" s="58">
        <v>639637</v>
      </c>
      <c r="N110" s="8">
        <v>2749</v>
      </c>
      <c r="O110" s="57">
        <v>369122</v>
      </c>
      <c r="P110" s="57">
        <v>139421</v>
      </c>
      <c r="Q110" s="8">
        <v>38107</v>
      </c>
      <c r="R110" s="8">
        <v>3512</v>
      </c>
      <c r="S110" s="8">
        <v>2602</v>
      </c>
      <c r="T110" s="10">
        <f>Y110+Y111</f>
        <v>17059</v>
      </c>
      <c r="U110" s="11">
        <f>V110/V111</f>
        <v>0.29609091015200872</v>
      </c>
      <c r="V110" s="57">
        <v>67731</v>
      </c>
      <c r="W110" s="8">
        <v>107569</v>
      </c>
      <c r="X110" s="8">
        <v>42686</v>
      </c>
      <c r="Y110" s="8">
        <v>103</v>
      </c>
      <c r="Z110" s="11">
        <f>AA110/AC110</f>
        <v>0.12794938971932715</v>
      </c>
      <c r="AA110" s="12">
        <f>206714.1</f>
        <v>206714.1</v>
      </c>
      <c r="AB110" s="8">
        <v>203271</v>
      </c>
      <c r="AC110" s="12">
        <f>1615592.7</f>
        <v>1615592.7</v>
      </c>
      <c r="AD110" s="12">
        <f>AC110*1000/L110</f>
        <v>1341.9090145695297</v>
      </c>
    </row>
    <row r="111" spans="2:30">
      <c r="B111" s="48" t="s">
        <v>125</v>
      </c>
      <c r="C111" s="107"/>
      <c r="D111" s="13"/>
      <c r="E111" s="13"/>
      <c r="F111" s="14">
        <f>I110/L110/1.95</f>
        <v>0.25002295327250412</v>
      </c>
      <c r="G111" s="14">
        <f>J110/L110/0.35</f>
        <v>0.80591794374165926</v>
      </c>
      <c r="H111" s="14">
        <f>K110/L110/0.075</f>
        <v>6.6447886998723379E-2</v>
      </c>
      <c r="I111" s="15"/>
      <c r="J111" s="15"/>
      <c r="K111" s="15"/>
      <c r="L111" s="15"/>
      <c r="M111" s="15"/>
      <c r="N111" s="13"/>
      <c r="O111" s="14">
        <f>O110/L110</f>
        <v>0.30659221180928459</v>
      </c>
      <c r="P111" s="14">
        <f>P110/M110</f>
        <v>0.21796894175915402</v>
      </c>
      <c r="Q111" s="13"/>
      <c r="R111" s="13"/>
      <c r="S111" s="14">
        <f>S110/R110</f>
        <v>0.74088838268792712</v>
      </c>
      <c r="T111" s="16"/>
      <c r="U111" s="16"/>
      <c r="V111" s="13">
        <f>0.19*L110</f>
        <v>228750.69</v>
      </c>
      <c r="W111" s="13"/>
      <c r="X111" s="13"/>
      <c r="Y111" s="13">
        <v>16956</v>
      </c>
      <c r="Z111" s="17"/>
      <c r="AA111" s="18"/>
      <c r="AB111" s="13"/>
      <c r="AC111" s="18"/>
      <c r="AD111" s="18"/>
    </row>
    <row r="112" spans="2:30">
      <c r="B112" s="48" t="s">
        <v>125</v>
      </c>
      <c r="C112" s="106" t="s">
        <v>54</v>
      </c>
      <c r="D112" s="8">
        <v>5924</v>
      </c>
      <c r="E112" s="8">
        <v>53</v>
      </c>
      <c r="F112" s="8">
        <v>2830</v>
      </c>
      <c r="G112" s="8">
        <v>1673</v>
      </c>
      <c r="H112" s="8">
        <v>164</v>
      </c>
      <c r="I112" s="9">
        <f t="shared" si="6"/>
        <v>1528200</v>
      </c>
      <c r="J112" s="9">
        <f>G112*400</f>
        <v>669200</v>
      </c>
      <c r="K112" s="9">
        <f>H112*200</f>
        <v>32800</v>
      </c>
      <c r="L112" s="58">
        <v>3033043</v>
      </c>
      <c r="M112" s="58">
        <v>1635441</v>
      </c>
      <c r="N112" s="8">
        <v>7452</v>
      </c>
      <c r="O112" s="57">
        <v>1026782</v>
      </c>
      <c r="P112" s="57">
        <v>396598</v>
      </c>
      <c r="Q112" s="8">
        <v>32327</v>
      </c>
      <c r="R112" s="8">
        <v>12405</v>
      </c>
      <c r="S112" s="8">
        <v>6316</v>
      </c>
      <c r="T112" s="10">
        <f>Y112+Y113</f>
        <v>21287</v>
      </c>
      <c r="U112" s="11">
        <f>V112/V113</f>
        <v>0.27093165788320595</v>
      </c>
      <c r="V112" s="57">
        <v>156132</v>
      </c>
      <c r="W112" s="8">
        <v>317322</v>
      </c>
      <c r="X112" s="8">
        <v>77810</v>
      </c>
      <c r="Y112" s="8">
        <v>164</v>
      </c>
      <c r="Z112" s="11">
        <f>AA112/AC112</f>
        <v>0.35614484046659656</v>
      </c>
      <c r="AA112" s="12">
        <f>4067948.8</f>
        <v>4067948.8</v>
      </c>
      <c r="AB112" s="8">
        <v>353877</v>
      </c>
      <c r="AC112" s="12">
        <f>11422175.3</f>
        <v>11422175.300000001</v>
      </c>
      <c r="AD112" s="12">
        <f>AC112*1000/L112</f>
        <v>3765.9127483520674</v>
      </c>
    </row>
    <row r="113" spans="1:30">
      <c r="B113" s="48" t="s">
        <v>125</v>
      </c>
      <c r="C113" s="107"/>
      <c r="D113" s="13"/>
      <c r="E113" s="13"/>
      <c r="F113" s="14">
        <f>I112/L112/1.95</f>
        <v>0.25838483255671213</v>
      </c>
      <c r="G113" s="14">
        <f>J112/L112/0.35</f>
        <v>0.6303900076589749</v>
      </c>
      <c r="H113" s="14">
        <f>K112/L112/0.075</f>
        <v>0.14418962518280595</v>
      </c>
      <c r="I113" s="15"/>
      <c r="J113" s="15"/>
      <c r="K113" s="15"/>
      <c r="L113" s="15"/>
      <c r="M113" s="15"/>
      <c r="N113" s="13"/>
      <c r="O113" s="14">
        <f>O112/L112</f>
        <v>0.33853196278456982</v>
      </c>
      <c r="P113" s="14">
        <f>P112/M112</f>
        <v>0.24250217525425863</v>
      </c>
      <c r="Q113" s="13"/>
      <c r="R113" s="13"/>
      <c r="S113" s="14">
        <f>S112/R112</f>
        <v>0.50914953647722694</v>
      </c>
      <c r="T113" s="16"/>
      <c r="U113" s="16"/>
      <c r="V113" s="13">
        <f>0.19*L112</f>
        <v>576278.17000000004</v>
      </c>
      <c r="W113" s="13"/>
      <c r="X113" s="13"/>
      <c r="Y113" s="13">
        <v>21123</v>
      </c>
      <c r="Z113" s="17"/>
      <c r="AA113" s="18"/>
      <c r="AB113" s="13"/>
      <c r="AC113" s="18"/>
      <c r="AD113" s="18"/>
    </row>
    <row r="114" spans="1:30">
      <c r="B114" s="48" t="s">
        <v>125</v>
      </c>
      <c r="C114" s="106" t="s">
        <v>55</v>
      </c>
      <c r="D114" s="8">
        <v>4709</v>
      </c>
      <c r="E114" s="8">
        <v>34</v>
      </c>
      <c r="F114" s="8">
        <v>2535</v>
      </c>
      <c r="G114" s="8">
        <v>1183</v>
      </c>
      <c r="H114" s="8">
        <v>57</v>
      </c>
      <c r="I114" s="9">
        <f t="shared" si="6"/>
        <v>1368900</v>
      </c>
      <c r="J114" s="9">
        <f>G114*400</f>
        <v>473200</v>
      </c>
      <c r="K114" s="9">
        <f>H114*200</f>
        <v>11400</v>
      </c>
      <c r="L114" s="58">
        <v>1858717</v>
      </c>
      <c r="M114" s="58">
        <v>985725</v>
      </c>
      <c r="N114" s="8">
        <v>4155</v>
      </c>
      <c r="O114" s="57">
        <v>601577</v>
      </c>
      <c r="P114" s="57">
        <v>196652</v>
      </c>
      <c r="Q114" s="8">
        <v>45024</v>
      </c>
      <c r="R114" s="8">
        <v>8610</v>
      </c>
      <c r="S114" s="8">
        <v>5709</v>
      </c>
      <c r="T114" s="10">
        <f>Y114+Y115</f>
        <v>29392</v>
      </c>
      <c r="U114" s="11">
        <f>V114/V115</f>
        <v>0.35442387636769146</v>
      </c>
      <c r="V114" s="57">
        <v>125167</v>
      </c>
      <c r="W114" s="8">
        <v>177515</v>
      </c>
      <c r="X114" s="8">
        <v>86313</v>
      </c>
      <c r="Y114" s="8">
        <v>71</v>
      </c>
      <c r="Z114" s="11">
        <f>AA114/AC114</f>
        <v>0.16600004289283896</v>
      </c>
      <c r="AA114" s="12">
        <f>568906.3</f>
        <v>568906.30000000005</v>
      </c>
      <c r="AB114" s="8">
        <v>415496</v>
      </c>
      <c r="AC114" s="12">
        <f>3427145.5</f>
        <v>3427145.5</v>
      </c>
      <c r="AD114" s="12">
        <f>AC114*1000/L114</f>
        <v>1843.8231855629447</v>
      </c>
    </row>
    <row r="115" spans="1:30">
      <c r="B115" s="48" t="s">
        <v>125</v>
      </c>
      <c r="C115" s="107"/>
      <c r="D115" s="13"/>
      <c r="E115" s="13"/>
      <c r="F115" s="14">
        <f>I114/L114/1.95</f>
        <v>0.37767987272941494</v>
      </c>
      <c r="G115" s="14">
        <f>J114/L114/0.35</f>
        <v>0.72738345858998443</v>
      </c>
      <c r="H115" s="14">
        <f>K114/L114/0.075</f>
        <v>8.1776838539702384E-2</v>
      </c>
      <c r="I115" s="15"/>
      <c r="J115" s="15"/>
      <c r="K115" s="15"/>
      <c r="L115" s="15"/>
      <c r="M115" s="15"/>
      <c r="N115" s="13"/>
      <c r="O115" s="14">
        <f>O114/L114</f>
        <v>0.32365174472499042</v>
      </c>
      <c r="P115" s="14">
        <f>P114/M114</f>
        <v>0.19949986050876259</v>
      </c>
      <c r="Q115" s="13"/>
      <c r="R115" s="13"/>
      <c r="S115" s="14">
        <f>S114/R114</f>
        <v>0.6630662020905923</v>
      </c>
      <c r="T115" s="16"/>
      <c r="U115" s="16"/>
      <c r="V115" s="13">
        <f>0.19*L114</f>
        <v>353156.23</v>
      </c>
      <c r="W115" s="13"/>
      <c r="X115" s="13"/>
      <c r="Y115" s="13">
        <v>29321</v>
      </c>
      <c r="Z115" s="17"/>
      <c r="AA115" s="18"/>
      <c r="AB115" s="13"/>
      <c r="AC115" s="18"/>
      <c r="AD115" s="18"/>
    </row>
    <row r="116" spans="1:30">
      <c r="B116" s="48" t="s">
        <v>125</v>
      </c>
      <c r="C116" s="106" t="s">
        <v>56</v>
      </c>
      <c r="D116" s="8">
        <v>3811</v>
      </c>
      <c r="E116" s="8">
        <v>26</v>
      </c>
      <c r="F116" s="8">
        <v>2235</v>
      </c>
      <c r="G116" s="8">
        <v>879</v>
      </c>
      <c r="H116" s="8">
        <v>71</v>
      </c>
      <c r="I116" s="9">
        <f t="shared" si="6"/>
        <v>1206900</v>
      </c>
      <c r="J116" s="9">
        <f>G116*400</f>
        <v>351600</v>
      </c>
      <c r="K116" s="9">
        <f>H116*200</f>
        <v>14200</v>
      </c>
      <c r="L116" s="58">
        <v>1263389</v>
      </c>
      <c r="M116" s="58">
        <v>677229</v>
      </c>
      <c r="N116" s="8">
        <v>3221</v>
      </c>
      <c r="O116" s="57">
        <v>490398</v>
      </c>
      <c r="P116" s="57">
        <v>201550</v>
      </c>
      <c r="Q116" s="8">
        <v>27212</v>
      </c>
      <c r="R116" s="8">
        <v>7556</v>
      </c>
      <c r="S116" s="8">
        <v>4508</v>
      </c>
      <c r="T116" s="10">
        <f>Y116+Y117</f>
        <v>21386</v>
      </c>
      <c r="U116" s="11">
        <f>V116/V117</f>
        <v>0.42421405317052202</v>
      </c>
      <c r="V116" s="57">
        <v>101830</v>
      </c>
      <c r="W116" s="8">
        <v>167564</v>
      </c>
      <c r="X116" s="8">
        <v>42324</v>
      </c>
      <c r="Y116" s="8">
        <v>59</v>
      </c>
      <c r="Z116" s="11">
        <f>AA116/AC116</f>
        <v>0.14625580877430663</v>
      </c>
      <c r="AA116" s="12">
        <f>311353.3</f>
        <v>311353.3</v>
      </c>
      <c r="AB116" s="8">
        <v>291557</v>
      </c>
      <c r="AC116" s="12">
        <f>2128826.9</f>
        <v>2128826.9</v>
      </c>
      <c r="AD116" s="12">
        <f>AC116*1000/L116</f>
        <v>1685.0130086616236</v>
      </c>
    </row>
    <row r="117" spans="1:30">
      <c r="B117" s="48" t="s">
        <v>125</v>
      </c>
      <c r="C117" s="107"/>
      <c r="D117" s="13"/>
      <c r="E117" s="13"/>
      <c r="F117" s="14">
        <f>I116/L116/1.95</f>
        <v>0.48989113956435976</v>
      </c>
      <c r="G117" s="14">
        <f>J116/L116/0.35</f>
        <v>0.79514023675323175</v>
      </c>
      <c r="H117" s="14">
        <f>K116/L116/0.075</f>
        <v>0.14986147048401827</v>
      </c>
      <c r="I117" s="15"/>
      <c r="J117" s="15"/>
      <c r="K117" s="15"/>
      <c r="L117" s="15"/>
      <c r="M117" s="15"/>
      <c r="N117" s="13"/>
      <c r="O117" s="14">
        <f>O116/L116</f>
        <v>0.38816073275926893</v>
      </c>
      <c r="P117" s="14">
        <f>P116/M116</f>
        <v>0.2976098188352832</v>
      </c>
      <c r="Q117" s="13"/>
      <c r="R117" s="13"/>
      <c r="S117" s="14">
        <f>S116/R116</f>
        <v>0.59661196400211747</v>
      </c>
      <c r="T117" s="16"/>
      <c r="U117" s="16"/>
      <c r="V117" s="13">
        <f>0.19*L116</f>
        <v>240043.91</v>
      </c>
      <c r="W117" s="13"/>
      <c r="X117" s="13"/>
      <c r="Y117" s="13">
        <v>21327</v>
      </c>
      <c r="Z117" s="17"/>
      <c r="AA117" s="18"/>
      <c r="AB117" s="13"/>
      <c r="AC117" s="18"/>
      <c r="AD117" s="18"/>
    </row>
    <row r="118" spans="1:30">
      <c r="B118" s="48" t="s">
        <v>125</v>
      </c>
      <c r="C118" s="106" t="s">
        <v>57</v>
      </c>
      <c r="D118" s="8">
        <v>4570</v>
      </c>
      <c r="E118" s="8">
        <v>41</v>
      </c>
      <c r="F118" s="8">
        <v>2313</v>
      </c>
      <c r="G118" s="8">
        <v>1451</v>
      </c>
      <c r="H118" s="8">
        <v>95</v>
      </c>
      <c r="I118" s="9">
        <f t="shared" si="6"/>
        <v>1249020</v>
      </c>
      <c r="J118" s="9">
        <f>G118*400</f>
        <v>580400</v>
      </c>
      <c r="K118" s="9">
        <f>H118*200</f>
        <v>19000</v>
      </c>
      <c r="L118" s="58">
        <v>2999002</v>
      </c>
      <c r="M118" s="58">
        <v>1612807</v>
      </c>
      <c r="N118" s="8">
        <v>7346</v>
      </c>
      <c r="O118" s="57">
        <v>914703</v>
      </c>
      <c r="P118" s="57">
        <v>360939</v>
      </c>
      <c r="Q118" s="8">
        <v>29898</v>
      </c>
      <c r="R118" s="8">
        <v>15472</v>
      </c>
      <c r="S118" s="8">
        <v>9483</v>
      </c>
      <c r="T118" s="10">
        <f>Y118+Y119</f>
        <v>11013</v>
      </c>
      <c r="U118" s="11">
        <f>V118/V119</f>
        <v>0.22042595994829017</v>
      </c>
      <c r="V118" s="57">
        <v>125601</v>
      </c>
      <c r="W118" s="8">
        <v>218364</v>
      </c>
      <c r="X118" s="8">
        <v>71746</v>
      </c>
      <c r="Y118" s="8">
        <v>190</v>
      </c>
      <c r="Z118" s="11">
        <f>AA118/AC118</f>
        <v>0.17907544802628811</v>
      </c>
      <c r="AA118" s="12">
        <f>1742001.1</f>
        <v>1742001.1</v>
      </c>
      <c r="AB118" s="8">
        <v>404721</v>
      </c>
      <c r="AC118" s="12">
        <f>9727749.5</f>
        <v>9727749.5</v>
      </c>
      <c r="AD118" s="12">
        <f>AC118*1000/L118</f>
        <v>3243.6622249668389</v>
      </c>
    </row>
    <row r="119" spans="1:30">
      <c r="B119" s="48" t="s">
        <v>125</v>
      </c>
      <c r="C119" s="107"/>
      <c r="D119" s="13"/>
      <c r="E119" s="13"/>
      <c r="F119" s="14">
        <f>I118/L118/1.95</f>
        <v>0.21357874283614248</v>
      </c>
      <c r="G119" s="14">
        <f>J118/L118/0.35</f>
        <v>0.55294585141514219</v>
      </c>
      <c r="H119" s="14">
        <f>K118/L118/0.075</f>
        <v>8.4472545644628888E-2</v>
      </c>
      <c r="I119" s="15"/>
      <c r="J119" s="15"/>
      <c r="K119" s="15"/>
      <c r="L119" s="15"/>
      <c r="M119" s="15"/>
      <c r="N119" s="13"/>
      <c r="O119" s="14">
        <f>O118/L118</f>
        <v>0.30500246415307491</v>
      </c>
      <c r="P119" s="14">
        <f>P118/M118</f>
        <v>0.22379553164141772</v>
      </c>
      <c r="Q119" s="13"/>
      <c r="R119" s="13"/>
      <c r="S119" s="14">
        <f>S118/R118</f>
        <v>0.61291365046535673</v>
      </c>
      <c r="T119" s="16"/>
      <c r="U119" s="16"/>
      <c r="V119" s="13">
        <f>0.19*L118</f>
        <v>569810.38</v>
      </c>
      <c r="W119" s="13"/>
      <c r="X119" s="13"/>
      <c r="Y119" s="13">
        <v>10823</v>
      </c>
      <c r="Z119" s="17"/>
      <c r="AA119" s="18"/>
      <c r="AB119" s="13"/>
      <c r="AC119" s="18"/>
      <c r="AD119" s="18"/>
    </row>
    <row r="120" spans="1:30">
      <c r="B120" s="48" t="s">
        <v>125</v>
      </c>
      <c r="C120" s="106" t="s">
        <v>58</v>
      </c>
      <c r="D120" s="8">
        <v>3496</v>
      </c>
      <c r="E120" s="8">
        <v>26</v>
      </c>
      <c r="F120" s="8">
        <v>1622</v>
      </c>
      <c r="G120" s="8">
        <v>1348</v>
      </c>
      <c r="H120" s="8">
        <v>64</v>
      </c>
      <c r="I120" s="9">
        <f t="shared" si="6"/>
        <v>875880</v>
      </c>
      <c r="J120" s="9">
        <f>G120*400</f>
        <v>539200</v>
      </c>
      <c r="K120" s="9">
        <f>H120*200</f>
        <v>12800</v>
      </c>
      <c r="L120" s="58">
        <v>2331955</v>
      </c>
      <c r="M120" s="58">
        <v>1254549</v>
      </c>
      <c r="N120" s="8">
        <v>5541</v>
      </c>
      <c r="O120" s="57">
        <v>699387</v>
      </c>
      <c r="P120" s="57">
        <v>267963</v>
      </c>
      <c r="Q120" s="8">
        <v>17714</v>
      </c>
      <c r="R120" s="8">
        <v>19078</v>
      </c>
      <c r="S120" s="8">
        <v>12560</v>
      </c>
      <c r="T120" s="10">
        <f>Y120+Y121</f>
        <v>19164</v>
      </c>
      <c r="U120" s="11">
        <f>V120/V121</f>
        <v>0.24335126986855055</v>
      </c>
      <c r="V120" s="57">
        <v>107822</v>
      </c>
      <c r="W120" s="8">
        <v>126000</v>
      </c>
      <c r="X120" s="8">
        <v>63096</v>
      </c>
      <c r="Y120" s="8">
        <v>92</v>
      </c>
      <c r="Z120" s="11">
        <f>AA120/AC120</f>
        <v>0.20833581029132334</v>
      </c>
      <c r="AA120" s="12">
        <f>220437.1</f>
        <v>220437.1</v>
      </c>
      <c r="AB120" s="8">
        <v>258817</v>
      </c>
      <c r="AC120" s="12">
        <f>1058085.5</f>
        <v>1058085.5</v>
      </c>
      <c r="AD120" s="12">
        <f>AC120*1000/L120</f>
        <v>453.73324099307234</v>
      </c>
    </row>
    <row r="121" spans="1:30">
      <c r="B121" s="48" t="s">
        <v>125</v>
      </c>
      <c r="C121" s="107"/>
      <c r="D121" s="13"/>
      <c r="E121" s="13"/>
      <c r="F121" s="14">
        <f>I120/L120/1.95</f>
        <v>0.19261487926192003</v>
      </c>
      <c r="G121" s="14">
        <f>J120/L120/0.35</f>
        <v>0.66063514457673012</v>
      </c>
      <c r="H121" s="14">
        <f>K120/L120/0.075</f>
        <v>7.3186089211269803E-2</v>
      </c>
      <c r="I121" s="15"/>
      <c r="J121" s="15"/>
      <c r="K121" s="15"/>
      <c r="L121" s="15"/>
      <c r="M121" s="15"/>
      <c r="N121" s="13"/>
      <c r="O121" s="14">
        <f>O120/L120</f>
        <v>0.2999144494640763</v>
      </c>
      <c r="P121" s="14">
        <f>P120/M120</f>
        <v>0.21359309201952256</v>
      </c>
      <c r="Q121" s="13"/>
      <c r="R121" s="13"/>
      <c r="S121" s="14">
        <f>S120/R120</f>
        <v>0.6583499318586854</v>
      </c>
      <c r="T121" s="16"/>
      <c r="U121" s="16"/>
      <c r="V121" s="13">
        <f>0.19*L120</f>
        <v>443071.45</v>
      </c>
      <c r="W121" s="13"/>
      <c r="X121" s="13"/>
      <c r="Y121" s="13">
        <v>19072</v>
      </c>
      <c r="Z121" s="17"/>
      <c r="AA121" s="18"/>
      <c r="AB121" s="13"/>
      <c r="AC121" s="18"/>
      <c r="AD121" s="18"/>
    </row>
    <row r="122" spans="1:30">
      <c r="B122" s="48" t="s">
        <v>125</v>
      </c>
      <c r="C122" s="106" t="s">
        <v>59</v>
      </c>
      <c r="D122" s="8">
        <v>2472</v>
      </c>
      <c r="E122" s="8">
        <v>14</v>
      </c>
      <c r="F122" s="8">
        <v>1298</v>
      </c>
      <c r="G122" s="8">
        <v>718</v>
      </c>
      <c r="H122" s="8">
        <v>41</v>
      </c>
      <c r="I122" s="9">
        <f t="shared" si="6"/>
        <v>700920</v>
      </c>
      <c r="J122" s="9">
        <f>G122*400</f>
        <v>287200</v>
      </c>
      <c r="K122" s="9">
        <f>H122*200</f>
        <v>8200</v>
      </c>
      <c r="L122" s="58">
        <v>1176991</v>
      </c>
      <c r="M122" s="58">
        <v>628689</v>
      </c>
      <c r="N122" s="8">
        <v>2390</v>
      </c>
      <c r="O122" s="57">
        <v>382015</v>
      </c>
      <c r="P122" s="57">
        <v>152291</v>
      </c>
      <c r="Q122" s="8">
        <v>14293</v>
      </c>
      <c r="R122" s="8">
        <v>7463</v>
      </c>
      <c r="S122" s="8">
        <v>4432</v>
      </c>
      <c r="T122" s="10">
        <f>Y122+Y123</f>
        <v>20440</v>
      </c>
      <c r="U122" s="11">
        <f>V122/V123</f>
        <v>0.2583483511858003</v>
      </c>
      <c r="V122" s="57">
        <v>57774</v>
      </c>
      <c r="W122" s="8">
        <v>183742</v>
      </c>
      <c r="X122" s="8">
        <v>37117</v>
      </c>
      <c r="Y122" s="8">
        <v>73</v>
      </c>
      <c r="Z122" s="11">
        <f>AA122/AC122</f>
        <v>6.9208193911900806E-2</v>
      </c>
      <c r="AA122" s="12">
        <f>175728.2</f>
        <v>175728.2</v>
      </c>
      <c r="AB122" s="8">
        <v>112322</v>
      </c>
      <c r="AC122" s="12">
        <f>2539124.2</f>
        <v>2539124.2000000002</v>
      </c>
      <c r="AD122" s="12">
        <f>AC122*1000/L122</f>
        <v>2157.3012877753526</v>
      </c>
    </row>
    <row r="123" spans="1:30">
      <c r="B123" s="48" t="s">
        <v>125</v>
      </c>
      <c r="C123" s="107"/>
      <c r="D123" s="13"/>
      <c r="E123" s="13"/>
      <c r="F123" s="14">
        <f>I122/L122/1.95</f>
        <v>0.30539413967154705</v>
      </c>
      <c r="G123" s="14">
        <f>J122/L122/0.35</f>
        <v>0.69717731789914172</v>
      </c>
      <c r="H123" s="14">
        <f>K122/L122/0.075</f>
        <v>9.2892242449885629E-2</v>
      </c>
      <c r="I123" s="15"/>
      <c r="J123" s="15"/>
      <c r="K123" s="15"/>
      <c r="L123" s="15"/>
      <c r="M123" s="15"/>
      <c r="N123" s="13"/>
      <c r="O123" s="14">
        <f>O122/L122</f>
        <v>0.3245691768246316</v>
      </c>
      <c r="P123" s="14">
        <f>P122/M122</f>
        <v>0.2422358272532206</v>
      </c>
      <c r="Q123" s="13"/>
      <c r="R123" s="13"/>
      <c r="S123" s="14">
        <f>S122/R122</f>
        <v>0.59386305775157444</v>
      </c>
      <c r="T123" s="16"/>
      <c r="U123" s="16"/>
      <c r="V123" s="13">
        <f>0.19*L122</f>
        <v>223628.29</v>
      </c>
      <c r="W123" s="13"/>
      <c r="X123" s="13"/>
      <c r="Y123" s="13">
        <v>20367</v>
      </c>
      <c r="Z123" s="17"/>
      <c r="AA123" s="18"/>
      <c r="AB123" s="13"/>
      <c r="AC123" s="18"/>
      <c r="AD123" s="18"/>
    </row>
    <row r="124" spans="1:30" s="21" customFormat="1">
      <c r="A124" s="50" t="s">
        <v>129</v>
      </c>
      <c r="B124" s="51" t="s">
        <v>125</v>
      </c>
      <c r="C124" s="110" t="s">
        <v>60</v>
      </c>
      <c r="D124" s="25">
        <f t="shared" ref="D124:T124" si="7">SUM(D122,D120,D118,D116,D114,D112,D110,D108,D106,D104,D102,D100,D98,D96)</f>
        <v>65307</v>
      </c>
      <c r="E124" s="25">
        <f t="shared" si="7"/>
        <v>380</v>
      </c>
      <c r="F124" s="25">
        <f t="shared" si="7"/>
        <v>33659</v>
      </c>
      <c r="G124" s="25">
        <f t="shared" si="7"/>
        <v>16339</v>
      </c>
      <c r="H124" s="25">
        <f t="shared" si="7"/>
        <v>1160</v>
      </c>
      <c r="I124" s="20">
        <f t="shared" si="7"/>
        <v>18175860</v>
      </c>
      <c r="J124" s="20">
        <f t="shared" si="7"/>
        <v>6535600</v>
      </c>
      <c r="K124" s="20">
        <f t="shared" si="7"/>
        <v>232000</v>
      </c>
      <c r="L124" s="20">
        <f t="shared" si="7"/>
        <v>27597236</v>
      </c>
      <c r="M124" s="20">
        <f t="shared" si="7"/>
        <v>14720049</v>
      </c>
      <c r="N124" s="25">
        <f t="shared" si="7"/>
        <v>66158</v>
      </c>
      <c r="O124" s="25">
        <f t="shared" si="7"/>
        <v>9220430</v>
      </c>
      <c r="P124" s="25">
        <f t="shared" si="7"/>
        <v>3699049</v>
      </c>
      <c r="Q124" s="25">
        <f t="shared" si="7"/>
        <v>461846</v>
      </c>
      <c r="R124" s="25">
        <f t="shared" si="7"/>
        <v>156219</v>
      </c>
      <c r="S124" s="25">
        <f t="shared" si="7"/>
        <v>101901</v>
      </c>
      <c r="T124" s="25">
        <f t="shared" si="7"/>
        <v>366308</v>
      </c>
      <c r="U124" s="22">
        <f>V124/V125</f>
        <v>0.3396703625643791</v>
      </c>
      <c r="V124" s="25">
        <f>SUM(V122,V120,V118,V116,V114,V112,V110,V108,V106,V104,V102,V100,V98,V96)</f>
        <v>1781053</v>
      </c>
      <c r="W124" s="25">
        <f>SUM(W122,W120,W118,W116,W114,W112,W110,W108,W106,W104,W102,W100,W98,W96)</f>
        <v>3096191</v>
      </c>
      <c r="X124" s="25">
        <f>SUM(X122,X120,X118,X116,X114,X112,X110,X108,X106,X104,X102,X100,X98,X96)</f>
        <v>887688</v>
      </c>
      <c r="Y124" s="25">
        <f>SUM(Y122,Y120,Y118,Y116,Y114,Y112,Y110,Y108,Y106,Y104,Y102,Y100,Y98,Y96)</f>
        <v>1436</v>
      </c>
      <c r="Z124" s="22">
        <f>AA124/AC124</f>
        <v>0.17907368306348576</v>
      </c>
      <c r="AA124" s="23">
        <f>SUM(AA96:AA122)</f>
        <v>10944036.799999999</v>
      </c>
      <c r="AB124" s="25">
        <f>SUM(AB122,AB120,AB118,AB116,AB114,AB112,AB110,AB108,AB106,AB104,AB102,AB100,AB98,AB96)</f>
        <v>4335303</v>
      </c>
      <c r="AC124" s="23">
        <f>SUM(AC96:AC123)</f>
        <v>61114713.300000004</v>
      </c>
      <c r="AD124" s="23">
        <f>AC124*1000/L124</f>
        <v>2214.5229797650754</v>
      </c>
    </row>
    <row r="125" spans="1:30" s="21" customFormat="1">
      <c r="A125" s="50" t="s">
        <v>129</v>
      </c>
      <c r="B125" s="51" t="s">
        <v>125</v>
      </c>
      <c r="C125" s="111"/>
      <c r="D125" s="27"/>
      <c r="E125" s="27"/>
      <c r="F125" s="24">
        <f>I124/L124/1.95</f>
        <v>0.33774954296705101</v>
      </c>
      <c r="G125" s="24">
        <f>J124/L124/0.35</f>
        <v>0.6766309081511952</v>
      </c>
      <c r="H125" s="24">
        <f>K124/L124/0.075</f>
        <v>0.11208851978268163</v>
      </c>
      <c r="I125" s="20"/>
      <c r="J125" s="20"/>
      <c r="K125" s="20"/>
      <c r="L125" s="20"/>
      <c r="M125" s="20"/>
      <c r="N125" s="27"/>
      <c r="O125" s="24">
        <f>O124/L124</f>
        <v>0.33410700984692815</v>
      </c>
      <c r="P125" s="24">
        <f>P124/M124</f>
        <v>0.25129325316783929</v>
      </c>
      <c r="Q125" s="27"/>
      <c r="R125" s="27"/>
      <c r="S125" s="24">
        <f>S124/R124</f>
        <v>0.65229581548979321</v>
      </c>
      <c r="T125" s="29"/>
      <c r="U125" s="29"/>
      <c r="V125" s="27">
        <f>SUM(V123,V121,V119,V117,V115,V113,V111,V109,V107,V105,V103,V101,V99,V97)</f>
        <v>5243474.8400000008</v>
      </c>
      <c r="W125" s="27"/>
      <c r="X125" s="27"/>
      <c r="Y125" s="27">
        <f>SUM(Y123,Y121,Y119,Y117,Y115,Y113,Y111,Y109,Y107,Y105,Y103,Y101,Y99,Y97)</f>
        <v>364872</v>
      </c>
      <c r="Z125" s="30"/>
      <c r="AA125" s="31"/>
      <c r="AB125" s="27"/>
      <c r="AC125" s="31"/>
      <c r="AD125" s="31"/>
    </row>
    <row r="126" spans="1:30">
      <c r="B126" s="48" t="s">
        <v>126</v>
      </c>
      <c r="C126" s="106" t="s">
        <v>61</v>
      </c>
      <c r="D126" s="8">
        <v>2450</v>
      </c>
      <c r="E126" s="8">
        <v>19</v>
      </c>
      <c r="F126" s="8">
        <v>1289</v>
      </c>
      <c r="G126" s="8">
        <v>744</v>
      </c>
      <c r="H126" s="8">
        <v>10</v>
      </c>
      <c r="I126" s="9">
        <f t="shared" ref="I126:I136" si="8">F126*540</f>
        <v>696060</v>
      </c>
      <c r="J126" s="9">
        <f>G126*400</f>
        <v>297600</v>
      </c>
      <c r="K126" s="9">
        <f>H126*200</f>
        <v>2000</v>
      </c>
      <c r="L126" s="58">
        <v>803169</v>
      </c>
      <c r="M126" s="58">
        <v>428763</v>
      </c>
      <c r="N126" s="8">
        <v>2348</v>
      </c>
      <c r="O126" s="57">
        <v>262415</v>
      </c>
      <c r="P126" s="8">
        <v>112050</v>
      </c>
      <c r="Q126" s="8">
        <v>17937</v>
      </c>
      <c r="R126" s="8">
        <v>4809</v>
      </c>
      <c r="S126" s="8">
        <v>3185</v>
      </c>
      <c r="T126" s="10">
        <f>Y126+Y127</f>
        <v>33709</v>
      </c>
      <c r="U126" s="11">
        <f>V126/V127</f>
        <v>0.40933247908564302</v>
      </c>
      <c r="V126" s="8">
        <v>62465</v>
      </c>
      <c r="W126" s="8">
        <v>72275</v>
      </c>
      <c r="X126" s="8">
        <v>29501</v>
      </c>
      <c r="Y126" s="8">
        <v>48</v>
      </c>
      <c r="Z126" s="11">
        <f>AA126/AC126</f>
        <v>2.3312103662977784E-3</v>
      </c>
      <c r="AA126" s="12">
        <f>1491.5</f>
        <v>1491.5</v>
      </c>
      <c r="AB126" s="8">
        <v>188694</v>
      </c>
      <c r="AC126" s="12">
        <f>639796.4</f>
        <v>639796.4</v>
      </c>
      <c r="AD126" s="12">
        <f>AC126*1000/L126</f>
        <v>796.59000783147758</v>
      </c>
    </row>
    <row r="127" spans="1:30">
      <c r="B127" s="48" t="s">
        <v>126</v>
      </c>
      <c r="C127" s="107"/>
      <c r="D127" s="13"/>
      <c r="E127" s="13"/>
      <c r="F127" s="14">
        <f>I126/L126/1.95</f>
        <v>0.44443180221578044</v>
      </c>
      <c r="G127" s="14">
        <f>J126/L126/0.35</f>
        <v>1.0586635120201531</v>
      </c>
      <c r="H127" s="14">
        <f>K126/L126/0.075</f>
        <v>3.3201812652961786E-2</v>
      </c>
      <c r="I127" s="15"/>
      <c r="J127" s="15"/>
      <c r="K127" s="15"/>
      <c r="L127" s="15"/>
      <c r="M127" s="15"/>
      <c r="N127" s="13"/>
      <c r="O127" s="14">
        <f>O126/L126</f>
        <v>0.32672451252476131</v>
      </c>
      <c r="P127" s="14">
        <f>P126/M126</f>
        <v>0.26133318406672218</v>
      </c>
      <c r="Q127" s="13"/>
      <c r="R127" s="13"/>
      <c r="S127" s="14">
        <f>S126/R126</f>
        <v>0.66229985443959238</v>
      </c>
      <c r="T127" s="16"/>
      <c r="U127" s="16"/>
      <c r="V127" s="13">
        <f>0.19*L126</f>
        <v>152602.11000000002</v>
      </c>
      <c r="W127" s="13"/>
      <c r="X127" s="13"/>
      <c r="Y127" s="13">
        <v>33661</v>
      </c>
      <c r="Z127" s="17"/>
      <c r="AA127" s="18"/>
      <c r="AB127" s="13"/>
      <c r="AC127" s="18"/>
      <c r="AD127" s="18"/>
    </row>
    <row r="128" spans="1:30">
      <c r="B128" s="48" t="s">
        <v>126</v>
      </c>
      <c r="C128" s="106" t="s">
        <v>62</v>
      </c>
      <c r="D128" s="8">
        <v>8694</v>
      </c>
      <c r="E128" s="8">
        <v>111</v>
      </c>
      <c r="F128" s="8">
        <v>4151</v>
      </c>
      <c r="G128" s="8">
        <v>2355</v>
      </c>
      <c r="H128" s="8">
        <v>268</v>
      </c>
      <c r="I128" s="9">
        <f t="shared" si="8"/>
        <v>2241540</v>
      </c>
      <c r="J128" s="9">
        <f>G128*400</f>
        <v>942000</v>
      </c>
      <c r="K128" s="9">
        <f>H128*200</f>
        <v>53600</v>
      </c>
      <c r="L128" s="58">
        <v>4012763</v>
      </c>
      <c r="M128" s="58">
        <v>2150859</v>
      </c>
      <c r="N128" s="8">
        <v>11483</v>
      </c>
      <c r="O128" s="57">
        <v>1234715</v>
      </c>
      <c r="P128" s="57">
        <v>446461</v>
      </c>
      <c r="Q128" s="8">
        <v>54809</v>
      </c>
      <c r="R128" s="8">
        <v>21010</v>
      </c>
      <c r="S128" s="8">
        <v>9332</v>
      </c>
      <c r="T128" s="10">
        <f>Y128+Y129</f>
        <v>22567</v>
      </c>
      <c r="U128" s="11">
        <f>V128/V129</f>
        <v>0.28766371594571466</v>
      </c>
      <c r="V128" s="8">
        <v>219322</v>
      </c>
      <c r="W128" s="8">
        <v>301708</v>
      </c>
      <c r="X128" s="8">
        <v>122543</v>
      </c>
      <c r="Y128" s="8">
        <v>279</v>
      </c>
      <c r="Z128" s="11">
        <f>AA128/AC128</f>
        <v>0.20070850061489881</v>
      </c>
      <c r="AA128" s="12">
        <f>1654697.8</f>
        <v>1654697.8</v>
      </c>
      <c r="AB128" s="8">
        <v>637635</v>
      </c>
      <c r="AC128" s="12">
        <f>8244283.6</f>
        <v>8244283.5999999996</v>
      </c>
      <c r="AD128" s="12">
        <f>AC128*1000/L128</f>
        <v>2054.515454812557</v>
      </c>
    </row>
    <row r="129" spans="1:30">
      <c r="B129" s="48" t="s">
        <v>126</v>
      </c>
      <c r="C129" s="107"/>
      <c r="D129" s="13"/>
      <c r="E129" s="13"/>
      <c r="F129" s="14">
        <f>I128/L128/1.95</f>
        <v>0.28646289160553273</v>
      </c>
      <c r="G129" s="14">
        <f>J128/L128/0.35</f>
        <v>0.67071705242212698</v>
      </c>
      <c r="H129" s="14">
        <f>K128/L128/0.075</f>
        <v>0.17809839919942114</v>
      </c>
      <c r="I129" s="15"/>
      <c r="J129" s="15"/>
      <c r="K129" s="15"/>
      <c r="L129" s="15"/>
      <c r="M129" s="15"/>
      <c r="N129" s="13"/>
      <c r="O129" s="14">
        <f>O128/L128</f>
        <v>0.30769696590603529</v>
      </c>
      <c r="P129" s="14">
        <f>P128/M128</f>
        <v>0.20757334627699911</v>
      </c>
      <c r="Q129" s="13"/>
      <c r="R129" s="13"/>
      <c r="S129" s="14">
        <f>S128/R128</f>
        <v>0.4441694431223227</v>
      </c>
      <c r="T129" s="16"/>
      <c r="U129" s="16"/>
      <c r="V129" s="13">
        <f>0.19*L128</f>
        <v>762424.97</v>
      </c>
      <c r="W129" s="13"/>
      <c r="X129" s="13"/>
      <c r="Y129" s="13">
        <v>22288</v>
      </c>
      <c r="Z129" s="17"/>
      <c r="AA129" s="18"/>
      <c r="AB129" s="13"/>
      <c r="AC129" s="18"/>
      <c r="AD129" s="18"/>
    </row>
    <row r="130" spans="1:30">
      <c r="B130" s="48" t="s">
        <v>126</v>
      </c>
      <c r="C130" s="106" t="s">
        <v>63</v>
      </c>
      <c r="D130" s="8">
        <v>3404</v>
      </c>
      <c r="E130" s="8">
        <v>18</v>
      </c>
      <c r="F130" s="8">
        <v>1712</v>
      </c>
      <c r="G130" s="8">
        <v>1084</v>
      </c>
      <c r="H130" s="8">
        <v>66</v>
      </c>
      <c r="I130" s="9">
        <f t="shared" si="8"/>
        <v>924480</v>
      </c>
      <c r="J130" s="9">
        <f>G130*400</f>
        <v>433600</v>
      </c>
      <c r="K130" s="9">
        <f>H130*200</f>
        <v>13200</v>
      </c>
      <c r="L130" s="58">
        <v>1325846</v>
      </c>
      <c r="M130" s="58">
        <v>695960</v>
      </c>
      <c r="N130" s="8">
        <v>4614</v>
      </c>
      <c r="O130" s="8">
        <v>484940</v>
      </c>
      <c r="P130" s="8">
        <v>196746</v>
      </c>
      <c r="Q130" s="8">
        <v>18400</v>
      </c>
      <c r="R130" s="8">
        <v>9432</v>
      </c>
      <c r="S130" s="8">
        <v>5286</v>
      </c>
      <c r="T130" s="10">
        <f>Y130+Y131</f>
        <v>28813</v>
      </c>
      <c r="U130" s="11">
        <f>V130/V131</f>
        <v>0.35335531942782594</v>
      </c>
      <c r="V130" s="8">
        <v>89014</v>
      </c>
      <c r="W130" s="8">
        <v>135031</v>
      </c>
      <c r="X130" s="8">
        <v>56643</v>
      </c>
      <c r="Y130" s="8">
        <v>125</v>
      </c>
      <c r="Z130" s="11">
        <f>AA130/AC130</f>
        <v>0.22667909343580739</v>
      </c>
      <c r="AA130" s="12">
        <f>1001563.1</f>
        <v>1001563.1</v>
      </c>
      <c r="AB130" s="8">
        <v>314769</v>
      </c>
      <c r="AC130" s="12">
        <f>4418418.5</f>
        <v>4418418.5</v>
      </c>
      <c r="AD130" s="12">
        <f>AC130*1000/L130</f>
        <v>3332.527684210685</v>
      </c>
    </row>
    <row r="131" spans="1:30">
      <c r="B131" s="48" t="s">
        <v>126</v>
      </c>
      <c r="C131" s="107"/>
      <c r="D131" s="13"/>
      <c r="E131" s="13"/>
      <c r="F131" s="14">
        <f>I130/L130/1.95</f>
        <v>0.35757720556709277</v>
      </c>
      <c r="G131" s="14">
        <f>J130/L130/0.35</f>
        <v>0.93438992375972996</v>
      </c>
      <c r="H131" s="14">
        <f>K130/L130/0.075</f>
        <v>0.13274543197324576</v>
      </c>
      <c r="I131" s="15"/>
      <c r="J131" s="15"/>
      <c r="K131" s="15"/>
      <c r="L131" s="15"/>
      <c r="M131" s="15"/>
      <c r="N131" s="13"/>
      <c r="O131" s="14">
        <f>O130/L130</f>
        <v>0.36575891921082843</v>
      </c>
      <c r="P131" s="14">
        <f>P130/M130</f>
        <v>0.28269728145295708</v>
      </c>
      <c r="Q131" s="13"/>
      <c r="R131" s="13"/>
      <c r="S131" s="14">
        <f>S130/R130</f>
        <v>0.56043256997455471</v>
      </c>
      <c r="T131" s="16"/>
      <c r="U131" s="16"/>
      <c r="V131" s="13">
        <f>0.19*L130</f>
        <v>251910.74</v>
      </c>
      <c r="W131" s="13"/>
      <c r="X131" s="13"/>
      <c r="Y131" s="13">
        <v>28688</v>
      </c>
      <c r="Z131" s="17"/>
      <c r="AA131" s="18"/>
      <c r="AB131" s="13"/>
      <c r="AC131" s="18"/>
      <c r="AD131" s="18"/>
    </row>
    <row r="132" spans="1:30">
      <c r="B132" s="48" t="s">
        <v>126</v>
      </c>
      <c r="C132" s="106" t="s">
        <v>64</v>
      </c>
      <c r="D132" s="8">
        <v>2756</v>
      </c>
      <c r="E132" s="8">
        <v>6</v>
      </c>
      <c r="F132" s="8">
        <v>881</v>
      </c>
      <c r="G132" s="8">
        <v>915</v>
      </c>
      <c r="H132" s="8">
        <v>117</v>
      </c>
      <c r="I132" s="9">
        <f t="shared" si="8"/>
        <v>475740</v>
      </c>
      <c r="J132" s="9">
        <f>G132*400</f>
        <v>366000</v>
      </c>
      <c r="K132" s="9">
        <f>H132*200</f>
        <v>23400</v>
      </c>
      <c r="L132" s="58">
        <v>1517675</v>
      </c>
      <c r="M132" s="58">
        <v>777190</v>
      </c>
      <c r="N132" s="8">
        <v>6078</v>
      </c>
      <c r="O132" s="8">
        <v>451966</v>
      </c>
      <c r="P132" s="8">
        <v>171645</v>
      </c>
      <c r="Q132" s="8">
        <v>45895</v>
      </c>
      <c r="R132" s="8">
        <v>5303</v>
      </c>
      <c r="S132" s="8">
        <v>3168</v>
      </c>
      <c r="T132" s="10">
        <f>Y132+Y133</f>
        <v>16831</v>
      </c>
      <c r="U132" s="11">
        <f>V132/V133</f>
        <v>0.24053065934475604</v>
      </c>
      <c r="V132" s="8">
        <v>69359</v>
      </c>
      <c r="W132" s="57">
        <v>152697</v>
      </c>
      <c r="X132" s="8">
        <v>63454</v>
      </c>
      <c r="Y132" s="8">
        <v>161</v>
      </c>
      <c r="Z132" s="11">
        <f>AA132/AC132</f>
        <v>5.0757924031695927E-2</v>
      </c>
      <c r="AA132" s="12">
        <f>596424.2</f>
        <v>596424.19999999995</v>
      </c>
      <c r="AB132" s="8">
        <v>277853</v>
      </c>
      <c r="AC132" s="12">
        <f>11750366.3</f>
        <v>11750366.300000001</v>
      </c>
      <c r="AD132" s="12">
        <f>AC132*1000/L132</f>
        <v>7742.3468792725716</v>
      </c>
    </row>
    <row r="133" spans="1:30">
      <c r="B133" s="48" t="s">
        <v>126</v>
      </c>
      <c r="C133" s="107"/>
      <c r="D133" s="13"/>
      <c r="E133" s="13"/>
      <c r="F133" s="14">
        <f>I132/L132/1.95</f>
        <v>0.16075195991844812</v>
      </c>
      <c r="G133" s="14">
        <f>J132/L132/0.35</f>
        <v>0.68902385933370836</v>
      </c>
      <c r="H133" s="14">
        <f>K132/L132/0.075</f>
        <v>0.20557761048972936</v>
      </c>
      <c r="I133" s="15"/>
      <c r="J133" s="15"/>
      <c r="K133" s="15"/>
      <c r="L133" s="15"/>
      <c r="M133" s="15"/>
      <c r="N133" s="13"/>
      <c r="O133" s="14">
        <f>O132/L132</f>
        <v>0.29780157148269559</v>
      </c>
      <c r="P133" s="14">
        <f>P132/M132</f>
        <v>0.22085333058840181</v>
      </c>
      <c r="Q133" s="13"/>
      <c r="R133" s="13"/>
      <c r="S133" s="14">
        <f>S132/R132</f>
        <v>0.5973976994154252</v>
      </c>
      <c r="T133" s="16"/>
      <c r="U133" s="16"/>
      <c r="V133" s="13">
        <f>0.19*L132</f>
        <v>288358.25</v>
      </c>
      <c r="W133" s="13"/>
      <c r="X133" s="13"/>
      <c r="Y133" s="13">
        <v>16670</v>
      </c>
      <c r="Z133" s="17"/>
      <c r="AA133" s="18"/>
      <c r="AB133" s="13"/>
      <c r="AC133" s="18"/>
      <c r="AD133" s="18"/>
    </row>
    <row r="134" spans="1:30" s="6" customFormat="1">
      <c r="A134" s="49"/>
      <c r="B134" s="48" t="s">
        <v>126</v>
      </c>
      <c r="C134" s="106" t="s">
        <v>65</v>
      </c>
      <c r="D134" s="8">
        <v>1031</v>
      </c>
      <c r="E134" s="8">
        <v>0</v>
      </c>
      <c r="F134" s="8">
        <v>237</v>
      </c>
      <c r="G134" s="8">
        <v>418</v>
      </c>
      <c r="H134" s="8">
        <v>43</v>
      </c>
      <c r="I134" s="9">
        <f t="shared" si="8"/>
        <v>127980</v>
      </c>
      <c r="J134" s="9">
        <f>G134*400</f>
        <v>167200</v>
      </c>
      <c r="K134" s="9">
        <f>H134*200</f>
        <v>8600</v>
      </c>
      <c r="L134" s="58">
        <v>510927</v>
      </c>
      <c r="M134" s="58">
        <v>254624</v>
      </c>
      <c r="N134" s="8">
        <v>2555</v>
      </c>
      <c r="O134" s="57">
        <v>199580</v>
      </c>
      <c r="P134" s="8">
        <v>73035</v>
      </c>
      <c r="Q134" s="8">
        <v>2577</v>
      </c>
      <c r="R134" s="8">
        <v>2377</v>
      </c>
      <c r="S134" s="8">
        <v>1618</v>
      </c>
      <c r="T134" s="10">
        <f>Y134+Y135</f>
        <v>12257</v>
      </c>
      <c r="U134" s="11">
        <f>V134/V135</f>
        <v>0.3000943692337138</v>
      </c>
      <c r="V134" s="8">
        <v>29132</v>
      </c>
      <c r="W134" s="8">
        <v>75610</v>
      </c>
      <c r="X134" s="8">
        <v>22290</v>
      </c>
      <c r="Y134" s="8">
        <v>29</v>
      </c>
      <c r="Z134" s="11">
        <f>AA134/AC134</f>
        <v>0.32400317615197799</v>
      </c>
      <c r="AA134" s="12">
        <v>1806455.7000000002</v>
      </c>
      <c r="AB134" s="8">
        <v>105583</v>
      </c>
      <c r="AC134" s="54">
        <v>5575425.8999999994</v>
      </c>
      <c r="AD134" s="19">
        <f>AC134*1000/L134</f>
        <v>10912.372804725526</v>
      </c>
    </row>
    <row r="135" spans="1:30" s="6" customFormat="1">
      <c r="A135" s="49"/>
      <c r="B135" s="48" t="s">
        <v>126</v>
      </c>
      <c r="C135" s="107"/>
      <c r="D135" s="13"/>
      <c r="E135" s="13"/>
      <c r="F135" s="14">
        <f>I134/L134/1.95</f>
        <v>0.1284542982280624</v>
      </c>
      <c r="G135" s="14">
        <f>J134/L134/0.35</f>
        <v>0.93499518662017422</v>
      </c>
      <c r="H135" s="14">
        <f>K134/L134/0.075</f>
        <v>0.22442866919670845</v>
      </c>
      <c r="I135" s="15"/>
      <c r="J135" s="15"/>
      <c r="K135" s="15"/>
      <c r="L135" s="15"/>
      <c r="M135" s="15"/>
      <c r="N135" s="13"/>
      <c r="O135" s="14">
        <f>O134/L134</f>
        <v>0.39062331800824773</v>
      </c>
      <c r="P135" s="14">
        <f>P134/M134</f>
        <v>0.2868347052909388</v>
      </c>
      <c r="Q135" s="13"/>
      <c r="R135" s="13"/>
      <c r="S135" s="14">
        <f>S134/R134</f>
        <v>0.68068994530921334</v>
      </c>
      <c r="T135" s="16"/>
      <c r="U135" s="16"/>
      <c r="V135" s="13">
        <f>0.19*L134</f>
        <v>97076.13</v>
      </c>
      <c r="W135" s="13"/>
      <c r="X135" s="13"/>
      <c r="Y135" s="13">
        <v>12228</v>
      </c>
      <c r="Z135" s="17"/>
      <c r="AA135" s="18"/>
      <c r="AB135" s="13"/>
      <c r="AC135" s="18"/>
      <c r="AD135" s="18"/>
    </row>
    <row r="136" spans="1:30">
      <c r="B136" s="48" t="s">
        <v>126</v>
      </c>
      <c r="C136" s="106" t="s">
        <v>66</v>
      </c>
      <c r="D136" s="8">
        <v>7040</v>
      </c>
      <c r="E136" s="8">
        <v>50</v>
      </c>
      <c r="F136" s="8">
        <v>3575</v>
      </c>
      <c r="G136" s="8">
        <v>1764</v>
      </c>
      <c r="H136" s="8">
        <v>83</v>
      </c>
      <c r="I136" s="9">
        <f t="shared" si="8"/>
        <v>1930500</v>
      </c>
      <c r="J136" s="9">
        <f>G136*400</f>
        <v>705600</v>
      </c>
      <c r="K136" s="9">
        <f>H136*200</f>
        <v>16600</v>
      </c>
      <c r="L136" s="58">
        <v>3247420</v>
      </c>
      <c r="M136" s="58">
        <v>1745013</v>
      </c>
      <c r="N136" s="8">
        <v>9894</v>
      </c>
      <c r="O136" s="57">
        <v>1007710</v>
      </c>
      <c r="P136" s="57">
        <v>410145</v>
      </c>
      <c r="Q136" s="8">
        <v>93954</v>
      </c>
      <c r="R136" s="8">
        <v>22729</v>
      </c>
      <c r="S136" s="8">
        <v>11772</v>
      </c>
      <c r="T136" s="10">
        <f>Y136+Y137</f>
        <v>29446</v>
      </c>
      <c r="U136" s="11">
        <f>V136/V137</f>
        <v>0.28267298185539352</v>
      </c>
      <c r="V136" s="57">
        <v>174412</v>
      </c>
      <c r="W136" s="8">
        <v>155489</v>
      </c>
      <c r="X136" s="8">
        <v>99952</v>
      </c>
      <c r="Y136" s="8">
        <v>355</v>
      </c>
      <c r="Z136" s="11">
        <f>AA136/AC136</f>
        <v>0.26015106379422787</v>
      </c>
      <c r="AA136" s="12">
        <f>2253940.7</f>
        <v>2253940.7000000002</v>
      </c>
      <c r="AB136" s="8">
        <v>558571</v>
      </c>
      <c r="AC136" s="12">
        <f>8663968.8</f>
        <v>8663968.8000000007</v>
      </c>
      <c r="AD136" s="12">
        <f>AC136*1000/L136</f>
        <v>2667.9544992640313</v>
      </c>
    </row>
    <row r="137" spans="1:30">
      <c r="B137" s="48" t="s">
        <v>126</v>
      </c>
      <c r="C137" s="107"/>
      <c r="D137" s="13"/>
      <c r="E137" s="13"/>
      <c r="F137" s="14">
        <f>I136/L136/1.95</f>
        <v>0.3048573944854685</v>
      </c>
      <c r="G137" s="14">
        <f>J136/L136/0.35</f>
        <v>0.62080051240677225</v>
      </c>
      <c r="H137" s="14">
        <f>K136/L136/0.075</f>
        <v>6.8156670012912826E-2</v>
      </c>
      <c r="I137" s="15"/>
      <c r="J137" s="15"/>
      <c r="K137" s="15"/>
      <c r="L137" s="15"/>
      <c r="M137" s="15"/>
      <c r="N137" s="13"/>
      <c r="O137" s="14">
        <f>O136/L136</f>
        <v>0.31031095454237517</v>
      </c>
      <c r="P137" s="14">
        <f>P136/M136</f>
        <v>0.23503836361104474</v>
      </c>
      <c r="Q137" s="13"/>
      <c r="R137" s="13"/>
      <c r="S137" s="14">
        <f>S136/R136</f>
        <v>0.51792863742355577</v>
      </c>
      <c r="T137" s="16"/>
      <c r="U137" s="16"/>
      <c r="V137" s="13">
        <f>0.19*L136</f>
        <v>617009.80000000005</v>
      </c>
      <c r="W137" s="13"/>
      <c r="X137" s="13"/>
      <c r="Y137" s="13">
        <v>29091</v>
      </c>
      <c r="Z137" s="17"/>
      <c r="AA137" s="18"/>
      <c r="AB137" s="13"/>
      <c r="AC137" s="18"/>
      <c r="AD137" s="18"/>
    </row>
    <row r="138" spans="1:30" s="21" customFormat="1">
      <c r="A138" s="50" t="s">
        <v>129</v>
      </c>
      <c r="B138" s="51" t="s">
        <v>126</v>
      </c>
      <c r="C138" s="110" t="s">
        <v>67</v>
      </c>
      <c r="D138" s="25">
        <f t="shared" ref="D138:T138" si="9">SUM(D136,D134,D132,D130,D128,D126)</f>
        <v>25375</v>
      </c>
      <c r="E138" s="25">
        <f t="shared" si="9"/>
        <v>204</v>
      </c>
      <c r="F138" s="25">
        <f t="shared" si="9"/>
        <v>11845</v>
      </c>
      <c r="G138" s="25">
        <f t="shared" si="9"/>
        <v>7280</v>
      </c>
      <c r="H138" s="25">
        <f t="shared" si="9"/>
        <v>587</v>
      </c>
      <c r="I138" s="20">
        <f t="shared" si="9"/>
        <v>6396300</v>
      </c>
      <c r="J138" s="20">
        <f t="shared" si="9"/>
        <v>2912000</v>
      </c>
      <c r="K138" s="20">
        <f t="shared" si="9"/>
        <v>117400</v>
      </c>
      <c r="L138" s="20">
        <f t="shared" si="9"/>
        <v>11417800</v>
      </c>
      <c r="M138" s="20">
        <f t="shared" si="9"/>
        <v>6052409</v>
      </c>
      <c r="N138" s="25">
        <f t="shared" si="9"/>
        <v>36972</v>
      </c>
      <c r="O138" s="25">
        <f t="shared" si="9"/>
        <v>3641326</v>
      </c>
      <c r="P138" s="25">
        <f t="shared" si="9"/>
        <v>1410082</v>
      </c>
      <c r="Q138" s="25">
        <f t="shared" si="9"/>
        <v>233572</v>
      </c>
      <c r="R138" s="25">
        <f t="shared" si="9"/>
        <v>65660</v>
      </c>
      <c r="S138" s="25">
        <f t="shared" si="9"/>
        <v>34361</v>
      </c>
      <c r="T138" s="25">
        <f t="shared" si="9"/>
        <v>143623</v>
      </c>
      <c r="U138" s="22">
        <f>V138/V139</f>
        <v>0.29672229233947733</v>
      </c>
      <c r="V138" s="25">
        <f>SUM(V136,V134,V132,V130,V128,V126)</f>
        <v>643704</v>
      </c>
      <c r="W138" s="25">
        <f>SUM(W136,W134,W132,W130,W128,W126)</f>
        <v>892810</v>
      </c>
      <c r="X138" s="25">
        <f>SUM(X136,X134,X132,X130,X128,X126)</f>
        <v>394383</v>
      </c>
      <c r="Y138" s="25">
        <f>SUM(Y136,Y134,Y132,Y130,Y128,Y126)</f>
        <v>997</v>
      </c>
      <c r="Z138" s="22">
        <f>AA138/AC138</f>
        <v>0.18615811595156548</v>
      </c>
      <c r="AA138" s="23">
        <f>SUM(AA126:AA136)</f>
        <v>7314573</v>
      </c>
      <c r="AB138" s="25">
        <f>SUM(AB136,AB134,AB132,AB130,AB128,AB126)</f>
        <v>2083105</v>
      </c>
      <c r="AC138" s="23">
        <f>SUM(AC126:AC136)</f>
        <v>39292259.5</v>
      </c>
      <c r="AD138" s="23">
        <f>AC138*1000/L138</f>
        <v>3441.3161467182822</v>
      </c>
    </row>
    <row r="139" spans="1:30" s="21" customFormat="1">
      <c r="A139" s="50" t="s">
        <v>129</v>
      </c>
      <c r="B139" s="51" t="s">
        <v>126</v>
      </c>
      <c r="C139" s="111"/>
      <c r="D139" s="27"/>
      <c r="E139" s="27"/>
      <c r="F139" s="24">
        <f>I138/L138/1.95</f>
        <v>0.28728422692233585</v>
      </c>
      <c r="G139" s="24">
        <f>J138/L138/0.35</f>
        <v>0.72868678729702741</v>
      </c>
      <c r="H139" s="24">
        <f>K138/L138/0.075</f>
        <v>0.13709587953312666</v>
      </c>
      <c r="I139" s="20"/>
      <c r="J139" s="20"/>
      <c r="K139" s="20"/>
      <c r="L139" s="20"/>
      <c r="M139" s="20"/>
      <c r="N139" s="27"/>
      <c r="O139" s="24">
        <f>O138/L138</f>
        <v>0.31891660389917498</v>
      </c>
      <c r="P139" s="24">
        <f>P138/M138</f>
        <v>0.23297863710135913</v>
      </c>
      <c r="Q139" s="27"/>
      <c r="R139" s="27"/>
      <c r="S139" s="24">
        <f>S138/R138</f>
        <v>0.52331708802924159</v>
      </c>
      <c r="T139" s="29"/>
      <c r="U139" s="29"/>
      <c r="V139" s="27">
        <f>SUM(V137,V135,V133,V131,V129,V127)</f>
        <v>2169382</v>
      </c>
      <c r="W139" s="27"/>
      <c r="X139" s="27"/>
      <c r="Y139" s="27">
        <f>SUM(Y137,Y135,Y133,Y131,Y129,Y127)</f>
        <v>142626</v>
      </c>
      <c r="Z139" s="30"/>
      <c r="AA139" s="31"/>
      <c r="AB139" s="27"/>
      <c r="AC139" s="31"/>
      <c r="AD139" s="31"/>
    </row>
    <row r="140" spans="1:30">
      <c r="B140" s="48" t="s">
        <v>127</v>
      </c>
      <c r="C140" s="106" t="s">
        <v>68</v>
      </c>
      <c r="D140" s="8">
        <v>341</v>
      </c>
      <c r="E140" s="8">
        <v>7</v>
      </c>
      <c r="F140" s="8">
        <v>175</v>
      </c>
      <c r="G140" s="8">
        <v>131</v>
      </c>
      <c r="H140" s="8">
        <v>1</v>
      </c>
      <c r="I140" s="9">
        <f t="shared" ref="I140:I162" si="10">F140*540</f>
        <v>94500</v>
      </c>
      <c r="J140" s="9">
        <f>G140*400</f>
        <v>52400</v>
      </c>
      <c r="K140" s="9">
        <f>H140*200</f>
        <v>200</v>
      </c>
      <c r="L140" s="58">
        <v>196123</v>
      </c>
      <c r="M140" s="58">
        <v>102741</v>
      </c>
      <c r="N140" s="8">
        <v>662</v>
      </c>
      <c r="O140" s="8">
        <v>47111</v>
      </c>
      <c r="P140" s="8">
        <v>11790</v>
      </c>
      <c r="Q140" s="8">
        <v>3517</v>
      </c>
      <c r="R140" s="8">
        <v>2129</v>
      </c>
      <c r="S140" s="8">
        <v>1786</v>
      </c>
      <c r="T140" s="10">
        <f>Y140+Y141</f>
        <v>932</v>
      </c>
      <c r="U140" s="11">
        <f>V140/V141</f>
        <v>0.2771622641752477</v>
      </c>
      <c r="V140" s="8">
        <v>10328</v>
      </c>
      <c r="W140" s="8">
        <v>9559</v>
      </c>
      <c r="X140" s="8">
        <v>7691</v>
      </c>
      <c r="Y140" s="8">
        <v>17</v>
      </c>
      <c r="Z140" s="11">
        <f>AA140/AC140</f>
        <v>7.215971906093516E-3</v>
      </c>
      <c r="AA140" s="12">
        <f>554.8</f>
        <v>554.79999999999995</v>
      </c>
      <c r="AB140" s="8">
        <v>32188</v>
      </c>
      <c r="AC140" s="12">
        <f>76885</f>
        <v>76885</v>
      </c>
      <c r="AD140" s="12">
        <f>AC140*1000/L140</f>
        <v>392.02439285550395</v>
      </c>
    </row>
    <row r="141" spans="1:30">
      <c r="B141" s="48" t="s">
        <v>127</v>
      </c>
      <c r="C141" s="107"/>
      <c r="D141" s="13"/>
      <c r="E141" s="13"/>
      <c r="F141" s="14">
        <f>I140/L140/1.95</f>
        <v>0.24709768085098874</v>
      </c>
      <c r="G141" s="14">
        <f>J140/L140/0.35</f>
        <v>0.76336934329112704</v>
      </c>
      <c r="H141" s="14">
        <f>K140/L140/0.075</f>
        <v>1.3596909422488269E-2</v>
      </c>
      <c r="I141" s="15"/>
      <c r="J141" s="15"/>
      <c r="K141" s="15"/>
      <c r="L141" s="15"/>
      <c r="M141" s="15"/>
      <c r="N141" s="13"/>
      <c r="O141" s="14">
        <f>O140/L140</f>
        <v>0.2402114999260668</v>
      </c>
      <c r="P141" s="14">
        <f>P140/M140</f>
        <v>0.11475457704324467</v>
      </c>
      <c r="Q141" s="13"/>
      <c r="R141" s="13"/>
      <c r="S141" s="14">
        <f>S140/R140</f>
        <v>0.83889149835603571</v>
      </c>
      <c r="T141" s="16"/>
      <c r="U141" s="16"/>
      <c r="V141" s="13">
        <f>0.19*L140</f>
        <v>37263.370000000003</v>
      </c>
      <c r="W141" s="13"/>
      <c r="X141" s="13"/>
      <c r="Y141" s="13">
        <v>915</v>
      </c>
      <c r="Z141" s="17"/>
      <c r="AA141" s="18"/>
      <c r="AB141" s="13"/>
      <c r="AC141" s="18"/>
      <c r="AD141" s="18"/>
    </row>
    <row r="142" spans="1:30">
      <c r="B142" s="48" t="s">
        <v>127</v>
      </c>
      <c r="C142" s="106" t="s">
        <v>69</v>
      </c>
      <c r="D142" s="8">
        <v>1744</v>
      </c>
      <c r="E142" s="8">
        <v>17</v>
      </c>
      <c r="F142" s="8">
        <v>992</v>
      </c>
      <c r="G142" s="8">
        <v>515</v>
      </c>
      <c r="H142" s="8">
        <v>15</v>
      </c>
      <c r="I142" s="9">
        <f t="shared" si="10"/>
        <v>535680</v>
      </c>
      <c r="J142" s="9">
        <f>G142*400</f>
        <v>206000</v>
      </c>
      <c r="K142" s="9">
        <f>H142*200</f>
        <v>3000</v>
      </c>
      <c r="L142" s="9">
        <v>908171</v>
      </c>
      <c r="M142" s="9">
        <v>473360</v>
      </c>
      <c r="N142" s="8">
        <v>2348</v>
      </c>
      <c r="O142" s="8">
        <v>278677</v>
      </c>
      <c r="P142" s="8">
        <v>102860</v>
      </c>
      <c r="Q142" s="8">
        <v>17314</v>
      </c>
      <c r="R142" s="8">
        <v>5189</v>
      </c>
      <c r="S142" s="8">
        <v>3203</v>
      </c>
      <c r="T142" s="10">
        <f>Y142+Y143</f>
        <v>19217</v>
      </c>
      <c r="U142" s="11">
        <f>V142/V143</f>
        <v>0.30301504197360468</v>
      </c>
      <c r="V142" s="8">
        <v>52286</v>
      </c>
      <c r="W142" s="8">
        <v>27694</v>
      </c>
      <c r="X142" s="8">
        <v>30656</v>
      </c>
      <c r="Y142" s="8">
        <v>41</v>
      </c>
      <c r="Z142" s="11">
        <f>AA142/AC142</f>
        <v>5.7272398358739214E-2</v>
      </c>
      <c r="AA142" s="12">
        <f>31216</f>
        <v>31216</v>
      </c>
      <c r="AB142" s="8">
        <v>165798</v>
      </c>
      <c r="AC142" s="12">
        <f>545044.4</f>
        <v>545044.4</v>
      </c>
      <c r="AD142" s="12">
        <f>AC142*1000/L142</f>
        <v>600.15613799603818</v>
      </c>
    </row>
    <row r="143" spans="1:30">
      <c r="B143" s="48" t="s">
        <v>127</v>
      </c>
      <c r="C143" s="107"/>
      <c r="D143" s="13"/>
      <c r="E143" s="13"/>
      <c r="F143" s="14">
        <f>I142/L142/1.95</f>
        <v>0.30248454565020499</v>
      </c>
      <c r="G143" s="14">
        <f>J142/L142/0.35</f>
        <v>0.64808436800055125</v>
      </c>
      <c r="H143" s="14">
        <f>K142/L142/0.075</f>
        <v>4.4044568699066589E-2</v>
      </c>
      <c r="I143" s="15"/>
      <c r="J143" s="15"/>
      <c r="K143" s="15"/>
      <c r="L143" s="15"/>
      <c r="M143" s="15"/>
      <c r="N143" s="13"/>
      <c r="O143" s="14">
        <f>O142/L142</f>
        <v>0.30685520678374445</v>
      </c>
      <c r="P143" s="14">
        <f>P142/M142</f>
        <v>0.21729761703565997</v>
      </c>
      <c r="Q143" s="13"/>
      <c r="R143" s="13"/>
      <c r="S143" s="14">
        <f>S142/R142</f>
        <v>0.6172672962035074</v>
      </c>
      <c r="T143" s="16"/>
      <c r="U143" s="16"/>
      <c r="V143" s="13">
        <f>0.19*L142</f>
        <v>172552.49</v>
      </c>
      <c r="W143" s="13"/>
      <c r="X143" s="13"/>
      <c r="Y143" s="13">
        <v>19176</v>
      </c>
      <c r="Z143" s="17"/>
      <c r="AA143" s="18"/>
      <c r="AB143" s="13"/>
      <c r="AC143" s="18"/>
      <c r="AD143" s="18"/>
    </row>
    <row r="144" spans="1:30">
      <c r="B144" s="48" t="s">
        <v>127</v>
      </c>
      <c r="C144" s="106" t="s">
        <v>70</v>
      </c>
      <c r="D144" s="8">
        <v>697</v>
      </c>
      <c r="E144" s="8">
        <v>10</v>
      </c>
      <c r="F144" s="8">
        <v>466</v>
      </c>
      <c r="G144" s="8">
        <v>185</v>
      </c>
      <c r="H144" s="8">
        <v>3</v>
      </c>
      <c r="I144" s="9">
        <f t="shared" si="10"/>
        <v>251640</v>
      </c>
      <c r="J144" s="9">
        <f>G144*400</f>
        <v>74000</v>
      </c>
      <c r="K144" s="9">
        <f>H144*200</f>
        <v>600</v>
      </c>
      <c r="L144" s="9">
        <v>287950</v>
      </c>
      <c r="M144" s="9">
        <v>150621</v>
      </c>
      <c r="N144" s="8">
        <v>1207</v>
      </c>
      <c r="O144" s="8">
        <v>120860</v>
      </c>
      <c r="P144" s="8">
        <v>40571</v>
      </c>
      <c r="Q144" s="8">
        <v>4381</v>
      </c>
      <c r="R144" s="8">
        <v>1656</v>
      </c>
      <c r="S144" s="8">
        <v>1452</v>
      </c>
      <c r="T144" s="10">
        <f>Y144+Y145</f>
        <v>2412</v>
      </c>
      <c r="U144" s="11">
        <f>V144/V145</f>
        <v>0.42913151954378043</v>
      </c>
      <c r="V144" s="8">
        <v>23478</v>
      </c>
      <c r="W144" s="8">
        <v>28628</v>
      </c>
      <c r="X144" s="8">
        <v>16898</v>
      </c>
      <c r="Y144" s="8">
        <v>18</v>
      </c>
      <c r="Z144" s="11">
        <f>AA144/AC144</f>
        <v>7.2253659171925833E-2</v>
      </c>
      <c r="AA144" s="12">
        <f>1113055.9</f>
        <v>1113055.8999999999</v>
      </c>
      <c r="AB144" s="8">
        <v>58851</v>
      </c>
      <c r="AC144" s="12">
        <f>15404837.8</f>
        <v>15404837.800000001</v>
      </c>
      <c r="AD144" s="19">
        <f>AC144*1000/L144</f>
        <v>53498.308039590207</v>
      </c>
    </row>
    <row r="145" spans="2:30">
      <c r="B145" s="48" t="s">
        <v>127</v>
      </c>
      <c r="C145" s="107"/>
      <c r="D145" s="13"/>
      <c r="E145" s="13"/>
      <c r="F145" s="14">
        <f>I144/L144/1.95</f>
        <v>0.44815472771715176</v>
      </c>
      <c r="G145" s="14">
        <f>J144/L144/0.35</f>
        <v>0.73425445885942497</v>
      </c>
      <c r="H145" s="14">
        <f>K144/L144/0.075</f>
        <v>2.7782601146032298E-2</v>
      </c>
      <c r="I145" s="15"/>
      <c r="J145" s="15"/>
      <c r="K145" s="15"/>
      <c r="L145" s="15"/>
      <c r="M145" s="15"/>
      <c r="N145" s="13"/>
      <c r="O145" s="14">
        <f>O144/L144</f>
        <v>0.41972564681368291</v>
      </c>
      <c r="P145" s="14">
        <f>P144/M144</f>
        <v>0.26935819042497394</v>
      </c>
      <c r="Q145" s="13"/>
      <c r="R145" s="13"/>
      <c r="S145" s="14">
        <f>S144/R144</f>
        <v>0.87681159420289856</v>
      </c>
      <c r="T145" s="16"/>
      <c r="U145" s="16"/>
      <c r="V145" s="13">
        <f>0.19*L144</f>
        <v>54710.5</v>
      </c>
      <c r="W145" s="13"/>
      <c r="X145" s="13"/>
      <c r="Y145" s="13">
        <v>2394</v>
      </c>
      <c r="Z145" s="17"/>
      <c r="AA145" s="18"/>
      <c r="AB145" s="13"/>
      <c r="AC145" s="18"/>
      <c r="AD145" s="18"/>
    </row>
    <row r="146" spans="2:30">
      <c r="B146" s="48" t="s">
        <v>127</v>
      </c>
      <c r="C146" s="106" t="s">
        <v>71</v>
      </c>
      <c r="D146" s="8">
        <v>1058</v>
      </c>
      <c r="E146" s="8">
        <v>22</v>
      </c>
      <c r="F146" s="8">
        <v>571</v>
      </c>
      <c r="G146" s="8">
        <v>270</v>
      </c>
      <c r="H146" s="8">
        <v>28</v>
      </c>
      <c r="I146" s="9">
        <f t="shared" si="10"/>
        <v>308340</v>
      </c>
      <c r="J146" s="9">
        <f>G146*400</f>
        <v>108000</v>
      </c>
      <c r="K146" s="9">
        <f>H146*200</f>
        <v>5600</v>
      </c>
      <c r="L146" s="9">
        <v>497882</v>
      </c>
      <c r="M146" s="9">
        <v>264863</v>
      </c>
      <c r="N146" s="8">
        <v>1377</v>
      </c>
      <c r="O146" s="8">
        <v>148384</v>
      </c>
      <c r="P146" s="8">
        <v>57764</v>
      </c>
      <c r="Q146" s="8">
        <v>9207</v>
      </c>
      <c r="R146" s="8">
        <v>1439</v>
      </c>
      <c r="S146" s="8">
        <v>671</v>
      </c>
      <c r="T146" s="10">
        <f>Y146+Y147</f>
        <v>8661</v>
      </c>
      <c r="U146" s="11">
        <f>V146/V147</f>
        <v>0.33753506167916769</v>
      </c>
      <c r="V146" s="8">
        <v>31930</v>
      </c>
      <c r="W146" s="8">
        <v>40321</v>
      </c>
      <c r="X146" s="8">
        <v>18925</v>
      </c>
      <c r="Y146" s="8">
        <v>37</v>
      </c>
      <c r="Z146" s="11">
        <f>AA146/AC146</f>
        <v>8.204287533445688E-2</v>
      </c>
      <c r="AA146" s="12">
        <f>93613.3</f>
        <v>93613.3</v>
      </c>
      <c r="AB146" s="8">
        <v>89548</v>
      </c>
      <c r="AC146" s="12">
        <f>1141029</f>
        <v>1141029</v>
      </c>
      <c r="AD146" s="12">
        <f>AC146*1000/L146</f>
        <v>2291.7659204389797</v>
      </c>
    </row>
    <row r="147" spans="2:30">
      <c r="B147" s="48" t="s">
        <v>127</v>
      </c>
      <c r="C147" s="107"/>
      <c r="D147" s="13"/>
      <c r="E147" s="13"/>
      <c r="F147" s="14">
        <f>I146/L146/1.95</f>
        <v>0.31759147131865967</v>
      </c>
      <c r="G147" s="14">
        <f>J146/L146/0.35</f>
        <v>0.6197681952177998</v>
      </c>
      <c r="H147" s="14">
        <f>K146/L146/0.075</f>
        <v>0.14996860032430709</v>
      </c>
      <c r="I147" s="15"/>
      <c r="J147" s="15"/>
      <c r="K147" s="15"/>
      <c r="L147" s="15"/>
      <c r="M147" s="15"/>
      <c r="N147" s="13"/>
      <c r="O147" s="14">
        <f>O146/L146</f>
        <v>0.29803045701591946</v>
      </c>
      <c r="P147" s="14">
        <f>P146/M146</f>
        <v>0.21809010696095718</v>
      </c>
      <c r="Q147" s="13"/>
      <c r="R147" s="13"/>
      <c r="S147" s="14">
        <f>S146/R146</f>
        <v>0.46629603891591381</v>
      </c>
      <c r="T147" s="16"/>
      <c r="U147" s="16"/>
      <c r="V147" s="13">
        <f>0.19*L146</f>
        <v>94597.58</v>
      </c>
      <c r="W147" s="13"/>
      <c r="X147" s="13"/>
      <c r="Y147" s="13">
        <v>8624</v>
      </c>
      <c r="Z147" s="17"/>
      <c r="AA147" s="18"/>
      <c r="AB147" s="13"/>
      <c r="AC147" s="18"/>
      <c r="AD147" s="18"/>
    </row>
    <row r="148" spans="2:30">
      <c r="B148" s="48" t="s">
        <v>127</v>
      </c>
      <c r="C148" s="106" t="s">
        <v>72</v>
      </c>
      <c r="D148" s="8">
        <v>5145</v>
      </c>
      <c r="E148" s="8">
        <v>77</v>
      </c>
      <c r="F148" s="8">
        <v>2919</v>
      </c>
      <c r="G148" s="8">
        <v>1584</v>
      </c>
      <c r="H148" s="8">
        <v>64</v>
      </c>
      <c r="I148" s="9">
        <f t="shared" si="10"/>
        <v>1576260</v>
      </c>
      <c r="J148" s="9">
        <f>G148*400</f>
        <v>633600</v>
      </c>
      <c r="K148" s="9">
        <f>H148*200</f>
        <v>12800</v>
      </c>
      <c r="L148" s="58">
        <v>2213887</v>
      </c>
      <c r="M148" s="58">
        <v>1178969</v>
      </c>
      <c r="N148" s="8">
        <v>5276</v>
      </c>
      <c r="O148" s="8">
        <v>712868</v>
      </c>
      <c r="P148" s="8">
        <v>283876</v>
      </c>
      <c r="Q148" s="8">
        <f>6665+1198+8423+10997+18481</f>
        <v>45764</v>
      </c>
      <c r="R148" s="8">
        <v>17017</v>
      </c>
      <c r="S148" s="8">
        <v>6972</v>
      </c>
      <c r="T148" s="10">
        <f>Y148+Y149</f>
        <v>32484</v>
      </c>
      <c r="U148" s="11">
        <f>V148/V149</f>
        <v>0.31790002689482583</v>
      </c>
      <c r="V148" s="8">
        <v>133721</v>
      </c>
      <c r="W148" s="8">
        <v>209468</v>
      </c>
      <c r="X148" s="8">
        <f>72765</f>
        <v>72765</v>
      </c>
      <c r="Y148" s="8">
        <v>53</v>
      </c>
      <c r="Z148" s="11">
        <f>AA148/AC148</f>
        <v>0.16512464830376655</v>
      </c>
      <c r="AA148" s="12">
        <f>374369.1</f>
        <v>374369.1</v>
      </c>
      <c r="AB148" s="8">
        <v>703848</v>
      </c>
      <c r="AC148" s="12">
        <f>2267190.9</f>
        <v>2267190.9</v>
      </c>
      <c r="AD148" s="12">
        <f>AC148*1000/L148</f>
        <v>1024.0770644572194</v>
      </c>
    </row>
    <row r="149" spans="2:30">
      <c r="B149" s="48" t="s">
        <v>127</v>
      </c>
      <c r="C149" s="107"/>
      <c r="D149" s="13"/>
      <c r="E149" s="13"/>
      <c r="F149" s="14">
        <f>I148/L148/1.95</f>
        <v>0.36512182488919337</v>
      </c>
      <c r="G149" s="14">
        <f>J148/L148/0.35</f>
        <v>0.81769562506384219</v>
      </c>
      <c r="H149" s="14">
        <f>K148/L148/0.075</f>
        <v>7.7089149837668625E-2</v>
      </c>
      <c r="I149" s="15"/>
      <c r="J149" s="15"/>
      <c r="K149" s="15"/>
      <c r="L149" s="15"/>
      <c r="M149" s="15"/>
      <c r="N149" s="13"/>
      <c r="O149" s="14">
        <f>O148/L148</f>
        <v>0.32199836757702627</v>
      </c>
      <c r="P149" s="14">
        <f>P148/M148</f>
        <v>0.24078326062856614</v>
      </c>
      <c r="Q149" s="13"/>
      <c r="R149" s="13"/>
      <c r="S149" s="14">
        <f>S148/R148</f>
        <v>0.40970793911970382</v>
      </c>
      <c r="T149" s="16"/>
      <c r="U149" s="16"/>
      <c r="V149" s="13">
        <f>0.19*L148</f>
        <v>420638.53</v>
      </c>
      <c r="W149" s="13"/>
      <c r="X149" s="13"/>
      <c r="Y149" s="13">
        <v>32431</v>
      </c>
      <c r="Z149" s="17"/>
      <c r="AA149" s="18"/>
      <c r="AB149" s="13"/>
      <c r="AC149" s="18"/>
      <c r="AD149" s="18"/>
    </row>
    <row r="150" spans="2:30">
      <c r="B150" s="48" t="s">
        <v>127</v>
      </c>
      <c r="C150" s="106" t="s">
        <v>73</v>
      </c>
      <c r="D150" s="8">
        <v>2745</v>
      </c>
      <c r="E150" s="8">
        <v>15</v>
      </c>
      <c r="F150" s="8">
        <v>1509</v>
      </c>
      <c r="G150" s="8">
        <v>757</v>
      </c>
      <c r="H150" s="8">
        <v>31</v>
      </c>
      <c r="I150" s="9">
        <f t="shared" si="10"/>
        <v>814860</v>
      </c>
      <c r="J150" s="9">
        <f>G150*400</f>
        <v>302800</v>
      </c>
      <c r="K150" s="9">
        <f>H150*200</f>
        <v>6200</v>
      </c>
      <c r="L150" s="58">
        <v>1014380</v>
      </c>
      <c r="M150" s="58">
        <v>525583</v>
      </c>
      <c r="N150" s="8">
        <v>2712</v>
      </c>
      <c r="O150" s="8">
        <v>274795</v>
      </c>
      <c r="P150" s="8">
        <v>105748</v>
      </c>
      <c r="Q150" s="8">
        <v>19037</v>
      </c>
      <c r="R150" s="8">
        <v>7190</v>
      </c>
      <c r="S150" s="8">
        <v>4813</v>
      </c>
      <c r="T150" s="10">
        <f>Y150+Y151</f>
        <v>14607</v>
      </c>
      <c r="U150" s="11">
        <f>V150/V151</f>
        <v>0.37881059833281616</v>
      </c>
      <c r="V150" s="8">
        <v>73009</v>
      </c>
      <c r="W150" s="8">
        <v>27211</v>
      </c>
      <c r="X150" s="8">
        <v>25850</v>
      </c>
      <c r="Y150" s="8">
        <v>30</v>
      </c>
      <c r="Z150" s="11">
        <f>AA150/AC150</f>
        <v>0.17336831259970967</v>
      </c>
      <c r="AA150" s="12">
        <f>7984024.4</f>
        <v>7984024.4000000004</v>
      </c>
      <c r="AB150" s="8">
        <v>161529</v>
      </c>
      <c r="AC150" s="12">
        <f>46052385.7</f>
        <v>46052385.700000003</v>
      </c>
      <c r="AD150" s="19">
        <f>AC150*1000/L150</f>
        <v>45399.540310337346</v>
      </c>
    </row>
    <row r="151" spans="2:30">
      <c r="B151" s="48" t="s">
        <v>127</v>
      </c>
      <c r="C151" s="107"/>
      <c r="D151" s="13"/>
      <c r="E151" s="13"/>
      <c r="F151" s="14">
        <f>I150/L150/1.95</f>
        <v>0.41195303838494757</v>
      </c>
      <c r="G151" s="14">
        <f>J150/L150/0.35</f>
        <v>0.85287846481876328</v>
      </c>
      <c r="H151" s="14">
        <f>K150/L150/0.075</f>
        <v>8.149477184749962E-2</v>
      </c>
      <c r="I151" s="15"/>
      <c r="J151" s="15"/>
      <c r="K151" s="15"/>
      <c r="L151" s="15"/>
      <c r="M151" s="15"/>
      <c r="N151" s="13"/>
      <c r="O151" s="14">
        <f>O150/L150</f>
        <v>0.27089946568347167</v>
      </c>
      <c r="P151" s="14">
        <f>P150/M150</f>
        <v>0.20120133261540044</v>
      </c>
      <c r="Q151" s="13"/>
      <c r="R151" s="13"/>
      <c r="S151" s="14">
        <f>S150/R150</f>
        <v>0.66940194714881784</v>
      </c>
      <c r="T151" s="16"/>
      <c r="U151" s="16"/>
      <c r="V151" s="13">
        <f>0.19*L150</f>
        <v>192732.2</v>
      </c>
      <c r="W151" s="13"/>
      <c r="X151" s="13"/>
      <c r="Y151" s="13">
        <v>14577</v>
      </c>
      <c r="Z151" s="17"/>
      <c r="AA151" s="18"/>
      <c r="AB151" s="13"/>
      <c r="AC151" s="18"/>
      <c r="AD151" s="18"/>
    </row>
    <row r="152" spans="2:30">
      <c r="B152" s="48" t="s">
        <v>127</v>
      </c>
      <c r="C152" s="116" t="s">
        <v>74</v>
      </c>
      <c r="D152" s="8">
        <v>5935</v>
      </c>
      <c r="E152" s="8">
        <v>25</v>
      </c>
      <c r="F152" s="8">
        <v>2799</v>
      </c>
      <c r="G152" s="8">
        <v>2134</v>
      </c>
      <c r="H152" s="8">
        <v>104</v>
      </c>
      <c r="I152" s="9">
        <f t="shared" si="10"/>
        <v>1511460</v>
      </c>
      <c r="J152" s="9">
        <f>G152*400</f>
        <v>853600</v>
      </c>
      <c r="K152" s="9">
        <f>H152*200</f>
        <v>20800</v>
      </c>
      <c r="L152" s="58">
        <v>2670443</v>
      </c>
      <c r="M152" s="58">
        <v>1413889</v>
      </c>
      <c r="N152" s="8">
        <v>8787</v>
      </c>
      <c r="O152" s="8">
        <v>828069</v>
      </c>
      <c r="P152" s="8">
        <v>317673</v>
      </c>
      <c r="Q152" s="8">
        <v>124914</v>
      </c>
      <c r="R152" s="8">
        <v>16320</v>
      </c>
      <c r="S152" s="8">
        <v>12539</v>
      </c>
      <c r="T152" s="10">
        <f>Y152+Y153</f>
        <v>13930</v>
      </c>
      <c r="U152" s="11">
        <f>V152/V153</f>
        <v>0.28541095399172584</v>
      </c>
      <c r="V152" s="8">
        <v>144813</v>
      </c>
      <c r="W152" s="8">
        <v>224354</v>
      </c>
      <c r="X152" s="8">
        <v>83112</v>
      </c>
      <c r="Y152" s="8">
        <v>790</v>
      </c>
      <c r="Z152" s="11">
        <f>AA152/AC152</f>
        <v>4.6777860087617286E-2</v>
      </c>
      <c r="AA152" s="12">
        <f>602640.5</f>
        <v>602640.5</v>
      </c>
      <c r="AB152" s="8">
        <v>433556</v>
      </c>
      <c r="AC152" s="12">
        <f>12883028.4</f>
        <v>12883028.4</v>
      </c>
      <c r="AD152" s="12">
        <f>AC152*1000/L152</f>
        <v>4824.3038327348686</v>
      </c>
    </row>
    <row r="153" spans="2:30">
      <c r="B153" s="48" t="s">
        <v>127</v>
      </c>
      <c r="C153" s="117"/>
      <c r="D153" s="13"/>
      <c r="E153" s="13"/>
      <c r="F153" s="14">
        <f>I152/L152/1.95</f>
        <v>0.29025434817657308</v>
      </c>
      <c r="G153" s="14">
        <f>J152/L152/0.35</f>
        <v>0.91327811260421699</v>
      </c>
      <c r="H153" s="14">
        <f>K152/L152/0.075</f>
        <v>0.10385293126770852</v>
      </c>
      <c r="I153" s="15"/>
      <c r="J153" s="15"/>
      <c r="K153" s="15"/>
      <c r="L153" s="15"/>
      <c r="M153" s="15"/>
      <c r="N153" s="13"/>
      <c r="O153" s="14">
        <f>O152/L152</f>
        <v>0.31008675339634661</v>
      </c>
      <c r="P153" s="14">
        <f>P152/M152</f>
        <v>0.22468029668524192</v>
      </c>
      <c r="Q153" s="13"/>
      <c r="R153" s="13"/>
      <c r="S153" s="14">
        <f>S152/R152</f>
        <v>0.76832107843137254</v>
      </c>
      <c r="T153" s="16"/>
      <c r="U153" s="16"/>
      <c r="V153" s="13">
        <f>0.19*L152</f>
        <v>507384.17</v>
      </c>
      <c r="W153" s="13"/>
      <c r="X153" s="13"/>
      <c r="Y153" s="13">
        <v>13140</v>
      </c>
      <c r="Z153" s="17"/>
      <c r="AA153" s="18"/>
      <c r="AB153" s="13"/>
      <c r="AC153" s="18"/>
      <c r="AD153" s="18"/>
    </row>
    <row r="154" spans="2:30">
      <c r="B154" s="48" t="s">
        <v>127</v>
      </c>
      <c r="C154" s="106" t="s">
        <v>75</v>
      </c>
      <c r="D154" s="8">
        <v>3772</v>
      </c>
      <c r="E154" s="8">
        <v>25</v>
      </c>
      <c r="F154" s="8">
        <v>1913</v>
      </c>
      <c r="G154" s="8">
        <v>1320</v>
      </c>
      <c r="H154" s="8">
        <v>81</v>
      </c>
      <c r="I154" s="9">
        <f t="shared" si="10"/>
        <v>1033020</v>
      </c>
      <c r="J154" s="9">
        <f>G154*400</f>
        <v>528000</v>
      </c>
      <c r="K154" s="9">
        <f>H154*200</f>
        <v>16200</v>
      </c>
      <c r="L154" s="58">
        <v>2248708</v>
      </c>
      <c r="M154" s="58">
        <v>1201420</v>
      </c>
      <c r="N154" s="8">
        <v>5550</v>
      </c>
      <c r="O154" s="8">
        <v>484591</v>
      </c>
      <c r="P154" s="8">
        <v>155698</v>
      </c>
      <c r="Q154" s="8">
        <v>11429</v>
      </c>
      <c r="R154" s="8">
        <v>51396</v>
      </c>
      <c r="S154" s="8">
        <v>15880</v>
      </c>
      <c r="T154" s="10">
        <f>Y154+Y155</f>
        <v>17001</v>
      </c>
      <c r="U154" s="11">
        <f>V154/V155</f>
        <v>0.21629964265796414</v>
      </c>
      <c r="V154" s="8">
        <v>92415</v>
      </c>
      <c r="W154" s="8">
        <v>118595</v>
      </c>
      <c r="X154" s="8">
        <v>61658</v>
      </c>
      <c r="Y154" s="8">
        <v>136</v>
      </c>
      <c r="Z154" s="11">
        <f>AA154/AC154</f>
        <v>0.49887576117825577</v>
      </c>
      <c r="AA154" s="12">
        <f>2752153.1</f>
        <v>2752153.1</v>
      </c>
      <c r="AB154" s="8">
        <v>232400</v>
      </c>
      <c r="AC154" s="12">
        <f>5516710.4</f>
        <v>5516710.4000000004</v>
      </c>
      <c r="AD154" s="12">
        <f>AC154*1000/L154</f>
        <v>2453.2800167918645</v>
      </c>
    </row>
    <row r="155" spans="2:30">
      <c r="B155" s="48" t="s">
        <v>127</v>
      </c>
      <c r="C155" s="107"/>
      <c r="D155" s="13"/>
      <c r="E155" s="13"/>
      <c r="F155" s="14">
        <f>I154/L154/1.95</f>
        <v>0.23558142993836734</v>
      </c>
      <c r="G155" s="14">
        <f>J154/L154/0.35</f>
        <v>0.67086141400814536</v>
      </c>
      <c r="H155" s="14">
        <f>K154/L154/0.075</f>
        <v>9.6055157005711725E-2</v>
      </c>
      <c r="I155" s="15"/>
      <c r="J155" s="15"/>
      <c r="K155" s="15"/>
      <c r="L155" s="15"/>
      <c r="M155" s="15"/>
      <c r="N155" s="13"/>
      <c r="O155" s="14">
        <f>O154/L154</f>
        <v>0.21549752124330948</v>
      </c>
      <c r="P155" s="14">
        <f>P154/M154</f>
        <v>0.12959497927452515</v>
      </c>
      <c r="Q155" s="13"/>
      <c r="R155" s="13"/>
      <c r="S155" s="14">
        <f>S154/R154</f>
        <v>0.30897346096972528</v>
      </c>
      <c r="T155" s="16"/>
      <c r="U155" s="16"/>
      <c r="V155" s="13">
        <f>0.19*L154</f>
        <v>427254.52</v>
      </c>
      <c r="W155" s="13"/>
      <c r="X155" s="13"/>
      <c r="Y155" s="13">
        <v>16865</v>
      </c>
      <c r="Z155" s="17"/>
      <c r="AA155" s="18"/>
      <c r="AB155" s="13"/>
      <c r="AC155" s="18"/>
      <c r="AD155" s="18"/>
    </row>
    <row r="156" spans="2:30">
      <c r="B156" s="48" t="s">
        <v>127</v>
      </c>
      <c r="C156" s="106" t="s">
        <v>76</v>
      </c>
      <c r="D156" s="8">
        <v>8031</v>
      </c>
      <c r="E156" s="8">
        <v>28</v>
      </c>
      <c r="F156" s="8">
        <v>4457</v>
      </c>
      <c r="G156" s="8">
        <v>1087</v>
      </c>
      <c r="H156" s="8">
        <v>132</v>
      </c>
      <c r="I156" s="9">
        <f t="shared" si="10"/>
        <v>2406780</v>
      </c>
      <c r="J156" s="9">
        <f>G156*400</f>
        <v>434800</v>
      </c>
      <c r="K156" s="9">
        <f>H156*200</f>
        <v>26400</v>
      </c>
      <c r="L156" s="58">
        <v>2536851</v>
      </c>
      <c r="M156" s="58">
        <v>1361708</v>
      </c>
      <c r="N156" s="8">
        <v>6912</v>
      </c>
      <c r="O156" s="8">
        <v>986220</v>
      </c>
      <c r="P156" s="8">
        <v>424748</v>
      </c>
      <c r="Q156" s="8">
        <v>50868</v>
      </c>
      <c r="R156" s="8">
        <v>18972</v>
      </c>
      <c r="S156" s="8">
        <v>9308</v>
      </c>
      <c r="T156" s="10">
        <f>Y156+Y157</f>
        <v>17561</v>
      </c>
      <c r="U156" s="11">
        <f>V156/V157</f>
        <v>0.37512731542497291</v>
      </c>
      <c r="V156" s="8">
        <v>180812</v>
      </c>
      <c r="W156" s="8">
        <v>203250</v>
      </c>
      <c r="X156" s="8">
        <v>100768</v>
      </c>
      <c r="Y156" s="8">
        <v>102</v>
      </c>
      <c r="Z156" s="11">
        <f>AA156/AC156</f>
        <v>9.7598717419515424E-2</v>
      </c>
      <c r="AA156" s="12">
        <f>465510.2</f>
        <v>465510.2</v>
      </c>
      <c r="AB156" s="8">
        <v>548552</v>
      </c>
      <c r="AC156" s="12">
        <f>4769634.4</f>
        <v>4769634.4000000004</v>
      </c>
      <c r="AD156" s="12">
        <f>AC156*1000/L156</f>
        <v>1880.1397480577298</v>
      </c>
    </row>
    <row r="157" spans="2:30">
      <c r="B157" s="48" t="s">
        <v>127</v>
      </c>
      <c r="C157" s="107"/>
      <c r="D157" s="13"/>
      <c r="E157" s="13"/>
      <c r="F157" s="14">
        <f>I156/L156/1.95</f>
        <v>0.4865268609966269</v>
      </c>
      <c r="G157" s="14">
        <f>J156/L156/0.35</f>
        <v>0.48969597122011277</v>
      </c>
      <c r="H157" s="14">
        <f>K156/L156/0.075</f>
        <v>0.13875470021692249</v>
      </c>
      <c r="I157" s="15"/>
      <c r="J157" s="15"/>
      <c r="K157" s="15"/>
      <c r="L157" s="15"/>
      <c r="M157" s="15"/>
      <c r="N157" s="13"/>
      <c r="O157" s="14">
        <f>O156/L156</f>
        <v>0.38875755809071955</v>
      </c>
      <c r="P157" s="14">
        <f>P156/M156</f>
        <v>0.31192296733220337</v>
      </c>
      <c r="Q157" s="13"/>
      <c r="R157" s="13"/>
      <c r="S157" s="14">
        <f>S156/R156</f>
        <v>0.49061775247733502</v>
      </c>
      <c r="T157" s="16"/>
      <c r="U157" s="16"/>
      <c r="V157" s="13">
        <f>0.19*L156</f>
        <v>482001.69</v>
      </c>
      <c r="W157" s="13"/>
      <c r="X157" s="13"/>
      <c r="Y157" s="13">
        <v>17459</v>
      </c>
      <c r="Z157" s="17"/>
      <c r="AA157" s="18"/>
      <c r="AB157" s="13"/>
      <c r="AC157" s="18"/>
      <c r="AD157" s="18"/>
    </row>
    <row r="158" spans="2:30">
      <c r="B158" s="48" t="s">
        <v>127</v>
      </c>
      <c r="C158" s="106" t="s">
        <v>77</v>
      </c>
      <c r="D158" s="8">
        <v>4524</v>
      </c>
      <c r="E158" s="8">
        <v>25</v>
      </c>
      <c r="F158" s="8">
        <v>2262</v>
      </c>
      <c r="G158" s="8">
        <v>1300</v>
      </c>
      <c r="H158" s="8">
        <v>84</v>
      </c>
      <c r="I158" s="9">
        <f t="shared" si="10"/>
        <v>1221480</v>
      </c>
      <c r="J158" s="9">
        <f>G158*400</f>
        <v>520000</v>
      </c>
      <c r="K158" s="9">
        <f>H158*200</f>
        <v>16800</v>
      </c>
      <c r="L158" s="58">
        <v>2550348</v>
      </c>
      <c r="M158" s="58">
        <v>1349355</v>
      </c>
      <c r="N158" s="8">
        <v>6076</v>
      </c>
      <c r="O158" s="8">
        <v>726629</v>
      </c>
      <c r="P158" s="8">
        <v>286971</v>
      </c>
      <c r="Q158" s="8">
        <v>26558</v>
      </c>
      <c r="R158" s="8">
        <v>18579</v>
      </c>
      <c r="S158" s="8">
        <v>12069</v>
      </c>
      <c r="T158" s="10">
        <f>Y158+Y159</f>
        <v>20348</v>
      </c>
      <c r="U158" s="11">
        <f>V158/V159</f>
        <v>0.25745506103480781</v>
      </c>
      <c r="V158" s="8">
        <v>124754</v>
      </c>
      <c r="W158" s="8">
        <v>288361</v>
      </c>
      <c r="X158" s="8">
        <v>89683</v>
      </c>
      <c r="Y158" s="8">
        <v>175</v>
      </c>
      <c r="Z158" s="11">
        <f>AA158/AC158</f>
        <v>1.4509268761471981E-2</v>
      </c>
      <c r="AA158" s="12">
        <f>174410</f>
        <v>174410</v>
      </c>
      <c r="AB158" s="8">
        <v>271537</v>
      </c>
      <c r="AC158" s="12">
        <f>12020592</f>
        <v>12020592</v>
      </c>
      <c r="AD158" s="12">
        <f>AC158*1000/L158</f>
        <v>4713.3144182676242</v>
      </c>
    </row>
    <row r="159" spans="2:30">
      <c r="B159" s="48" t="s">
        <v>127</v>
      </c>
      <c r="C159" s="107"/>
      <c r="D159" s="13"/>
      <c r="E159" s="13"/>
      <c r="F159" s="14">
        <f>I158/L158/1.95</f>
        <v>0.24561353979927444</v>
      </c>
      <c r="G159" s="14">
        <f>J158/L158/0.35</f>
        <v>0.58255355179539647</v>
      </c>
      <c r="H159" s="14">
        <f>K158/L158/0.075</f>
        <v>8.7831150886075168E-2</v>
      </c>
      <c r="I159" s="15"/>
      <c r="J159" s="15"/>
      <c r="K159" s="15"/>
      <c r="L159" s="15"/>
      <c r="M159" s="15"/>
      <c r="N159" s="13"/>
      <c r="O159" s="14">
        <f>O158/L158</f>
        <v>0.28491366668391921</v>
      </c>
      <c r="P159" s="14">
        <f>P158/M158</f>
        <v>0.21267272141134097</v>
      </c>
      <c r="Q159" s="13"/>
      <c r="R159" s="13"/>
      <c r="S159" s="14">
        <f>S158/R158</f>
        <v>0.64960439205554654</v>
      </c>
      <c r="T159" s="16"/>
      <c r="U159" s="16"/>
      <c r="V159" s="13">
        <f>0.19*L158</f>
        <v>484566.12</v>
      </c>
      <c r="W159" s="13"/>
      <c r="X159" s="13"/>
      <c r="Y159" s="13">
        <v>20173</v>
      </c>
      <c r="Z159" s="17"/>
      <c r="AA159" s="18"/>
      <c r="AB159" s="13"/>
      <c r="AC159" s="18"/>
      <c r="AD159" s="18"/>
    </row>
    <row r="160" spans="2:30">
      <c r="B160" s="48" t="s">
        <v>127</v>
      </c>
      <c r="C160" s="106" t="s">
        <v>78</v>
      </c>
      <c r="D160" s="8">
        <v>5085</v>
      </c>
      <c r="E160" s="8">
        <v>40</v>
      </c>
      <c r="F160" s="8">
        <v>2694</v>
      </c>
      <c r="G160" s="8">
        <v>1216</v>
      </c>
      <c r="H160" s="8">
        <v>71</v>
      </c>
      <c r="I160" s="9">
        <f t="shared" si="10"/>
        <v>1454760</v>
      </c>
      <c r="J160" s="9">
        <f>G160*400</f>
        <v>486400</v>
      </c>
      <c r="K160" s="9">
        <f>H160*200</f>
        <v>14200</v>
      </c>
      <c r="L160" s="58">
        <v>1834447</v>
      </c>
      <c r="M160" s="58">
        <v>977668</v>
      </c>
      <c r="N160" s="8">
        <v>4800</v>
      </c>
      <c r="O160" s="8">
        <v>612673</v>
      </c>
      <c r="P160" s="8">
        <v>244263</v>
      </c>
      <c r="Q160" s="8">
        <v>48287</v>
      </c>
      <c r="R160" s="8">
        <v>4505</v>
      </c>
      <c r="S160" s="8">
        <v>2823</v>
      </c>
      <c r="T160" s="10">
        <f>Y160+Y161</f>
        <v>18839</v>
      </c>
      <c r="U160" s="11">
        <f>V160/V161</f>
        <v>0.38941320994111145</v>
      </c>
      <c r="V160" s="8">
        <v>135728</v>
      </c>
      <c r="W160" s="8">
        <v>220633</v>
      </c>
      <c r="X160" s="8">
        <v>82738</v>
      </c>
      <c r="Y160" s="8">
        <v>163</v>
      </c>
      <c r="Z160" s="11">
        <f>AA160/AC160</f>
        <v>8.8335058075049711E-2</v>
      </c>
      <c r="AA160" s="12">
        <f>168348.3</f>
        <v>168348.3</v>
      </c>
      <c r="AB160" s="8">
        <v>278175</v>
      </c>
      <c r="AC160" s="12">
        <f>1905792.6</f>
        <v>1905792.6</v>
      </c>
      <c r="AD160" s="12">
        <f>AC160*1000/L160</f>
        <v>1038.8921566008721</v>
      </c>
    </row>
    <row r="161" spans="1:30">
      <c r="B161" s="48" t="s">
        <v>127</v>
      </c>
      <c r="C161" s="107"/>
      <c r="D161" s="13"/>
      <c r="E161" s="13"/>
      <c r="F161" s="14">
        <f>I160/L160/1.95</f>
        <v>0.40667883521888026</v>
      </c>
      <c r="G161" s="14">
        <f>J160/L160/0.35</f>
        <v>0.75756578724503121</v>
      </c>
      <c r="H161" s="14">
        <f>K160/L160/0.075</f>
        <v>0.1032100318697315</v>
      </c>
      <c r="I161" s="15"/>
      <c r="J161" s="15"/>
      <c r="K161" s="15"/>
      <c r="L161" s="15"/>
      <c r="M161" s="15"/>
      <c r="N161" s="13"/>
      <c r="O161" s="14">
        <f>O160/L160</f>
        <v>0.33398239360417609</v>
      </c>
      <c r="P161" s="14">
        <f>P160/M160</f>
        <v>0.24984248231505993</v>
      </c>
      <c r="Q161" s="13"/>
      <c r="R161" s="13"/>
      <c r="S161" s="14">
        <f>S160/R160</f>
        <v>0.6266370699223085</v>
      </c>
      <c r="T161" s="16"/>
      <c r="U161" s="16"/>
      <c r="V161" s="13">
        <f>0.19*L160</f>
        <v>348544.93</v>
      </c>
      <c r="W161" s="13"/>
      <c r="X161" s="13"/>
      <c r="Y161" s="13">
        <v>18676</v>
      </c>
      <c r="Z161" s="17"/>
      <c r="AA161" s="18"/>
      <c r="AB161" s="13"/>
      <c r="AC161" s="18"/>
      <c r="AD161" s="18"/>
    </row>
    <row r="162" spans="1:30">
      <c r="B162" s="48" t="s">
        <v>127</v>
      </c>
      <c r="C162" s="106" t="s">
        <v>79</v>
      </c>
      <c r="D162" s="8">
        <v>1661</v>
      </c>
      <c r="E162" s="8">
        <v>17</v>
      </c>
      <c r="F162" s="8">
        <v>730</v>
      </c>
      <c r="G162" s="8">
        <v>469</v>
      </c>
      <c r="H162" s="8">
        <v>28</v>
      </c>
      <c r="I162" s="9">
        <f t="shared" si="10"/>
        <v>394200</v>
      </c>
      <c r="J162" s="9">
        <f>G162*400</f>
        <v>187600</v>
      </c>
      <c r="K162" s="9">
        <f>H162*200</f>
        <v>5600</v>
      </c>
      <c r="L162" s="58">
        <v>1004466</v>
      </c>
      <c r="M162" s="58">
        <v>528577</v>
      </c>
      <c r="N162" s="8">
        <v>2525</v>
      </c>
      <c r="O162" s="8">
        <v>204324</v>
      </c>
      <c r="P162" s="8">
        <v>69217</v>
      </c>
      <c r="Q162" s="8">
        <v>5321</v>
      </c>
      <c r="R162" s="8">
        <v>11795</v>
      </c>
      <c r="S162" s="8">
        <v>5050</v>
      </c>
      <c r="T162" s="10">
        <f>Y162+Y163</f>
        <v>6390</v>
      </c>
      <c r="U162" s="11">
        <f>V162/V163</f>
        <v>0.26191974012481312</v>
      </c>
      <c r="V162" s="8">
        <v>49987</v>
      </c>
      <c r="W162" s="8">
        <v>52859</v>
      </c>
      <c r="X162" s="8">
        <v>31153</v>
      </c>
      <c r="Y162" s="8">
        <v>59</v>
      </c>
      <c r="Z162" s="11">
        <f>AA162/AC162</f>
        <v>8.509540324299833E-2</v>
      </c>
      <c r="AA162" s="12">
        <f>170686.3</f>
        <v>170686.3</v>
      </c>
      <c r="AB162" s="8">
        <v>112119</v>
      </c>
      <c r="AC162" s="12">
        <f>2005822.8</f>
        <v>2005822.8</v>
      </c>
      <c r="AD162" s="12">
        <f>AC162*1000/L162</f>
        <v>1996.9046239494419</v>
      </c>
    </row>
    <row r="163" spans="1:30">
      <c r="B163" s="48" t="s">
        <v>127</v>
      </c>
      <c r="C163" s="107"/>
      <c r="D163" s="13"/>
      <c r="E163" s="13"/>
      <c r="F163" s="14">
        <f>I162/L162/1.95</f>
        <v>0.20125504114011442</v>
      </c>
      <c r="G163" s="14">
        <f>J162/L162/0.35</f>
        <v>0.53361686707165801</v>
      </c>
      <c r="H163" s="14">
        <f>K162/L162/0.075</f>
        <v>7.4334687950280712E-2</v>
      </c>
      <c r="I163" s="15"/>
      <c r="J163" s="15"/>
      <c r="K163" s="15"/>
      <c r="L163" s="15"/>
      <c r="M163" s="15"/>
      <c r="N163" s="13"/>
      <c r="O163" s="14">
        <f>O162/L162</f>
        <v>0.20341554617080121</v>
      </c>
      <c r="P163" s="14">
        <f>P162/M162</f>
        <v>0.13094970080045101</v>
      </c>
      <c r="Q163" s="13"/>
      <c r="R163" s="13"/>
      <c r="S163" s="14">
        <f>S162/R162</f>
        <v>0.42814752013565072</v>
      </c>
      <c r="T163" s="16"/>
      <c r="U163" s="16"/>
      <c r="V163" s="13">
        <f>0.19*L162</f>
        <v>190848.54</v>
      </c>
      <c r="W163" s="13"/>
      <c r="X163" s="13"/>
      <c r="Y163" s="13">
        <v>6331</v>
      </c>
      <c r="Z163" s="17"/>
      <c r="AA163" s="18"/>
      <c r="AB163" s="13"/>
      <c r="AC163" s="18"/>
      <c r="AD163" s="18"/>
    </row>
    <row r="164" spans="1:30" s="21" customFormat="1">
      <c r="A164" s="50" t="s">
        <v>129</v>
      </c>
      <c r="B164" s="51" t="s">
        <v>127</v>
      </c>
      <c r="C164" s="110" t="s">
        <v>80</v>
      </c>
      <c r="D164" s="25">
        <f t="shared" ref="D164:T164" si="11">SUM(D162,D160,D158,D156,D154,D152,D150,D148,D146,D144,D142,D140)</f>
        <v>40738</v>
      </c>
      <c r="E164" s="25">
        <f t="shared" si="11"/>
        <v>308</v>
      </c>
      <c r="F164" s="25">
        <f t="shared" si="11"/>
        <v>21487</v>
      </c>
      <c r="G164" s="25">
        <f t="shared" si="11"/>
        <v>10968</v>
      </c>
      <c r="H164" s="25">
        <f t="shared" si="11"/>
        <v>642</v>
      </c>
      <c r="I164" s="20">
        <f t="shared" si="11"/>
        <v>11602980</v>
      </c>
      <c r="J164" s="20">
        <f t="shared" si="11"/>
        <v>4387200</v>
      </c>
      <c r="K164" s="20">
        <f t="shared" si="11"/>
        <v>128400</v>
      </c>
      <c r="L164" s="20">
        <f t="shared" si="11"/>
        <v>17963656</v>
      </c>
      <c r="M164" s="20">
        <f t="shared" si="11"/>
        <v>9528754</v>
      </c>
      <c r="N164" s="25">
        <f t="shared" si="11"/>
        <v>48232</v>
      </c>
      <c r="O164" s="25">
        <f t="shared" si="11"/>
        <v>5425201</v>
      </c>
      <c r="P164" s="25">
        <f t="shared" si="11"/>
        <v>2101179</v>
      </c>
      <c r="Q164" s="25">
        <f t="shared" si="11"/>
        <v>366597</v>
      </c>
      <c r="R164" s="25">
        <f t="shared" si="11"/>
        <v>156187</v>
      </c>
      <c r="S164" s="25">
        <f t="shared" si="11"/>
        <v>76566</v>
      </c>
      <c r="T164" s="25">
        <f t="shared" si="11"/>
        <v>172382</v>
      </c>
      <c r="U164" s="22">
        <f>V164/V165</f>
        <v>0.30859413848541856</v>
      </c>
      <c r="V164" s="25">
        <f>SUM(V162,V160,V158,V156,V154,V152,V150,V148,V146,V144,V142,V140)</f>
        <v>1053261</v>
      </c>
      <c r="W164" s="25">
        <f>SUM(W162,W160,W158,W156,W154,W152,W150,W148,W146,W144,W142,W140)</f>
        <v>1450933</v>
      </c>
      <c r="X164" s="25">
        <f>SUM(X162,X160,X158,X156,X154,X152,X150,X148,X146,X144,X142,X140)</f>
        <v>621897</v>
      </c>
      <c r="Y164" s="25">
        <f>SUM(Y162,Y160,Y158,Y156,Y154,Y152,Y150,Y148,Y146,Y144,Y142,Y140)</f>
        <v>1621</v>
      </c>
      <c r="Z164" s="22">
        <f>AA164/AC164</f>
        <v>0.1331936255899086</v>
      </c>
      <c r="AA164" s="23">
        <f>SUM(AA140:AA162)</f>
        <v>13930581.9</v>
      </c>
      <c r="AB164" s="25">
        <f>SUM(AB162,AB160,AB158,AB156,AB154,AB152,AB150,AB148,AB146,AB144,AB142,AB140)</f>
        <v>3088101</v>
      </c>
      <c r="AC164" s="23">
        <f>SUM(AC140:AC162)</f>
        <v>104588953.40000001</v>
      </c>
      <c r="AD164" s="23">
        <f>AC164*1000/L164</f>
        <v>5822.2531872131149</v>
      </c>
    </row>
    <row r="165" spans="1:30" s="21" customFormat="1">
      <c r="A165" s="50" t="s">
        <v>129</v>
      </c>
      <c r="B165" s="51" t="s">
        <v>127</v>
      </c>
      <c r="C165" s="111"/>
      <c r="D165" s="27"/>
      <c r="E165" s="27"/>
      <c r="F165" s="24">
        <f>I164/L164/1.95</f>
        <v>0.33123803717050437</v>
      </c>
      <c r="G165" s="24">
        <f>J164/L164/0.35</f>
        <v>0.6977898676559573</v>
      </c>
      <c r="H165" s="24">
        <f>K164/L164/0.075</f>
        <v>9.5303539546738161E-2</v>
      </c>
      <c r="I165" s="20"/>
      <c r="J165" s="20"/>
      <c r="K165" s="20"/>
      <c r="L165" s="20"/>
      <c r="M165" s="20"/>
      <c r="N165" s="27"/>
      <c r="O165" s="24">
        <f>O164/L164</f>
        <v>0.30200984699328465</v>
      </c>
      <c r="P165" s="24">
        <f>P164/M164</f>
        <v>0.2205093131798764</v>
      </c>
      <c r="Q165" s="27"/>
      <c r="R165" s="27"/>
      <c r="S165" s="24">
        <f>S164/R164</f>
        <v>0.4902200567268723</v>
      </c>
      <c r="T165" s="29"/>
      <c r="U165" s="29"/>
      <c r="V165" s="27">
        <f>SUM(V163,V161,V159,V157,V155,V153,V151,V149,V147,V145,V143,V141)</f>
        <v>3413094.6400000006</v>
      </c>
      <c r="W165" s="27"/>
      <c r="X165" s="27"/>
      <c r="Y165" s="27">
        <f>SUM(Y163,Y161,Y159,Y157,Y155,Y153,Y151,Y149,Y147,Y145,Y143,Y141)</f>
        <v>170761</v>
      </c>
      <c r="Z165" s="30"/>
      <c r="AA165" s="31"/>
      <c r="AB165" s="27"/>
      <c r="AC165" s="31"/>
      <c r="AD165" s="31"/>
    </row>
    <row r="166" spans="1:30">
      <c r="B166" s="48" t="s">
        <v>128</v>
      </c>
      <c r="C166" s="106" t="s">
        <v>81</v>
      </c>
      <c r="D166" s="8">
        <v>1741</v>
      </c>
      <c r="E166" s="8">
        <v>21</v>
      </c>
      <c r="F166" s="8">
        <v>548</v>
      </c>
      <c r="G166" s="8">
        <v>834</v>
      </c>
      <c r="H166" s="8">
        <v>51</v>
      </c>
      <c r="I166" s="9">
        <f t="shared" ref="I166:I182" si="12">F166*540</f>
        <v>295920</v>
      </c>
      <c r="J166" s="9">
        <f>G166*400</f>
        <v>333600</v>
      </c>
      <c r="K166" s="9">
        <f>H166*200</f>
        <v>10200</v>
      </c>
      <c r="L166" s="58">
        <v>896284</v>
      </c>
      <c r="M166" s="58">
        <v>460271</v>
      </c>
      <c r="N166" s="8">
        <v>3948</v>
      </c>
      <c r="O166" s="8">
        <v>286000</v>
      </c>
      <c r="P166" s="8">
        <v>107673</v>
      </c>
      <c r="Q166" s="8">
        <v>23626</v>
      </c>
      <c r="R166" s="8">
        <v>5729</v>
      </c>
      <c r="S166" s="8">
        <v>2876</v>
      </c>
      <c r="T166" s="10">
        <f>Y166+Y167</f>
        <v>13150</v>
      </c>
      <c r="U166" s="11">
        <f>V166/V167</f>
        <v>0.2684064660895783</v>
      </c>
      <c r="V166" s="8">
        <v>45708</v>
      </c>
      <c r="W166" s="8">
        <v>98396</v>
      </c>
      <c r="X166" s="8">
        <v>33867</v>
      </c>
      <c r="Y166" s="8">
        <v>48</v>
      </c>
      <c r="Z166" s="11">
        <f>AA166/AC166</f>
        <v>7.9400508376630263E-2</v>
      </c>
      <c r="AA166" s="12">
        <f>389320.9</f>
        <v>389320.9</v>
      </c>
      <c r="AB166" s="8">
        <v>206310</v>
      </c>
      <c r="AC166" s="12">
        <f>4903254.5</f>
        <v>4903254.5</v>
      </c>
      <c r="AD166" s="19">
        <f>AC166*1000/L166</f>
        <v>5470.6482543479524</v>
      </c>
    </row>
    <row r="167" spans="1:30">
      <c r="B167" s="48" t="s">
        <v>128</v>
      </c>
      <c r="C167" s="107"/>
      <c r="D167" s="13"/>
      <c r="E167" s="13"/>
      <c r="F167" s="14">
        <f>I166/L166/1.95</f>
        <v>0.16931446522959928</v>
      </c>
      <c r="G167" s="14">
        <f>J166/L166/0.35</f>
        <v>1.0634384381991169</v>
      </c>
      <c r="H167" s="14">
        <f>K166/L166/0.075</f>
        <v>0.15173761887973009</v>
      </c>
      <c r="I167" s="15"/>
      <c r="J167" s="15"/>
      <c r="K167" s="15"/>
      <c r="L167" s="15"/>
      <c r="M167" s="15"/>
      <c r="N167" s="13"/>
      <c r="O167" s="14">
        <f>O166/L166</f>
        <v>0.31909528676178534</v>
      </c>
      <c r="P167" s="14">
        <f>P166/M166</f>
        <v>0.23393392153752898</v>
      </c>
      <c r="Q167" s="13"/>
      <c r="R167" s="13"/>
      <c r="S167" s="14">
        <f>S166/R166</f>
        <v>0.50200733112235996</v>
      </c>
      <c r="T167" s="16"/>
      <c r="U167" s="16"/>
      <c r="V167" s="13">
        <f>0.19*L166</f>
        <v>170293.96</v>
      </c>
      <c r="W167" s="13"/>
      <c r="X167" s="13"/>
      <c r="Y167" s="13">
        <v>13102</v>
      </c>
      <c r="Z167" s="17"/>
      <c r="AA167" s="18"/>
      <c r="AB167" s="13"/>
      <c r="AC167" s="18"/>
      <c r="AD167" s="18"/>
    </row>
    <row r="168" spans="1:30">
      <c r="B168" s="48" t="s">
        <v>128</v>
      </c>
      <c r="C168" s="106" t="s">
        <v>82</v>
      </c>
      <c r="D168" s="8">
        <v>694</v>
      </c>
      <c r="E168" s="8">
        <v>1</v>
      </c>
      <c r="F168" s="8">
        <v>283</v>
      </c>
      <c r="G168" s="8">
        <v>193</v>
      </c>
      <c r="H168" s="8">
        <v>7</v>
      </c>
      <c r="I168" s="9">
        <f t="shared" si="12"/>
        <v>152820</v>
      </c>
      <c r="J168" s="9">
        <f>G168*400</f>
        <v>77200</v>
      </c>
      <c r="K168" s="9">
        <f>H168*200</f>
        <v>1400</v>
      </c>
      <c r="L168" s="58">
        <v>301719</v>
      </c>
      <c r="M168" s="58">
        <v>150225</v>
      </c>
      <c r="N168" s="8">
        <v>923</v>
      </c>
      <c r="O168" s="8">
        <v>75369</v>
      </c>
      <c r="P168" s="8">
        <v>25082</v>
      </c>
      <c r="Q168" s="8">
        <v>6189</v>
      </c>
      <c r="R168" s="8">
        <v>1486</v>
      </c>
      <c r="S168" s="8">
        <v>691</v>
      </c>
      <c r="T168" s="10">
        <f>Y168+Y169</f>
        <v>2271</v>
      </c>
      <c r="U168" s="11">
        <f>V168/V169</f>
        <v>0.45955970534451629</v>
      </c>
      <c r="V168" s="8">
        <v>26345</v>
      </c>
      <c r="W168" s="8">
        <v>11874</v>
      </c>
      <c r="X168" s="8">
        <v>20021</v>
      </c>
      <c r="Y168" s="8">
        <v>26</v>
      </c>
      <c r="Z168" s="11">
        <f>AA168/AC168</f>
        <v>7.8600904955199558E-2</v>
      </c>
      <c r="AA168" s="12">
        <f>136002.8</f>
        <v>136002.79999999999</v>
      </c>
      <c r="AB168" s="8">
        <v>68078</v>
      </c>
      <c r="AC168" s="12">
        <f>1730295.6</f>
        <v>1730295.6</v>
      </c>
      <c r="AD168" s="19">
        <f>AC168*1000/L168</f>
        <v>5734.7916438805642</v>
      </c>
    </row>
    <row r="169" spans="1:30">
      <c r="B169" s="48" t="s">
        <v>128</v>
      </c>
      <c r="C169" s="107"/>
      <c r="D169" s="13"/>
      <c r="E169" s="13"/>
      <c r="F169" s="14">
        <f>I168/L168/1.95</f>
        <v>0.25974244502080007</v>
      </c>
      <c r="G169" s="14">
        <f>J168/L168/0.35</f>
        <v>0.73104918341711511</v>
      </c>
      <c r="H169" s="14">
        <f>K168/L168/0.075</f>
        <v>6.1867720185558965E-2</v>
      </c>
      <c r="I169" s="15"/>
      <c r="J169" s="15"/>
      <c r="K169" s="15"/>
      <c r="L169" s="15"/>
      <c r="M169" s="15"/>
      <c r="N169" s="13"/>
      <c r="O169" s="14">
        <f>O168/L168</f>
        <v>0.24979865371421753</v>
      </c>
      <c r="P169" s="14">
        <f>P168/M168</f>
        <v>0.16696288899983358</v>
      </c>
      <c r="Q169" s="13"/>
      <c r="R169" s="13"/>
      <c r="S169" s="14">
        <f>S168/R168</f>
        <v>0.46500672947510097</v>
      </c>
      <c r="T169" s="16"/>
      <c r="U169" s="16"/>
      <c r="V169" s="13">
        <f>0.19*L168</f>
        <v>57326.61</v>
      </c>
      <c r="W169" s="13"/>
      <c r="X169" s="13"/>
      <c r="Y169" s="13">
        <v>2245</v>
      </c>
      <c r="Z169" s="17"/>
      <c r="AA169" s="18"/>
      <c r="AB169" s="13"/>
      <c r="AC169" s="18"/>
      <c r="AD169" s="18"/>
    </row>
    <row r="170" spans="1:30">
      <c r="B170" s="48" t="s">
        <v>128</v>
      </c>
      <c r="C170" s="106" t="s">
        <v>83</v>
      </c>
      <c r="D170" s="8">
        <v>3424</v>
      </c>
      <c r="E170" s="8">
        <v>29</v>
      </c>
      <c r="F170" s="8">
        <v>1953</v>
      </c>
      <c r="G170" s="8">
        <v>1088</v>
      </c>
      <c r="H170" s="8">
        <v>51</v>
      </c>
      <c r="I170" s="9">
        <f t="shared" si="12"/>
        <v>1054620</v>
      </c>
      <c r="J170" s="9">
        <f>G170*400</f>
        <v>435200</v>
      </c>
      <c r="K170" s="9">
        <f>H170*200</f>
        <v>10200</v>
      </c>
      <c r="L170" s="58">
        <v>1820500</v>
      </c>
      <c r="M170" s="58">
        <v>940748</v>
      </c>
      <c r="N170" s="8">
        <v>3470</v>
      </c>
      <c r="O170" s="8">
        <v>566154</v>
      </c>
      <c r="P170" s="8">
        <v>182802</v>
      </c>
      <c r="Q170" s="8">
        <v>31398</v>
      </c>
      <c r="R170" s="8">
        <v>7577</v>
      </c>
      <c r="S170" s="8">
        <v>2418</v>
      </c>
      <c r="T170" s="10">
        <f>Y170+Y171</f>
        <v>12894</v>
      </c>
      <c r="U170" s="11">
        <f>V170/V171</f>
        <v>0.28328828112577514</v>
      </c>
      <c r="V170" s="8">
        <v>97988</v>
      </c>
      <c r="W170" s="8">
        <v>179967</v>
      </c>
      <c r="X170" s="8">
        <v>42177</v>
      </c>
      <c r="Y170" s="8">
        <v>135</v>
      </c>
      <c r="Z170" s="11">
        <f>AA170/AC170</f>
        <v>9.510055045707172E-2</v>
      </c>
      <c r="AA170" s="12">
        <f>282357.5</f>
        <v>282357.5</v>
      </c>
      <c r="AB170" s="8">
        <v>284738</v>
      </c>
      <c r="AC170" s="12">
        <f>2969041.7</f>
        <v>2969041.7</v>
      </c>
      <c r="AD170" s="12">
        <f>AC170*1000/L170</f>
        <v>1630.8935457291952</v>
      </c>
    </row>
    <row r="171" spans="1:30">
      <c r="B171" s="48" t="s">
        <v>128</v>
      </c>
      <c r="C171" s="107"/>
      <c r="D171" s="13"/>
      <c r="E171" s="13"/>
      <c r="F171" s="14">
        <f>I170/L170/1.95</f>
        <v>0.29707814843766506</v>
      </c>
      <c r="G171" s="14">
        <f>J170/L170/0.35</f>
        <v>0.68301487032604857</v>
      </c>
      <c r="H171" s="14">
        <f>K170/L170/0.075</f>
        <v>7.4704751441911563E-2</v>
      </c>
      <c r="I171" s="15"/>
      <c r="J171" s="15"/>
      <c r="K171" s="15"/>
      <c r="L171" s="15"/>
      <c r="M171" s="15"/>
      <c r="N171" s="13"/>
      <c r="O171" s="14">
        <f>O170/L170</f>
        <v>0.31098819005767647</v>
      </c>
      <c r="P171" s="14">
        <f>P170/M170</f>
        <v>0.19431558717105962</v>
      </c>
      <c r="Q171" s="13"/>
      <c r="R171" s="13"/>
      <c r="S171" s="14">
        <f>S170/R170</f>
        <v>0.31912366371915007</v>
      </c>
      <c r="T171" s="16"/>
      <c r="U171" s="16"/>
      <c r="V171" s="13">
        <f>0.19*L170</f>
        <v>345895</v>
      </c>
      <c r="W171" s="13"/>
      <c r="X171" s="13"/>
      <c r="Y171" s="13">
        <v>12759</v>
      </c>
      <c r="Z171" s="17"/>
      <c r="AA171" s="18"/>
      <c r="AB171" s="13"/>
      <c r="AC171" s="18"/>
      <c r="AD171" s="18"/>
    </row>
    <row r="172" spans="1:30">
      <c r="B172" s="48" t="s">
        <v>128</v>
      </c>
      <c r="C172" s="106" t="s">
        <v>84</v>
      </c>
      <c r="D172" s="8">
        <v>2886</v>
      </c>
      <c r="E172" s="8">
        <v>13</v>
      </c>
      <c r="F172" s="8">
        <v>1589</v>
      </c>
      <c r="G172" s="8">
        <v>547</v>
      </c>
      <c r="H172" s="8">
        <v>63</v>
      </c>
      <c r="I172" s="9">
        <f t="shared" si="12"/>
        <v>858060</v>
      </c>
      <c r="J172" s="9">
        <f>G172*400</f>
        <v>218800</v>
      </c>
      <c r="K172" s="9">
        <f>H172*200</f>
        <v>12600</v>
      </c>
      <c r="L172" s="58">
        <v>1256642</v>
      </c>
      <c r="M172" s="58">
        <v>652426</v>
      </c>
      <c r="N172" s="8">
        <v>3326</v>
      </c>
      <c r="O172" s="8">
        <v>406764</v>
      </c>
      <c r="P172" s="8">
        <v>154834</v>
      </c>
      <c r="Q172" s="8">
        <v>21836</v>
      </c>
      <c r="R172" s="8">
        <v>11132</v>
      </c>
      <c r="S172" s="8">
        <v>8366</v>
      </c>
      <c r="T172" s="10">
        <f>Y172+Y173</f>
        <v>30238</v>
      </c>
      <c r="U172" s="11">
        <f>V172/V173</f>
        <v>0.42021765776946562</v>
      </c>
      <c r="V172" s="8">
        <v>100332</v>
      </c>
      <c r="W172" s="8">
        <v>122787</v>
      </c>
      <c r="X172" s="8">
        <v>52618</v>
      </c>
      <c r="Y172" s="8">
        <v>52</v>
      </c>
      <c r="Z172" s="11">
        <f>AA172/AC172</f>
        <v>0.3109824304305257</v>
      </c>
      <c r="AA172" s="12">
        <f>1965216.4</f>
        <v>1965216.4</v>
      </c>
      <c r="AB172" s="8">
        <v>169171</v>
      </c>
      <c r="AC172" s="12">
        <f>6319380.8</f>
        <v>6319380.7999999998</v>
      </c>
      <c r="AD172" s="19">
        <f>AC172*1000/L172</f>
        <v>5028.7836949584689</v>
      </c>
    </row>
    <row r="173" spans="1:30">
      <c r="B173" s="48" t="s">
        <v>128</v>
      </c>
      <c r="C173" s="107"/>
      <c r="D173" s="13"/>
      <c r="E173" s="13"/>
      <c r="F173" s="14">
        <f>I172/L172/1.95</f>
        <v>0.35016398403902566</v>
      </c>
      <c r="G173" s="14">
        <f>J172/L172/0.35</f>
        <v>0.49747092421139605</v>
      </c>
      <c r="H173" s="14">
        <f>K172/L172/0.075</f>
        <v>0.13368962679904062</v>
      </c>
      <c r="I173" s="15"/>
      <c r="J173" s="15"/>
      <c r="K173" s="15"/>
      <c r="L173" s="15"/>
      <c r="M173" s="15"/>
      <c r="N173" s="13"/>
      <c r="O173" s="14">
        <f>O172/L172</f>
        <v>0.32369123425764856</v>
      </c>
      <c r="P173" s="14">
        <f>P172/M172</f>
        <v>0.23732040108763292</v>
      </c>
      <c r="Q173" s="13"/>
      <c r="R173" s="13"/>
      <c r="S173" s="14">
        <f>S172/R172</f>
        <v>0.75152712899748475</v>
      </c>
      <c r="T173" s="16"/>
      <c r="U173" s="16"/>
      <c r="V173" s="13">
        <f>0.19*L172</f>
        <v>238761.98</v>
      </c>
      <c r="W173" s="13"/>
      <c r="X173" s="13"/>
      <c r="Y173" s="13">
        <v>30186</v>
      </c>
      <c r="Z173" s="17"/>
      <c r="AA173" s="18"/>
      <c r="AB173" s="13"/>
      <c r="AC173" s="18"/>
      <c r="AD173" s="18"/>
    </row>
    <row r="174" spans="1:30">
      <c r="B174" s="48" t="s">
        <v>128</v>
      </c>
      <c r="C174" s="106" t="s">
        <v>85</v>
      </c>
      <c r="D174" s="8">
        <v>2118</v>
      </c>
      <c r="E174" s="8">
        <v>26</v>
      </c>
      <c r="F174" s="8">
        <v>1212</v>
      </c>
      <c r="G174" s="8">
        <v>563</v>
      </c>
      <c r="H174" s="8">
        <v>12</v>
      </c>
      <c r="I174" s="9">
        <f t="shared" si="12"/>
        <v>654480</v>
      </c>
      <c r="J174" s="9">
        <f>G174*400</f>
        <v>225200</v>
      </c>
      <c r="K174" s="9">
        <f>H174*200</f>
        <v>2400</v>
      </c>
      <c r="L174" s="58">
        <v>761296</v>
      </c>
      <c r="M174" s="58">
        <v>397996</v>
      </c>
      <c r="N174" s="8">
        <v>1871</v>
      </c>
      <c r="O174" s="8">
        <v>132504</v>
      </c>
      <c r="P174" s="8">
        <v>44399</v>
      </c>
      <c r="Q174" s="8">
        <v>2408</v>
      </c>
      <c r="R174" s="8">
        <v>4459</v>
      </c>
      <c r="S174" s="8">
        <v>3517</v>
      </c>
      <c r="T174" s="10">
        <f>Y174+Y175</f>
        <v>7110</v>
      </c>
      <c r="U174" s="11">
        <f>V174/V175</f>
        <v>0.39213601404364196</v>
      </c>
      <c r="V174" s="8">
        <v>56721</v>
      </c>
      <c r="W174" s="8">
        <v>51959</v>
      </c>
      <c r="X174" s="8">
        <v>18236</v>
      </c>
      <c r="Y174" s="8">
        <v>21</v>
      </c>
      <c r="Z174" s="11">
        <f>AA174/AC174</f>
        <v>6.0347949668003539E-2</v>
      </c>
      <c r="AA174" s="12">
        <f>79983.7</f>
        <v>79983.7</v>
      </c>
      <c r="AB174" s="8">
        <v>105884</v>
      </c>
      <c r="AC174" s="12">
        <f>1325375.6</f>
        <v>1325375.6000000001</v>
      </c>
      <c r="AD174" s="12">
        <f>AC174*1000/L174</f>
        <v>1740.946491246506</v>
      </c>
    </row>
    <row r="175" spans="1:30">
      <c r="B175" s="48" t="s">
        <v>128</v>
      </c>
      <c r="C175" s="107"/>
      <c r="D175" s="13"/>
      <c r="E175" s="13"/>
      <c r="F175" s="14">
        <f>I174/L174/1.95</f>
        <v>0.44086763785803318</v>
      </c>
      <c r="G175" s="14">
        <f>J174/L174/0.35</f>
        <v>0.84517529506075362</v>
      </c>
      <c r="H175" s="14">
        <f>K174/L174/0.075</f>
        <v>4.2033584834282593E-2</v>
      </c>
      <c r="I175" s="15"/>
      <c r="J175" s="15"/>
      <c r="K175" s="15"/>
      <c r="L175" s="15"/>
      <c r="M175" s="15"/>
      <c r="N175" s="13"/>
      <c r="O175" s="14">
        <f>O174/L174</f>
        <v>0.17405056640255565</v>
      </c>
      <c r="P175" s="14">
        <f>P174/M174</f>
        <v>0.11155639755173419</v>
      </c>
      <c r="Q175" s="13"/>
      <c r="R175" s="13"/>
      <c r="S175" s="14">
        <f>S174/R174</f>
        <v>0.78874187037452348</v>
      </c>
      <c r="T175" s="16"/>
      <c r="U175" s="16"/>
      <c r="V175" s="13">
        <f>0.19*L174</f>
        <v>144646.24</v>
      </c>
      <c r="W175" s="13"/>
      <c r="X175" s="13"/>
      <c r="Y175" s="13">
        <v>7089</v>
      </c>
      <c r="Z175" s="17"/>
      <c r="AA175" s="18"/>
      <c r="AB175" s="13"/>
      <c r="AC175" s="18"/>
      <c r="AD175" s="18"/>
    </row>
    <row r="176" spans="1:30">
      <c r="B176" s="48" t="s">
        <v>128</v>
      </c>
      <c r="C176" s="106" t="s">
        <v>86</v>
      </c>
      <c r="D176" s="8">
        <v>348</v>
      </c>
      <c r="E176" s="8">
        <v>1</v>
      </c>
      <c r="F176" s="8">
        <v>133</v>
      </c>
      <c r="G176" s="8">
        <v>125</v>
      </c>
      <c r="H176" s="8">
        <v>6</v>
      </c>
      <c r="I176" s="9">
        <f t="shared" si="12"/>
        <v>71820</v>
      </c>
      <c r="J176" s="9">
        <f>G176*400</f>
        <v>50000</v>
      </c>
      <c r="K176" s="9">
        <f>H176*200</f>
        <v>1200</v>
      </c>
      <c r="L176" s="58">
        <v>141216</v>
      </c>
      <c r="M176" s="58">
        <v>72549</v>
      </c>
      <c r="N176" s="8">
        <v>452</v>
      </c>
      <c r="O176" s="8">
        <v>37388</v>
      </c>
      <c r="P176" s="8">
        <v>16439</v>
      </c>
      <c r="Q176" s="8">
        <v>401</v>
      </c>
      <c r="R176" s="8">
        <v>403</v>
      </c>
      <c r="S176" s="8">
        <v>231</v>
      </c>
      <c r="T176" s="10">
        <f>Y176+Y177</f>
        <v>1545</v>
      </c>
      <c r="U176" s="11">
        <f>V176/V177</f>
        <v>0.33073634119288703</v>
      </c>
      <c r="V176" s="8">
        <v>8874</v>
      </c>
      <c r="W176" s="8">
        <v>14588</v>
      </c>
      <c r="X176" s="8">
        <v>6658</v>
      </c>
      <c r="Y176" s="8">
        <v>12</v>
      </c>
      <c r="Z176" s="11">
        <f>AA176/AC176</f>
        <v>5.77868166657899E-2</v>
      </c>
      <c r="AA176" s="12">
        <f>44928.1</f>
        <v>44928.1</v>
      </c>
      <c r="AB176" s="8">
        <v>31498</v>
      </c>
      <c r="AC176" s="12">
        <v>777480.1</v>
      </c>
      <c r="AD176" s="19">
        <f>AC176*1000/L176</f>
        <v>5505.6091377747562</v>
      </c>
    </row>
    <row r="177" spans="1:30">
      <c r="B177" s="48" t="s">
        <v>128</v>
      </c>
      <c r="C177" s="107"/>
      <c r="D177" s="13"/>
      <c r="E177" s="13"/>
      <c r="F177" s="14">
        <f>I176/L176/1.95</f>
        <v>0.26081158813993616</v>
      </c>
      <c r="G177" s="14">
        <f>J176/L176/0.35</f>
        <v>1.0116215078825548</v>
      </c>
      <c r="H177" s="14">
        <f>K176/L176/0.075</f>
        <v>0.11330160888284614</v>
      </c>
      <c r="I177" s="15"/>
      <c r="J177" s="15"/>
      <c r="K177" s="15"/>
      <c r="L177" s="15"/>
      <c r="M177" s="15"/>
      <c r="N177" s="13"/>
      <c r="O177" s="14">
        <f>O176/L176</f>
        <v>0.26475753455699069</v>
      </c>
      <c r="P177" s="14">
        <f>P176/M176</f>
        <v>0.22659168286261699</v>
      </c>
      <c r="Q177" s="13"/>
      <c r="R177" s="13"/>
      <c r="S177" s="14">
        <f>S176/R176</f>
        <v>0.57320099255583123</v>
      </c>
      <c r="T177" s="16"/>
      <c r="U177" s="16"/>
      <c r="V177" s="13">
        <f>0.19*L176</f>
        <v>26831.040000000001</v>
      </c>
      <c r="W177" s="13"/>
      <c r="X177" s="13"/>
      <c r="Y177" s="13">
        <v>1533</v>
      </c>
      <c r="Z177" s="17"/>
      <c r="AA177" s="18"/>
      <c r="AB177" s="13"/>
      <c r="AC177" s="18"/>
      <c r="AD177" s="18"/>
    </row>
    <row r="178" spans="1:30">
      <c r="B178" s="48" t="s">
        <v>128</v>
      </c>
      <c r="C178" s="106" t="s">
        <v>87</v>
      </c>
      <c r="D178" s="8">
        <v>1068</v>
      </c>
      <c r="E178" s="8">
        <v>3</v>
      </c>
      <c r="F178" s="8">
        <v>438</v>
      </c>
      <c r="G178" s="8">
        <v>239</v>
      </c>
      <c r="H178" s="8">
        <v>12</v>
      </c>
      <c r="I178" s="9">
        <f>F178*540</f>
        <v>236520</v>
      </c>
      <c r="J178" s="9">
        <f>G178*400</f>
        <v>95600</v>
      </c>
      <c r="K178" s="9">
        <f>H178*200</f>
        <v>2400</v>
      </c>
      <c r="L178" s="58">
        <v>461203</v>
      </c>
      <c r="M178" s="58">
        <v>237924</v>
      </c>
      <c r="N178" s="8">
        <v>1271</v>
      </c>
      <c r="O178" s="8">
        <v>163896</v>
      </c>
      <c r="P178" s="8">
        <v>57817</v>
      </c>
      <c r="Q178" s="8">
        <v>10077</v>
      </c>
      <c r="R178" s="8">
        <v>1901</v>
      </c>
      <c r="S178" s="8">
        <v>1359</v>
      </c>
      <c r="T178" s="10">
        <f>Y178+Y179</f>
        <v>5934</v>
      </c>
      <c r="U178" s="11">
        <f>V178/V179</f>
        <v>0.27510434097007402</v>
      </c>
      <c r="V178" s="8">
        <v>24107</v>
      </c>
      <c r="W178" s="8">
        <v>59035</v>
      </c>
      <c r="X178" s="8">
        <v>16312</v>
      </c>
      <c r="Y178" s="8">
        <v>22</v>
      </c>
      <c r="Z178" s="11">
        <f>AA178/AC178</f>
        <v>5.8493022311003222E-2</v>
      </c>
      <c r="AA178" s="12">
        <f>182907.4</f>
        <v>182907.4</v>
      </c>
      <c r="AB178" s="8">
        <v>88476</v>
      </c>
      <c r="AC178" s="12">
        <f>3126995.2</f>
        <v>3126995.2</v>
      </c>
      <c r="AD178" s="19">
        <f>AC178*1000/L178</f>
        <v>6780.0842579081227</v>
      </c>
    </row>
    <row r="179" spans="1:30">
      <c r="B179" s="48" t="s">
        <v>128</v>
      </c>
      <c r="C179" s="107"/>
      <c r="D179" s="13"/>
      <c r="E179" s="13"/>
      <c r="F179" s="14">
        <f>I178/L178/1.95</f>
        <v>0.26299115073472568</v>
      </c>
      <c r="G179" s="14">
        <f>J178/L178/0.35</f>
        <v>0.59223998357091601</v>
      </c>
      <c r="H179" s="14">
        <f>K178/L178/0.075</f>
        <v>6.9383763765630324E-2</v>
      </c>
      <c r="I179" s="15"/>
      <c r="J179" s="15"/>
      <c r="K179" s="15"/>
      <c r="L179" s="15"/>
      <c r="M179" s="15"/>
      <c r="N179" s="13"/>
      <c r="O179" s="14">
        <f>O178/L178</f>
        <v>0.35536629206661707</v>
      </c>
      <c r="P179" s="14">
        <f>P178/M178</f>
        <v>0.24300617003749098</v>
      </c>
      <c r="Q179" s="13"/>
      <c r="R179" s="13"/>
      <c r="S179" s="14">
        <f>S178/R178</f>
        <v>0.71488690163072066</v>
      </c>
      <c r="T179" s="16"/>
      <c r="U179" s="16"/>
      <c r="V179" s="13">
        <f>0.19*L178</f>
        <v>87628.57</v>
      </c>
      <c r="W179" s="13"/>
      <c r="X179" s="13"/>
      <c r="Y179" s="13">
        <v>5912</v>
      </c>
      <c r="Z179" s="17"/>
      <c r="AA179" s="18"/>
      <c r="AB179" s="13"/>
      <c r="AC179" s="18"/>
      <c r="AD179" s="18"/>
    </row>
    <row r="180" spans="1:30">
      <c r="B180" s="48" t="s">
        <v>128</v>
      </c>
      <c r="C180" s="106" t="s">
        <v>88</v>
      </c>
      <c r="D180" s="8">
        <v>427</v>
      </c>
      <c r="E180" s="8">
        <v>4</v>
      </c>
      <c r="F180" s="8">
        <v>271</v>
      </c>
      <c r="G180" s="8">
        <v>106</v>
      </c>
      <c r="H180" s="8">
        <v>3</v>
      </c>
      <c r="I180" s="9">
        <f t="shared" si="12"/>
        <v>146340</v>
      </c>
      <c r="J180" s="9">
        <f>G180*400</f>
        <v>42400</v>
      </c>
      <c r="K180" s="9">
        <f>H180*200</f>
        <v>600</v>
      </c>
      <c r="L180" s="58">
        <v>158267</v>
      </c>
      <c r="M180" s="58">
        <v>82539</v>
      </c>
      <c r="N180" s="8">
        <v>371</v>
      </c>
      <c r="O180" s="8">
        <v>34989</v>
      </c>
      <c r="P180" s="8">
        <v>14270</v>
      </c>
      <c r="Q180" s="8">
        <v>1281</v>
      </c>
      <c r="R180" s="8">
        <v>1111</v>
      </c>
      <c r="S180" s="8">
        <v>934</v>
      </c>
      <c r="T180" s="10">
        <f>Y180+Y181</f>
        <v>228</v>
      </c>
      <c r="U180" s="11">
        <f>V180/V181</f>
        <v>0.33976561260734278</v>
      </c>
      <c r="V180" s="8">
        <v>10217</v>
      </c>
      <c r="W180" s="8">
        <v>1790</v>
      </c>
      <c r="X180" s="8">
        <v>5575</v>
      </c>
      <c r="Y180" s="8">
        <v>4</v>
      </c>
      <c r="Z180" s="11">
        <f>AA180/AC180</f>
        <v>1.0282163983094159E-2</v>
      </c>
      <c r="AA180" s="12">
        <f>2313.6</f>
        <v>2313.6</v>
      </c>
      <c r="AB180" s="8">
        <v>18717</v>
      </c>
      <c r="AC180" s="12">
        <f>225011</f>
        <v>225011</v>
      </c>
      <c r="AD180" s="12">
        <f>AC180*1000/L180</f>
        <v>1421.717730164848</v>
      </c>
    </row>
    <row r="181" spans="1:30">
      <c r="B181" s="48" t="s">
        <v>128</v>
      </c>
      <c r="C181" s="107"/>
      <c r="D181" s="13"/>
      <c r="E181" s="13"/>
      <c r="F181" s="14">
        <f>I180/L180/1.95</f>
        <v>0.47417436260340973</v>
      </c>
      <c r="G181" s="14">
        <f>J180/L180/0.35</f>
        <v>0.76543345828793841</v>
      </c>
      <c r="H181" s="14">
        <f>K180/L180/0.075</f>
        <v>5.0547492528448763E-2</v>
      </c>
      <c r="I181" s="15"/>
      <c r="J181" s="15"/>
      <c r="K181" s="15"/>
      <c r="L181" s="15"/>
      <c r="M181" s="15"/>
      <c r="N181" s="13"/>
      <c r="O181" s="14">
        <f>O180/L180</f>
        <v>0.22107577700973671</v>
      </c>
      <c r="P181" s="14">
        <f>P180/M180</f>
        <v>0.17288796811204402</v>
      </c>
      <c r="Q181" s="13"/>
      <c r="R181" s="13"/>
      <c r="S181" s="14">
        <f>S180/R180</f>
        <v>0.84068406840684073</v>
      </c>
      <c r="T181" s="16"/>
      <c r="U181" s="16"/>
      <c r="V181" s="13">
        <f>0.19*L180</f>
        <v>30070.73</v>
      </c>
      <c r="W181" s="13"/>
      <c r="X181" s="13"/>
      <c r="Y181" s="13">
        <v>224</v>
      </c>
      <c r="Z181" s="17"/>
      <c r="AA181" s="18"/>
      <c r="AB181" s="13"/>
      <c r="AC181" s="18"/>
      <c r="AD181" s="18"/>
    </row>
    <row r="182" spans="1:30">
      <c r="B182" s="48" t="s">
        <v>128</v>
      </c>
      <c r="C182" s="106" t="s">
        <v>89</v>
      </c>
      <c r="D182" s="8">
        <v>89</v>
      </c>
      <c r="E182" s="8">
        <v>0</v>
      </c>
      <c r="F182" s="8">
        <v>9</v>
      </c>
      <c r="G182" s="8">
        <v>52</v>
      </c>
      <c r="H182" s="8">
        <v>5</v>
      </c>
      <c r="I182" s="9">
        <f t="shared" si="12"/>
        <v>4860</v>
      </c>
      <c r="J182" s="9">
        <f>G182*400</f>
        <v>20800</v>
      </c>
      <c r="K182" s="9">
        <f>H182*200</f>
        <v>1000</v>
      </c>
      <c r="L182" s="58">
        <v>48345</v>
      </c>
      <c r="M182" s="58">
        <v>23676</v>
      </c>
      <c r="N182" s="8">
        <v>198</v>
      </c>
      <c r="O182" s="8">
        <v>15163</v>
      </c>
      <c r="P182" s="8">
        <v>5240</v>
      </c>
      <c r="Q182" s="8">
        <v>1388</v>
      </c>
      <c r="R182" s="8">
        <v>121</v>
      </c>
      <c r="S182" s="8">
        <v>73</v>
      </c>
      <c r="T182" s="10">
        <f>Y182+Y183</f>
        <v>295</v>
      </c>
      <c r="U182" s="11">
        <f>V182/V183</f>
        <v>0.30199606991415867</v>
      </c>
      <c r="V182" s="8">
        <v>2774</v>
      </c>
      <c r="W182" s="8">
        <v>2451</v>
      </c>
      <c r="X182" s="8">
        <v>1966</v>
      </c>
      <c r="Y182" s="8">
        <v>0</v>
      </c>
      <c r="Z182" s="11">
        <f>AA182/AC182</f>
        <v>2.8127310017109233E-2</v>
      </c>
      <c r="AA182" s="12">
        <v>6750.2</v>
      </c>
      <c r="AB182" s="8">
        <v>9760</v>
      </c>
      <c r="AC182" s="12">
        <v>239987.39999999997</v>
      </c>
      <c r="AD182" s="12">
        <f>AC182*1000/L182</f>
        <v>4964.05833074775</v>
      </c>
    </row>
    <row r="183" spans="1:30">
      <c r="B183" s="48" t="s">
        <v>128</v>
      </c>
      <c r="C183" s="107"/>
      <c r="D183" s="13"/>
      <c r="E183" s="13"/>
      <c r="F183" s="14">
        <f>I182/L182/1.95</f>
        <v>5.1552543020119815E-2</v>
      </c>
      <c r="G183" s="14">
        <f>J182/L182/0.35</f>
        <v>1.2292599323316047</v>
      </c>
      <c r="H183" s="14">
        <f>K182/L182/0.075</f>
        <v>0.27579549763850103</v>
      </c>
      <c r="I183" s="15"/>
      <c r="J183" s="15"/>
      <c r="K183" s="15"/>
      <c r="L183" s="15"/>
      <c r="M183" s="15"/>
      <c r="N183" s="13"/>
      <c r="O183" s="14">
        <f>O182/L182</f>
        <v>0.31364153480194434</v>
      </c>
      <c r="P183" s="14">
        <f>P182/M182</f>
        <v>0.22132116911640479</v>
      </c>
      <c r="Q183" s="13"/>
      <c r="R183" s="13"/>
      <c r="S183" s="14">
        <f>S182/R182</f>
        <v>0.60330578512396693</v>
      </c>
      <c r="T183" s="16"/>
      <c r="U183" s="16"/>
      <c r="V183" s="13">
        <f>0.19*L182</f>
        <v>9185.5499999999993</v>
      </c>
      <c r="W183" s="13"/>
      <c r="X183" s="13"/>
      <c r="Y183" s="13">
        <v>295</v>
      </c>
      <c r="Z183" s="17"/>
      <c r="AA183" s="18"/>
      <c r="AB183" s="13"/>
      <c r="AC183" s="18"/>
      <c r="AD183" s="18"/>
    </row>
    <row r="184" spans="1:30" s="21" customFormat="1">
      <c r="A184" s="50" t="s">
        <v>129</v>
      </c>
      <c r="B184" s="51" t="s">
        <v>128</v>
      </c>
      <c r="C184" s="110" t="s">
        <v>90</v>
      </c>
      <c r="D184" s="25">
        <f t="shared" ref="D184:T184" si="13">SUM(D182,D180,D178,D176,D174,D172,D170,D168,D166)</f>
        <v>12795</v>
      </c>
      <c r="E184" s="25">
        <f t="shared" si="13"/>
        <v>98</v>
      </c>
      <c r="F184" s="25">
        <f t="shared" si="13"/>
        <v>6436</v>
      </c>
      <c r="G184" s="25">
        <f t="shared" si="13"/>
        <v>3747</v>
      </c>
      <c r="H184" s="25">
        <f t="shared" si="13"/>
        <v>210</v>
      </c>
      <c r="I184" s="26">
        <f t="shared" si="13"/>
        <v>3475440</v>
      </c>
      <c r="J184" s="26">
        <f t="shared" si="13"/>
        <v>1498800</v>
      </c>
      <c r="K184" s="26">
        <f t="shared" si="13"/>
        <v>42000</v>
      </c>
      <c r="L184" s="26">
        <f t="shared" si="13"/>
        <v>5845472</v>
      </c>
      <c r="M184" s="26">
        <f t="shared" si="13"/>
        <v>3018354</v>
      </c>
      <c r="N184" s="25">
        <f t="shared" si="13"/>
        <v>15830</v>
      </c>
      <c r="O184" s="25">
        <f t="shared" si="13"/>
        <v>1718227</v>
      </c>
      <c r="P184" s="25">
        <f t="shared" si="13"/>
        <v>608556</v>
      </c>
      <c r="Q184" s="25">
        <f t="shared" si="13"/>
        <v>98604</v>
      </c>
      <c r="R184" s="25">
        <f t="shared" si="13"/>
        <v>33919</v>
      </c>
      <c r="S184" s="25">
        <f t="shared" si="13"/>
        <v>20465</v>
      </c>
      <c r="T184" s="25">
        <f t="shared" si="13"/>
        <v>73665</v>
      </c>
      <c r="U184" s="22">
        <f>V184/V185</f>
        <v>0.33590191915347378</v>
      </c>
      <c r="V184" s="25">
        <f>SUM(V182,V180,V178,V176,V174,V172,V170,V168,V166)</f>
        <v>373066</v>
      </c>
      <c r="W184" s="25">
        <f>SUM(W182,W180,W178,W176,W174,W172,W170,W168,W166)</f>
        <v>542847</v>
      </c>
      <c r="X184" s="25">
        <f>SUM(X182,X180,X178,X176,X174,X172,X170,X168,X166)</f>
        <v>197430</v>
      </c>
      <c r="Y184" s="25">
        <f>SUM(Y182,Y180,Y178,Y176,Y174,Y172,Y170,Y168,Y166)</f>
        <v>320</v>
      </c>
      <c r="Z184" s="22">
        <f>AA184/AC184</f>
        <v>0.14293408227598897</v>
      </c>
      <c r="AA184" s="23">
        <f>SUM(AA166:AA182)</f>
        <v>3089780.6</v>
      </c>
      <c r="AB184" s="25">
        <f>SUM(AB182,AB180,AB178,AB176,AB174,AB172,AB170,AB168,AB166)</f>
        <v>982632</v>
      </c>
      <c r="AC184" s="23">
        <f>SUM(AC182+AC180+AC178+AC176+AC174+AC172+AC170+AC168+AC166)</f>
        <v>21616821.899999999</v>
      </c>
      <c r="AD184" s="23">
        <f>AC184*1000/L184</f>
        <v>3698.0455812635832</v>
      </c>
    </row>
    <row r="185" spans="1:30" s="21" customFormat="1">
      <c r="A185" s="50" t="s">
        <v>129</v>
      </c>
      <c r="B185" s="51" t="s">
        <v>128</v>
      </c>
      <c r="C185" s="111"/>
      <c r="D185" s="27"/>
      <c r="E185" s="27"/>
      <c r="F185" s="62">
        <f>I184/L184/1.95</f>
        <v>0.30489871871371949</v>
      </c>
      <c r="G185" s="62">
        <f>J184/L184/0.35</f>
        <v>0.7325816827598719</v>
      </c>
      <c r="H185" s="62">
        <f>K184/L184/0.075</f>
        <v>9.5800647064941888E-2</v>
      </c>
      <c r="I185" s="28"/>
      <c r="J185" s="28"/>
      <c r="K185" s="28"/>
      <c r="L185" s="28"/>
      <c r="M185" s="28"/>
      <c r="N185" s="27"/>
      <c r="O185" s="24">
        <f>O184/L184</f>
        <v>0.29394153286509628</v>
      </c>
      <c r="P185" s="24">
        <f>P184/M184</f>
        <v>0.20161849802905824</v>
      </c>
      <c r="Q185" s="27"/>
      <c r="R185" s="27"/>
      <c r="S185" s="24">
        <f>S184/R184</f>
        <v>0.60334915534066458</v>
      </c>
      <c r="T185" s="29"/>
      <c r="U185" s="29"/>
      <c r="V185" s="27">
        <f>SUM(V183,V181,V179,V177,V175,V173,V171,V169,V167)</f>
        <v>1110639.68</v>
      </c>
      <c r="W185" s="27"/>
      <c r="X185" s="27"/>
      <c r="Y185" s="27">
        <f>SUM(Y183,Y181,Y179,Y177,Y175,Y173,Y171,Y169,Y167)</f>
        <v>73345</v>
      </c>
      <c r="Z185" s="30"/>
      <c r="AA185" s="31"/>
      <c r="AB185" s="27"/>
      <c r="AC185" s="31"/>
      <c r="AD185" s="61"/>
    </row>
    <row r="186" spans="1:30" s="21" customFormat="1">
      <c r="A186" s="50"/>
      <c r="B186" s="48" t="s">
        <v>135</v>
      </c>
      <c r="C186" s="120" t="s">
        <v>132</v>
      </c>
      <c r="D186" s="8">
        <v>2831</v>
      </c>
      <c r="E186" s="72">
        <v>37</v>
      </c>
      <c r="F186" s="73">
        <v>1577</v>
      </c>
      <c r="G186" s="73">
        <v>668</v>
      </c>
      <c r="H186" s="67">
        <v>17</v>
      </c>
      <c r="I186" s="74">
        <f>F186*540</f>
        <v>851580</v>
      </c>
      <c r="J186" s="9">
        <f>G186*400</f>
        <v>267200</v>
      </c>
      <c r="K186" s="9">
        <f>H186*200</f>
        <v>3400</v>
      </c>
      <c r="L186" s="58">
        <v>1765355</v>
      </c>
      <c r="M186" s="58">
        <v>946408</v>
      </c>
      <c r="N186" s="8">
        <v>2698</v>
      </c>
      <c r="O186" s="67">
        <v>178927</v>
      </c>
      <c r="P186" s="67">
        <v>63588</v>
      </c>
      <c r="Q186" s="8">
        <v>3876</v>
      </c>
      <c r="R186" s="8">
        <v>13859</v>
      </c>
      <c r="S186" s="67">
        <v>8691</v>
      </c>
      <c r="T186" s="10">
        <f>Y186+Y187</f>
        <v>4347</v>
      </c>
      <c r="U186" s="69">
        <f>V186/V187</f>
        <v>0.31922310541684695</v>
      </c>
      <c r="V186" s="57">
        <v>107073</v>
      </c>
      <c r="W186" s="8">
        <v>22120</v>
      </c>
      <c r="X186" s="8">
        <v>23363</v>
      </c>
      <c r="Y186" s="8">
        <v>51</v>
      </c>
      <c r="Z186" s="11">
        <f>AA186/AC186</f>
        <v>3.9070779487533354E-2</v>
      </c>
      <c r="AA186" s="12">
        <f>32726.9</f>
        <v>32726.9</v>
      </c>
      <c r="AB186" s="8">
        <v>59800</v>
      </c>
      <c r="AC186" s="79">
        <f>837631.1</f>
        <v>837631.1</v>
      </c>
      <c r="AD186" s="12">
        <f>AC186*1000/L186</f>
        <v>474.48309263575879</v>
      </c>
    </row>
    <row r="187" spans="1:30" s="21" customFormat="1">
      <c r="A187" s="50"/>
      <c r="B187" s="48" t="s">
        <v>135</v>
      </c>
      <c r="C187" s="121"/>
      <c r="D187" s="13"/>
      <c r="E187" s="75"/>
      <c r="F187" s="76">
        <f t="shared" ref="F187:F191" si="14">I186/L186/1.95</f>
        <v>0.24737669891194256</v>
      </c>
      <c r="G187" s="76">
        <f t="shared" ref="G187:G191" si="15">J186/L186/0.35</f>
        <v>0.43245045411748428</v>
      </c>
      <c r="H187" s="77">
        <f t="shared" ref="H187:H191" si="16">K186/L186/0.075</f>
        <v>2.5679443133722869E-2</v>
      </c>
      <c r="I187" s="78"/>
      <c r="J187" s="15"/>
      <c r="K187" s="15"/>
      <c r="L187" s="28"/>
      <c r="M187" s="28"/>
      <c r="N187" s="27"/>
      <c r="O187" s="14">
        <f>O186/L186</f>
        <v>0.10135468503502129</v>
      </c>
      <c r="P187" s="14">
        <f>P186/M186</f>
        <v>6.7188781159922564E-2</v>
      </c>
      <c r="Q187" s="13"/>
      <c r="R187" s="13"/>
      <c r="S187" s="14">
        <f>S186/R186</f>
        <v>0.62710152247636919</v>
      </c>
      <c r="T187" s="16"/>
      <c r="U187" s="16"/>
      <c r="V187" s="13">
        <f>0.19*L186</f>
        <v>335417.45</v>
      </c>
      <c r="W187" s="27"/>
      <c r="X187" s="13"/>
      <c r="Y187" s="13">
        <v>4296</v>
      </c>
      <c r="Z187" s="17"/>
      <c r="AA187" s="18"/>
      <c r="AB187" s="13"/>
      <c r="AC187" s="80"/>
      <c r="AD187" s="18"/>
    </row>
    <row r="188" spans="1:30" s="21" customFormat="1">
      <c r="A188" s="50"/>
      <c r="B188" s="48" t="s">
        <v>135</v>
      </c>
      <c r="C188" s="120" t="s">
        <v>133</v>
      </c>
      <c r="D188" s="81">
        <v>640</v>
      </c>
      <c r="E188" s="82">
        <v>6</v>
      </c>
      <c r="F188" s="73">
        <v>314</v>
      </c>
      <c r="G188" s="73">
        <v>262</v>
      </c>
      <c r="H188" s="67">
        <v>6</v>
      </c>
      <c r="I188" s="74">
        <f>F188*540</f>
        <v>169560</v>
      </c>
      <c r="J188" s="9">
        <f>G188*400</f>
        <v>104800</v>
      </c>
      <c r="K188" s="9">
        <f>H188*200</f>
        <v>1200</v>
      </c>
      <c r="L188" s="58">
        <v>372398</v>
      </c>
      <c r="M188" s="58">
        <v>197604</v>
      </c>
      <c r="N188" s="8">
        <v>644</v>
      </c>
      <c r="O188" s="67">
        <v>96662</v>
      </c>
      <c r="P188" s="67">
        <v>33714</v>
      </c>
      <c r="Q188" s="8">
        <v>1035</v>
      </c>
      <c r="R188" s="8">
        <v>2836</v>
      </c>
      <c r="S188" s="67">
        <v>896</v>
      </c>
      <c r="T188" s="10">
        <f>Y188+Y189</f>
        <v>2282</v>
      </c>
      <c r="U188" s="69">
        <f>V188/V189</f>
        <v>0.28540489080584697</v>
      </c>
      <c r="V188" s="8">
        <v>20194</v>
      </c>
      <c r="W188" s="25">
        <v>0</v>
      </c>
      <c r="X188" s="8">
        <v>6451</v>
      </c>
      <c r="Y188" s="8">
        <v>25</v>
      </c>
      <c r="Z188" s="11">
        <f>AA188/AC188</f>
        <v>3.5194903529409745E-4</v>
      </c>
      <c r="AA188" s="12">
        <f>3522.9</f>
        <v>3522.9</v>
      </c>
      <c r="AB188" s="8">
        <v>28060</v>
      </c>
      <c r="AC188" s="79">
        <f>10009687.9</f>
        <v>10009687.9</v>
      </c>
      <c r="AD188" s="86">
        <f t="shared" ref="AD188:AD190" si="17">AC188*1000/L188</f>
        <v>26879.005526345471</v>
      </c>
    </row>
    <row r="189" spans="1:30" s="21" customFormat="1">
      <c r="A189" s="50"/>
      <c r="B189" s="48" t="s">
        <v>135</v>
      </c>
      <c r="C189" s="121"/>
      <c r="D189" s="13"/>
      <c r="E189" s="75"/>
      <c r="F189" s="76">
        <f t="shared" si="14"/>
        <v>0.2334970814930428</v>
      </c>
      <c r="G189" s="76">
        <f t="shared" si="15"/>
        <v>0.80405526192023447</v>
      </c>
      <c r="H189" s="77">
        <f t="shared" si="16"/>
        <v>4.2964784988104125E-2</v>
      </c>
      <c r="I189" s="78"/>
      <c r="J189" s="15"/>
      <c r="K189" s="15"/>
      <c r="L189" s="28"/>
      <c r="M189" s="28"/>
      <c r="N189" s="27"/>
      <c r="O189" s="14">
        <f>O188/L188</f>
        <v>0.25956637790750758</v>
      </c>
      <c r="P189" s="14">
        <f>P188/M188</f>
        <v>0.17061395518309347</v>
      </c>
      <c r="Q189" s="13"/>
      <c r="R189" s="13"/>
      <c r="S189" s="14">
        <f>S188/R188</f>
        <v>0.31593794076163612</v>
      </c>
      <c r="T189" s="16"/>
      <c r="U189" s="16"/>
      <c r="V189" s="13">
        <f>0.19*L188</f>
        <v>70755.62</v>
      </c>
      <c r="W189" s="27"/>
      <c r="X189" s="27"/>
      <c r="Y189" s="13">
        <v>2257</v>
      </c>
      <c r="Z189" s="30"/>
      <c r="AA189" s="31"/>
      <c r="AB189" s="27"/>
      <c r="AC189" s="80"/>
      <c r="AD189" s="18"/>
    </row>
    <row r="190" spans="1:30" s="21" customFormat="1" ht="12" customHeight="1">
      <c r="A190" s="50" t="s">
        <v>129</v>
      </c>
      <c r="B190" s="51" t="s">
        <v>135</v>
      </c>
      <c r="C190" s="122" t="s">
        <v>134</v>
      </c>
      <c r="D190" s="59">
        <f t="shared" ref="D190:T190" si="18">D186+D188</f>
        <v>3471</v>
      </c>
      <c r="E190" s="65">
        <f t="shared" si="18"/>
        <v>43</v>
      </c>
      <c r="F190" s="70">
        <f t="shared" si="18"/>
        <v>1891</v>
      </c>
      <c r="G190" s="70">
        <f t="shared" si="18"/>
        <v>930</v>
      </c>
      <c r="H190" s="71">
        <f t="shared" si="18"/>
        <v>23</v>
      </c>
      <c r="I190" s="66">
        <f t="shared" si="18"/>
        <v>1021140</v>
      </c>
      <c r="J190" s="20">
        <f t="shared" si="18"/>
        <v>372000</v>
      </c>
      <c r="K190" s="20">
        <f t="shared" si="18"/>
        <v>4600</v>
      </c>
      <c r="L190" s="20">
        <f t="shared" si="18"/>
        <v>2137753</v>
      </c>
      <c r="M190" s="20">
        <f t="shared" si="18"/>
        <v>1144012</v>
      </c>
      <c r="N190" s="59">
        <f t="shared" si="18"/>
        <v>3342</v>
      </c>
      <c r="O190" s="68">
        <f t="shared" si="18"/>
        <v>275589</v>
      </c>
      <c r="P190" s="68">
        <f t="shared" si="18"/>
        <v>97302</v>
      </c>
      <c r="Q190" s="59">
        <f t="shared" si="18"/>
        <v>4911</v>
      </c>
      <c r="R190" s="59">
        <f t="shared" si="18"/>
        <v>16695</v>
      </c>
      <c r="S190" s="68">
        <f t="shared" si="18"/>
        <v>9587</v>
      </c>
      <c r="T190" s="63">
        <f t="shared" si="18"/>
        <v>6629</v>
      </c>
      <c r="U190" s="83">
        <f>V190/V191</f>
        <v>0.31333194985083573</v>
      </c>
      <c r="V190" s="59">
        <f>V186+V188</f>
        <v>127267</v>
      </c>
      <c r="W190" s="59">
        <f>W186+W188</f>
        <v>22120</v>
      </c>
      <c r="X190" s="59">
        <f>X186+X188</f>
        <v>29814</v>
      </c>
      <c r="Y190" s="59">
        <f>Y186+Y188</f>
        <v>76</v>
      </c>
      <c r="Z190" s="60">
        <f>AA190/AC190</f>
        <v>3.3418211449299132E-3</v>
      </c>
      <c r="AA190" s="61">
        <f>SUM(AA186:AA188)</f>
        <v>36249.800000000003</v>
      </c>
      <c r="AB190" s="59">
        <f>AB186+AB188</f>
        <v>87860</v>
      </c>
      <c r="AC190" s="61">
        <f>SUM(AC186:AC188)</f>
        <v>10847319</v>
      </c>
      <c r="AD190" s="61">
        <f t="shared" si="17"/>
        <v>5074.1685311633291</v>
      </c>
    </row>
    <row r="191" spans="1:30" s="21" customFormat="1">
      <c r="A191" s="50" t="s">
        <v>129</v>
      </c>
      <c r="B191" s="51" t="s">
        <v>135</v>
      </c>
      <c r="C191" s="123"/>
      <c r="D191" s="59"/>
      <c r="E191" s="65"/>
      <c r="F191" s="64">
        <f t="shared" si="14"/>
        <v>0.24495886029000474</v>
      </c>
      <c r="G191" s="64">
        <f t="shared" si="15"/>
        <v>0.49718425976113373</v>
      </c>
      <c r="H191" s="24">
        <f t="shared" si="16"/>
        <v>2.8690561226359327E-2</v>
      </c>
      <c r="I191" s="66"/>
      <c r="J191" s="20"/>
      <c r="K191" s="20"/>
      <c r="L191" s="20"/>
      <c r="M191" s="20"/>
      <c r="N191" s="59"/>
      <c r="O191" s="62">
        <f>O190/L190</f>
        <v>0.12891526757300772</v>
      </c>
      <c r="P191" s="62">
        <f>P190/M190</f>
        <v>8.505330363667514E-2</v>
      </c>
      <c r="Q191" s="59"/>
      <c r="R191" s="59"/>
      <c r="S191" s="62">
        <f>S190/R190</f>
        <v>0.57424378556454025</v>
      </c>
      <c r="T191" s="63"/>
      <c r="U191" s="63"/>
      <c r="V191" s="59">
        <f>V187+V189</f>
        <v>406173.07</v>
      </c>
      <c r="W191" s="59"/>
      <c r="X191" s="59"/>
      <c r="Y191" s="59">
        <f>Y187+Y189</f>
        <v>6553</v>
      </c>
      <c r="Z191" s="60"/>
      <c r="AA191" s="61"/>
      <c r="AB191" s="59"/>
      <c r="AC191" s="61"/>
      <c r="AD191" s="61"/>
    </row>
    <row r="192" spans="1:30" s="56" customFormat="1">
      <c r="A192" s="51" t="s">
        <v>129</v>
      </c>
      <c r="B192" s="51"/>
      <c r="C192" s="118" t="s">
        <v>91</v>
      </c>
      <c r="D192" s="25">
        <f t="shared" ref="D192:M192" si="19">SUM(D190,D184,D164,D138,D124,D94,D78,D64,D40)</f>
        <v>281842</v>
      </c>
      <c r="E192" s="25">
        <f t="shared" si="19"/>
        <v>1877</v>
      </c>
      <c r="F192" s="59">
        <f t="shared" si="19"/>
        <v>148194</v>
      </c>
      <c r="G192" s="59">
        <f t="shared" si="19"/>
        <v>72016</v>
      </c>
      <c r="H192" s="59">
        <f t="shared" si="19"/>
        <v>5196</v>
      </c>
      <c r="I192" s="26">
        <f t="shared" si="19"/>
        <v>80024760</v>
      </c>
      <c r="J192" s="26">
        <f t="shared" si="19"/>
        <v>28806400</v>
      </c>
      <c r="K192" s="26">
        <f t="shared" si="19"/>
        <v>1039200</v>
      </c>
      <c r="L192" s="26">
        <f t="shared" si="19"/>
        <v>136084513</v>
      </c>
      <c r="M192" s="26">
        <f t="shared" si="19"/>
        <v>72334513</v>
      </c>
      <c r="N192" s="25">
        <f t="shared" ref="N192:T192" si="20">SUM(N190,N184,N164,N138,N124,N94,N78,N64,N40)</f>
        <v>361741</v>
      </c>
      <c r="O192" s="25">
        <f t="shared" si="20"/>
        <v>43464434</v>
      </c>
      <c r="P192" s="25">
        <f t="shared" si="20"/>
        <v>16669568</v>
      </c>
      <c r="Q192" s="25">
        <f t="shared" si="20"/>
        <v>3001486</v>
      </c>
      <c r="R192" s="25">
        <f t="shared" si="20"/>
        <v>829845</v>
      </c>
      <c r="S192" s="25">
        <f t="shared" si="20"/>
        <v>493351</v>
      </c>
      <c r="T192" s="25">
        <f t="shared" si="20"/>
        <v>1432172</v>
      </c>
      <c r="U192" s="22">
        <f>V192/V193</f>
        <v>0.29914688304566178</v>
      </c>
      <c r="V192" s="25">
        <f>SUM(V190,V184,V164,V138,V124,V94,V78,V64,V40)</f>
        <v>7734759</v>
      </c>
      <c r="W192" s="25">
        <f>SUM(W190,W184,W164,W138,W124,W94,W78,W64,W40)</f>
        <v>14514124</v>
      </c>
      <c r="X192" s="25">
        <f>SUM(X190,X184,X164,X138,X124,X94,X78,X64,X40)</f>
        <v>4301284</v>
      </c>
      <c r="Y192" s="25">
        <f>SUM(Y190,Y184,Y164,Y138,Y124,Y94,Y78,Y64,Y40)</f>
        <v>9985</v>
      </c>
      <c r="Z192" s="22">
        <f>AA192/AC192</f>
        <v>0.14476918979062825</v>
      </c>
      <c r="AA192" s="23">
        <f>AA40+AA64+AA78+AA94+AA124+AA138+AA164+AA184+AA190</f>
        <v>59176240.899999991</v>
      </c>
      <c r="AB192" s="25">
        <f>SUM(AB190,AB184,AB164,AB138,AB124,AB94,AB78,AB64,AB40)</f>
        <v>24255578</v>
      </c>
      <c r="AC192" s="23">
        <v>408762672.39999998</v>
      </c>
      <c r="AD192" s="23">
        <f>AC192*1000/L192</f>
        <v>3003.7413030239527</v>
      </c>
    </row>
    <row r="193" spans="1:30" s="56" customFormat="1">
      <c r="A193" s="51" t="s">
        <v>129</v>
      </c>
      <c r="B193" s="51"/>
      <c r="C193" s="119"/>
      <c r="D193" s="27"/>
      <c r="E193" s="27"/>
      <c r="F193" s="24">
        <f>I192/L192/1.95</f>
        <v>0.30156509037540857</v>
      </c>
      <c r="G193" s="24">
        <f>J192/L192/0.35</f>
        <v>0.60480063591071531</v>
      </c>
      <c r="H193" s="24">
        <f>K192/L192/0.075</f>
        <v>0.10181908061793925</v>
      </c>
      <c r="I193" s="28"/>
      <c r="J193" s="28"/>
      <c r="K193" s="28"/>
      <c r="L193" s="28"/>
      <c r="M193" s="28"/>
      <c r="N193" s="27"/>
      <c r="O193" s="24">
        <f>O192/L192</f>
        <v>0.31939294958567399</v>
      </c>
      <c r="P193" s="24">
        <f>P192/M192</f>
        <v>0.23045109877217257</v>
      </c>
      <c r="Q193" s="27"/>
      <c r="R193" s="27"/>
      <c r="S193" s="24">
        <f>S192/R192</f>
        <v>0.59450981809856063</v>
      </c>
      <c r="T193" s="29"/>
      <c r="U193" s="29"/>
      <c r="V193" s="27">
        <f>SUM(V191,V185,V165,V139,V125,V95,V79,V65,V41)</f>
        <v>25856057.469999999</v>
      </c>
      <c r="W193" s="27"/>
      <c r="X193" s="27"/>
      <c r="Y193" s="27">
        <f>SUM(Y191,Y185,Y165,Y139,Y125,Y95,Y79,Y65,Y41)</f>
        <v>1422187</v>
      </c>
      <c r="Z193" s="30"/>
      <c r="AA193" s="31"/>
      <c r="AB193" s="27"/>
      <c r="AC193" s="31"/>
      <c r="AD193" s="31"/>
    </row>
    <row r="199" spans="1:30">
      <c r="R199" s="84"/>
    </row>
    <row r="200" spans="1:30">
      <c r="O200" s="84"/>
    </row>
  </sheetData>
  <autoFilter ref="A3:AD193"/>
  <sortState ref="B3:AF88">
    <sortCondition ref="B3"/>
  </sortState>
  <mergeCells count="113">
    <mergeCell ref="C182:C183"/>
    <mergeCell ref="C184:C185"/>
    <mergeCell ref="C192:C193"/>
    <mergeCell ref="C172:C173"/>
    <mergeCell ref="C174:C175"/>
    <mergeCell ref="C176:C177"/>
    <mergeCell ref="C178:C179"/>
    <mergeCell ref="C180:C181"/>
    <mergeCell ref="C162:C163"/>
    <mergeCell ref="C164:C165"/>
    <mergeCell ref="C166:C167"/>
    <mergeCell ref="C168:C169"/>
    <mergeCell ref="C170:C171"/>
    <mergeCell ref="C186:C187"/>
    <mergeCell ref="C188:C189"/>
    <mergeCell ref="C190:C191"/>
    <mergeCell ref="C152:C153"/>
    <mergeCell ref="C154:C155"/>
    <mergeCell ref="C156:C157"/>
    <mergeCell ref="C158:C159"/>
    <mergeCell ref="C160:C161"/>
    <mergeCell ref="C142:C143"/>
    <mergeCell ref="C144:C145"/>
    <mergeCell ref="C146:C147"/>
    <mergeCell ref="C148:C149"/>
    <mergeCell ref="C150:C151"/>
    <mergeCell ref="C132:C133"/>
    <mergeCell ref="C134:C135"/>
    <mergeCell ref="C136:C137"/>
    <mergeCell ref="C138:C139"/>
    <mergeCell ref="C140:C141"/>
    <mergeCell ref="C122:C123"/>
    <mergeCell ref="C124:C125"/>
    <mergeCell ref="C126:C127"/>
    <mergeCell ref="C128:C129"/>
    <mergeCell ref="C130:C131"/>
    <mergeCell ref="C112:C113"/>
    <mergeCell ref="C114:C115"/>
    <mergeCell ref="C116:C117"/>
    <mergeCell ref="C118:C119"/>
    <mergeCell ref="C120:C121"/>
    <mergeCell ref="C102:C103"/>
    <mergeCell ref="C104:C105"/>
    <mergeCell ref="C106:C107"/>
    <mergeCell ref="C108:C109"/>
    <mergeCell ref="C110:C111"/>
    <mergeCell ref="C92:C93"/>
    <mergeCell ref="C94:C95"/>
    <mergeCell ref="C96:C97"/>
    <mergeCell ref="C98:C99"/>
    <mergeCell ref="C100:C101"/>
    <mergeCell ref="C82:C83"/>
    <mergeCell ref="C84:C85"/>
    <mergeCell ref="C86:C87"/>
    <mergeCell ref="C88:C89"/>
    <mergeCell ref="C90:C91"/>
    <mergeCell ref="C72:C73"/>
    <mergeCell ref="C74:C75"/>
    <mergeCell ref="C76:C77"/>
    <mergeCell ref="C78:C79"/>
    <mergeCell ref="C80:C81"/>
    <mergeCell ref="C62:C63"/>
    <mergeCell ref="C64:C65"/>
    <mergeCell ref="C66:C67"/>
    <mergeCell ref="C68:C69"/>
    <mergeCell ref="C70:C71"/>
    <mergeCell ref="C52:C53"/>
    <mergeCell ref="C54:C55"/>
    <mergeCell ref="C56:C57"/>
    <mergeCell ref="C58:C59"/>
    <mergeCell ref="C60:C61"/>
    <mergeCell ref="C42:C43"/>
    <mergeCell ref="C44:C45"/>
    <mergeCell ref="C46:C47"/>
    <mergeCell ref="C48:C49"/>
    <mergeCell ref="C50:C51"/>
    <mergeCell ref="C32:C33"/>
    <mergeCell ref="C34:C35"/>
    <mergeCell ref="C36:C37"/>
    <mergeCell ref="C38:C39"/>
    <mergeCell ref="C40:C41"/>
    <mergeCell ref="C22:C23"/>
    <mergeCell ref="C24:C25"/>
    <mergeCell ref="C26:C27"/>
    <mergeCell ref="C28:C29"/>
    <mergeCell ref="C30:C31"/>
    <mergeCell ref="C12:C13"/>
    <mergeCell ref="C14:C15"/>
    <mergeCell ref="C16:C17"/>
    <mergeCell ref="C18:C19"/>
    <mergeCell ref="C20:C21"/>
    <mergeCell ref="C1:C2"/>
    <mergeCell ref="C4:C5"/>
    <mergeCell ref="C6:C7"/>
    <mergeCell ref="C8:C9"/>
    <mergeCell ref="C10:C11"/>
    <mergeCell ref="D1:H1"/>
    <mergeCell ref="I1:K1"/>
    <mergeCell ref="L1:M1"/>
    <mergeCell ref="N1:N2"/>
    <mergeCell ref="O1:O2"/>
    <mergeCell ref="AD1:AD2"/>
    <mergeCell ref="P1:P2"/>
    <mergeCell ref="Q1:Q2"/>
    <mergeCell ref="R1:R2"/>
    <mergeCell ref="S1:S2"/>
    <mergeCell ref="T1:T2"/>
    <mergeCell ref="U1:U2"/>
    <mergeCell ref="W1:W2"/>
    <mergeCell ref="X1:X2"/>
    <mergeCell ref="Z1:AA1"/>
    <mergeCell ref="AB1:AB2"/>
    <mergeCell ref="AC1:AC2"/>
  </mergeCells>
  <pageMargins left="0" right="0" top="0.39370078740157483" bottom="0.39370078740157483" header="0.39370078740157483" footer="0.19685039370078741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Синицкая Ольга Алексеевна</dc:creator>
  <cp:lastModifiedBy>merkushina</cp:lastModifiedBy>
  <cp:lastPrinted>2015-08-04T15:19:18Z</cp:lastPrinted>
  <dcterms:created xsi:type="dcterms:W3CDTF">2013-04-18T15:22:29Z</dcterms:created>
  <dcterms:modified xsi:type="dcterms:W3CDTF">2016-04-19T06:56:34Z</dcterms:modified>
</cp:coreProperties>
</file>