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80" windowWidth="19320" windowHeight="12660"/>
  </bookViews>
  <sheets>
    <sheet name="Лист1" sheetId="13" r:id="rId1"/>
  </sheets>
  <definedNames>
    <definedName name="_xlnm._FilterDatabase" localSheetId="0" hidden="1">Лист1!$A$3:$AD$191</definedName>
    <definedName name="_xlnm.Print_Titles" localSheetId="0">Лист1!$C:$C,Лист1!$1:$2</definedName>
    <definedName name="_xlnm.Print_Area" localSheetId="0">Лист1!$C$1:$AD$191</definedName>
  </definedNames>
  <calcPr calcId="124519"/>
</workbook>
</file>

<file path=xl/calcChain.xml><?xml version="1.0" encoding="utf-8"?>
<calcChain xmlns="http://schemas.openxmlformats.org/spreadsheetml/2006/main">
  <c r="AC40" i="13"/>
  <c r="AA72"/>
  <c r="AA82" l="1"/>
  <c r="R190"/>
  <c r="Q168"/>
  <c r="O168"/>
  <c r="O190"/>
  <c r="X78"/>
  <c r="X72"/>
  <c r="AC72"/>
  <c r="AA40" l="1"/>
  <c r="X38"/>
  <c r="X40"/>
  <c r="F40"/>
  <c r="E40"/>
  <c r="D40"/>
  <c r="G40"/>
  <c r="W4"/>
  <c r="AA80"/>
  <c r="AC80"/>
  <c r="AC144"/>
  <c r="AA148"/>
  <c r="AC148"/>
  <c r="AC106"/>
  <c r="AA106"/>
  <c r="AA184"/>
  <c r="AC184"/>
  <c r="AA4"/>
  <c r="AC4"/>
  <c r="AA170"/>
  <c r="AC170"/>
  <c r="AA56"/>
  <c r="AC56"/>
  <c r="AB66" l="1"/>
  <c r="AB186" l="1"/>
  <c r="Y177"/>
  <c r="T176" s="1"/>
  <c r="AB176"/>
  <c r="Y183"/>
  <c r="T182" s="1"/>
  <c r="AB182"/>
  <c r="AC174"/>
  <c r="AA174"/>
  <c r="Y175"/>
  <c r="AB174"/>
  <c r="Y181"/>
  <c r="AB180"/>
  <c r="Y173"/>
  <c r="AB172"/>
  <c r="Y179"/>
  <c r="T178" s="1"/>
  <c r="AB178"/>
  <c r="Y167"/>
  <c r="AB166"/>
  <c r="Y151"/>
  <c r="AB150"/>
  <c r="Y149"/>
  <c r="AB148"/>
  <c r="Y147"/>
  <c r="AB146"/>
  <c r="Y145"/>
  <c r="AB144"/>
  <c r="Y165"/>
  <c r="AB164"/>
  <c r="Y163"/>
  <c r="AB162"/>
  <c r="Y157"/>
  <c r="AB156"/>
  <c r="Y161"/>
  <c r="AB160"/>
  <c r="Y159"/>
  <c r="AB158"/>
  <c r="Y155"/>
  <c r="AB154"/>
  <c r="Y153"/>
  <c r="AB152"/>
  <c r="Y139"/>
  <c r="AB138"/>
  <c r="Y137"/>
  <c r="AB136"/>
  <c r="AC134"/>
  <c r="AA134"/>
  <c r="Y135"/>
  <c r="AB134"/>
  <c r="Y133"/>
  <c r="AB132"/>
  <c r="AC130"/>
  <c r="AA130"/>
  <c r="Y131"/>
  <c r="AB130"/>
  <c r="Y111"/>
  <c r="AB110"/>
  <c r="Y127"/>
  <c r="AB126"/>
  <c r="Y109"/>
  <c r="AB108"/>
  <c r="Y125"/>
  <c r="AB124"/>
  <c r="Y123"/>
  <c r="AB122"/>
  <c r="Y107"/>
  <c r="T106" s="1"/>
  <c r="AB106"/>
  <c r="Y105"/>
  <c r="AB104"/>
  <c r="Y103"/>
  <c r="AB102"/>
  <c r="AC100"/>
  <c r="AA100"/>
  <c r="Y101"/>
  <c r="AB100"/>
  <c r="Y113"/>
  <c r="AB112"/>
  <c r="Y121"/>
  <c r="AB120"/>
  <c r="Y119"/>
  <c r="AB118"/>
  <c r="Y117"/>
  <c r="AB116"/>
  <c r="AC114"/>
  <c r="AA114"/>
  <c r="Y115"/>
  <c r="AB114"/>
  <c r="Y95"/>
  <c r="AB94"/>
  <c r="Y97"/>
  <c r="AB96"/>
  <c r="Y93"/>
  <c r="AB92"/>
  <c r="AB86"/>
  <c r="Y85"/>
  <c r="AB84"/>
  <c r="Y91"/>
  <c r="AB90"/>
  <c r="Y89"/>
  <c r="AB88"/>
  <c r="Y81"/>
  <c r="AB80"/>
  <c r="Y79"/>
  <c r="AB78"/>
  <c r="Y71"/>
  <c r="AB70"/>
  <c r="AB68"/>
  <c r="Y67"/>
  <c r="Y73"/>
  <c r="AB72"/>
  <c r="Y77"/>
  <c r="AB76"/>
  <c r="Y75"/>
  <c r="AB74"/>
  <c r="Y63"/>
  <c r="AB62"/>
  <c r="Y45"/>
  <c r="AB44"/>
  <c r="Y43"/>
  <c r="AB42"/>
  <c r="Y61"/>
  <c r="AB60"/>
  <c r="Y59"/>
  <c r="AB58"/>
  <c r="Y57"/>
  <c r="AB56"/>
  <c r="Y55"/>
  <c r="AB54"/>
  <c r="Y53"/>
  <c r="AB52"/>
  <c r="Y51"/>
  <c r="AB50"/>
  <c r="Y47"/>
  <c r="AB46"/>
  <c r="Y37"/>
  <c r="AB36"/>
  <c r="Y35"/>
  <c r="AB34"/>
  <c r="Y33"/>
  <c r="AB32"/>
  <c r="Y31"/>
  <c r="AB30"/>
  <c r="Y29"/>
  <c r="AB28"/>
  <c r="Y27"/>
  <c r="AB26"/>
  <c r="Y25"/>
  <c r="AB24"/>
  <c r="Y23"/>
  <c r="AB22"/>
  <c r="Y39"/>
  <c r="AB38"/>
  <c r="Y21"/>
  <c r="AB20"/>
  <c r="Y19"/>
  <c r="AB18"/>
  <c r="Y17"/>
  <c r="AB16"/>
  <c r="Y15"/>
  <c r="AB14"/>
  <c r="Y13"/>
  <c r="Y12"/>
  <c r="AB12"/>
  <c r="Y11"/>
  <c r="AB10"/>
  <c r="Y9"/>
  <c r="Y8"/>
  <c r="AB8"/>
  <c r="Y7"/>
  <c r="Y6"/>
  <c r="AB6"/>
  <c r="Y5"/>
  <c r="Y4"/>
  <c r="T172"/>
  <c r="T174"/>
  <c r="T180"/>
  <c r="T184"/>
  <c r="T186"/>
  <c r="T170"/>
  <c r="T146"/>
  <c r="T148"/>
  <c r="T150"/>
  <c r="T152"/>
  <c r="T154"/>
  <c r="T156"/>
  <c r="T158"/>
  <c r="T160"/>
  <c r="T162"/>
  <c r="T164"/>
  <c r="T166"/>
  <c r="T144"/>
  <c r="T132"/>
  <c r="T134"/>
  <c r="T136"/>
  <c r="T138"/>
  <c r="T140"/>
  <c r="T130"/>
  <c r="T102"/>
  <c r="T104"/>
  <c r="T108"/>
  <c r="T110"/>
  <c r="T112"/>
  <c r="T114"/>
  <c r="T116"/>
  <c r="T118"/>
  <c r="T120"/>
  <c r="T122"/>
  <c r="T124"/>
  <c r="T126"/>
  <c r="T100"/>
  <c r="T86"/>
  <c r="T88"/>
  <c r="T90"/>
  <c r="T92"/>
  <c r="T94"/>
  <c r="T96"/>
  <c r="T84"/>
  <c r="T68"/>
  <c r="T70"/>
  <c r="T72"/>
  <c r="T74"/>
  <c r="T76"/>
  <c r="T78"/>
  <c r="T80"/>
  <c r="T66"/>
  <c r="T44"/>
  <c r="T46"/>
  <c r="T48"/>
  <c r="T50"/>
  <c r="T52"/>
  <c r="T54"/>
  <c r="T56"/>
  <c r="T58"/>
  <c r="T60"/>
  <c r="T62"/>
  <c r="T42"/>
  <c r="T8"/>
  <c r="T10"/>
  <c r="T12"/>
  <c r="T14"/>
  <c r="T16"/>
  <c r="T18"/>
  <c r="T20"/>
  <c r="T22"/>
  <c r="T24"/>
  <c r="T26"/>
  <c r="T28"/>
  <c r="T30"/>
  <c r="T32"/>
  <c r="T34"/>
  <c r="T36"/>
  <c r="T38"/>
  <c r="T6"/>
  <c r="T4"/>
  <c r="O75" l="1"/>
  <c r="O51"/>
  <c r="P15"/>
  <c r="P13"/>
  <c r="P11"/>
  <c r="O19"/>
  <c r="O5"/>
  <c r="AC90"/>
  <c r="AA90"/>
  <c r="AC88"/>
  <c r="AA88"/>
  <c r="AC76"/>
  <c r="AA76"/>
  <c r="AC66"/>
  <c r="AA66"/>
  <c r="AB64"/>
  <c r="AC64"/>
  <c r="AA64"/>
  <c r="AC62"/>
  <c r="AA62"/>
  <c r="AC52"/>
  <c r="AA52"/>
  <c r="AC50"/>
  <c r="AA50"/>
  <c r="AC48"/>
  <c r="AA48"/>
  <c r="AA38"/>
  <c r="AC34"/>
  <c r="AA34"/>
  <c r="AC30"/>
  <c r="AA30"/>
  <c r="AC28"/>
  <c r="AA28"/>
  <c r="AC12"/>
  <c r="AA12"/>
  <c r="AC186"/>
  <c r="AA186"/>
  <c r="AC182"/>
  <c r="AA182"/>
  <c r="AC180"/>
  <c r="AA180"/>
  <c r="AC178"/>
  <c r="AA178"/>
  <c r="AC176"/>
  <c r="AA176"/>
  <c r="AC172"/>
  <c r="AA172"/>
  <c r="AC102"/>
  <c r="AA102"/>
  <c r="AC140"/>
  <c r="AA140"/>
  <c r="AC138"/>
  <c r="AA138"/>
  <c r="AC136"/>
  <c r="AA136"/>
  <c r="AC166"/>
  <c r="AA166"/>
  <c r="AC164"/>
  <c r="AA164"/>
  <c r="AC162"/>
  <c r="AA162"/>
  <c r="AC156"/>
  <c r="AA156"/>
  <c r="AC154"/>
  <c r="AA154"/>
  <c r="AC150"/>
  <c r="AA150"/>
  <c r="AC146"/>
  <c r="AA146"/>
  <c r="AA144"/>
  <c r="AC16"/>
  <c r="AA16"/>
  <c r="AC94"/>
  <c r="AA94"/>
  <c r="AC14"/>
  <c r="AA14"/>
  <c r="AC32"/>
  <c r="AA32"/>
  <c r="AC160"/>
  <c r="AA160"/>
  <c r="AC132"/>
  <c r="AA132"/>
  <c r="AC158"/>
  <c r="AA158"/>
  <c r="AC152"/>
  <c r="AA152"/>
  <c r="AC118"/>
  <c r="AA118"/>
  <c r="AC112"/>
  <c r="AA112"/>
  <c r="AC92"/>
  <c r="AA92"/>
  <c r="AC58"/>
  <c r="AA58"/>
  <c r="AC44" l="1"/>
  <c r="AA44"/>
  <c r="AC42"/>
  <c r="AA42"/>
  <c r="AC20"/>
  <c r="AA20"/>
  <c r="AC6"/>
  <c r="AA6"/>
  <c r="AC110"/>
  <c r="AA110"/>
  <c r="AC126"/>
  <c r="AA126"/>
  <c r="AC108"/>
  <c r="AA108"/>
  <c r="AC124"/>
  <c r="AA124"/>
  <c r="AC122"/>
  <c r="AA122"/>
  <c r="AC104"/>
  <c r="AA104"/>
  <c r="AC120"/>
  <c r="AA120"/>
  <c r="AC116"/>
  <c r="AA116"/>
  <c r="AC96"/>
  <c r="AA96"/>
  <c r="AC86"/>
  <c r="AA86"/>
  <c r="AC84"/>
  <c r="AA84"/>
  <c r="AC78"/>
  <c r="AA78"/>
  <c r="AC70"/>
  <c r="AA70"/>
  <c r="AC68"/>
  <c r="AA68"/>
  <c r="AC74"/>
  <c r="AA74"/>
  <c r="AC26"/>
  <c r="AA26"/>
  <c r="AC60"/>
  <c r="AA60"/>
  <c r="AC54"/>
  <c r="AA54"/>
  <c r="AC46"/>
  <c r="AA46"/>
  <c r="AC36"/>
  <c r="AA36"/>
  <c r="AC24"/>
  <c r="AA24"/>
  <c r="AC22"/>
  <c r="AA22"/>
  <c r="AC18"/>
  <c r="AA18"/>
  <c r="AC10"/>
  <c r="AA10"/>
  <c r="AC8"/>
  <c r="AA8"/>
  <c r="V45"/>
  <c r="V47"/>
  <c r="V49"/>
  <c r="V51"/>
  <c r="V53"/>
  <c r="V55"/>
  <c r="V57"/>
  <c r="V59"/>
  <c r="V61"/>
  <c r="V63"/>
  <c r="V7"/>
  <c r="V9"/>
  <c r="V11"/>
  <c r="V13"/>
  <c r="V15"/>
  <c r="V17"/>
  <c r="V19"/>
  <c r="V21"/>
  <c r="V23"/>
  <c r="V25"/>
  <c r="V27"/>
  <c r="V29"/>
  <c r="V31"/>
  <c r="V33"/>
  <c r="V35"/>
  <c r="V37"/>
  <c r="V39"/>
  <c r="AD46"/>
  <c r="AD48"/>
  <c r="AD50"/>
  <c r="AD52"/>
  <c r="AD54"/>
  <c r="AD56"/>
  <c r="AD58"/>
  <c r="AD60"/>
  <c r="AD62"/>
  <c r="AD44"/>
  <c r="AD22"/>
  <c r="AD24"/>
  <c r="AD26"/>
  <c r="AD28"/>
  <c r="AD30"/>
  <c r="AD32"/>
  <c r="AD34"/>
  <c r="AD36"/>
  <c r="AD38"/>
  <c r="AD20"/>
  <c r="AD18"/>
  <c r="AD16"/>
  <c r="AD14"/>
  <c r="AD12"/>
  <c r="AD10"/>
  <c r="AD8"/>
  <c r="AD6"/>
  <c r="L64"/>
  <c r="O45"/>
  <c r="O47" s="1"/>
  <c r="O49" s="1"/>
  <c r="O53" s="1"/>
  <c r="O55" s="1"/>
  <c r="O57" s="1"/>
  <c r="O59" s="1"/>
  <c r="O61" s="1"/>
  <c r="O63" s="1"/>
  <c r="L40"/>
  <c r="O23"/>
  <c r="O25" s="1"/>
  <c r="O27" s="1"/>
  <c r="O29" s="1"/>
  <c r="O31" s="1"/>
  <c r="O33" s="1"/>
  <c r="O35" s="1"/>
  <c r="O37" s="1"/>
  <c r="O39" s="1"/>
  <c r="O7"/>
  <c r="O9" s="1"/>
  <c r="O11" s="1"/>
  <c r="O13" s="1"/>
  <c r="O15" s="1"/>
  <c r="O17" s="1"/>
  <c r="O21" s="1"/>
  <c r="AB168"/>
  <c r="V173"/>
  <c r="V175"/>
  <c r="V177"/>
  <c r="V179"/>
  <c r="V181"/>
  <c r="V183"/>
  <c r="V185"/>
  <c r="V187"/>
  <c r="V171"/>
  <c r="V147"/>
  <c r="V149"/>
  <c r="V151"/>
  <c r="V153"/>
  <c r="V155"/>
  <c r="V157"/>
  <c r="V159"/>
  <c r="V161"/>
  <c r="V163"/>
  <c r="V165"/>
  <c r="V167"/>
  <c r="V145"/>
  <c r="V133"/>
  <c r="V135"/>
  <c r="V137"/>
  <c r="V139"/>
  <c r="V141"/>
  <c r="V131"/>
  <c r="V103"/>
  <c r="V105"/>
  <c r="V107"/>
  <c r="V109"/>
  <c r="V111"/>
  <c r="V113"/>
  <c r="V115"/>
  <c r="V117"/>
  <c r="V119"/>
  <c r="V121"/>
  <c r="V123"/>
  <c r="V125"/>
  <c r="V127"/>
  <c r="V101"/>
  <c r="V87"/>
  <c r="V89"/>
  <c r="V91"/>
  <c r="V93"/>
  <c r="V95"/>
  <c r="V97"/>
  <c r="V85"/>
  <c r="AC82"/>
  <c r="AB82"/>
  <c r="Y83"/>
  <c r="Y82"/>
  <c r="W82"/>
  <c r="X82"/>
  <c r="V82"/>
  <c r="T82"/>
  <c r="N82"/>
  <c r="O82"/>
  <c r="P82"/>
  <c r="Q82"/>
  <c r="R82"/>
  <c r="S82"/>
  <c r="L82"/>
  <c r="M82"/>
  <c r="I82"/>
  <c r="J82"/>
  <c r="K82"/>
  <c r="F82"/>
  <c r="G82"/>
  <c r="H82"/>
  <c r="E82"/>
  <c r="D82"/>
  <c r="V71"/>
  <c r="V81"/>
  <c r="U80" s="1"/>
  <c r="S81"/>
  <c r="P81"/>
  <c r="O81"/>
  <c r="H81"/>
  <c r="G81"/>
  <c r="F81"/>
  <c r="AD80"/>
  <c r="Z80"/>
  <c r="S71"/>
  <c r="P71"/>
  <c r="O71"/>
  <c r="H71"/>
  <c r="G71"/>
  <c r="F71"/>
  <c r="AD70"/>
  <c r="Z70"/>
  <c r="U70"/>
  <c r="V69"/>
  <c r="V73"/>
  <c r="V75"/>
  <c r="V77"/>
  <c r="V79"/>
  <c r="V67"/>
  <c r="V43"/>
  <c r="V5"/>
  <c r="Z148"/>
  <c r="N40"/>
  <c r="AC188"/>
  <c r="AD40"/>
  <c r="V83" l="1"/>
  <c r="AA188"/>
  <c r="AC168"/>
  <c r="AA168"/>
  <c r="AC142"/>
  <c r="AA142"/>
  <c r="AC128"/>
  <c r="AA128"/>
  <c r="AC98"/>
  <c r="AA98"/>
  <c r="AA190" l="1"/>
  <c r="AC190"/>
  <c r="AB188"/>
  <c r="Z188"/>
  <c r="Y189"/>
  <c r="Y188"/>
  <c r="X188"/>
  <c r="W188"/>
  <c r="V188"/>
  <c r="S188"/>
  <c r="R188"/>
  <c r="Q188"/>
  <c r="P188"/>
  <c r="O188"/>
  <c r="N188"/>
  <c r="M188"/>
  <c r="L188"/>
  <c r="K188"/>
  <c r="J188"/>
  <c r="I188"/>
  <c r="H188"/>
  <c r="G188"/>
  <c r="F188"/>
  <c r="E188"/>
  <c r="D188"/>
  <c r="Z168"/>
  <c r="Y169"/>
  <c r="Y168"/>
  <c r="X168"/>
  <c r="W168"/>
  <c r="V168"/>
  <c r="S168"/>
  <c r="R168"/>
  <c r="P168"/>
  <c r="N168"/>
  <c r="M168"/>
  <c r="L168"/>
  <c r="K168"/>
  <c r="J168"/>
  <c r="G169" s="1"/>
  <c r="I168"/>
  <c r="H168"/>
  <c r="G168"/>
  <c r="F168"/>
  <c r="E168"/>
  <c r="D168"/>
  <c r="AB142"/>
  <c r="Z142"/>
  <c r="Y143"/>
  <c r="Y142"/>
  <c r="X142"/>
  <c r="W142"/>
  <c r="V142"/>
  <c r="S142"/>
  <c r="R142"/>
  <c r="Q142"/>
  <c r="P142"/>
  <c r="O142"/>
  <c r="N142"/>
  <c r="M142"/>
  <c r="L142"/>
  <c r="K142"/>
  <c r="J142"/>
  <c r="I142"/>
  <c r="H142"/>
  <c r="G142"/>
  <c r="F142"/>
  <c r="E142"/>
  <c r="D142"/>
  <c r="AB128"/>
  <c r="Y129"/>
  <c r="Y128"/>
  <c r="X128"/>
  <c r="W128"/>
  <c r="V128"/>
  <c r="S128"/>
  <c r="R128"/>
  <c r="Q128"/>
  <c r="P128"/>
  <c r="O128"/>
  <c r="N128"/>
  <c r="M128"/>
  <c r="L128"/>
  <c r="K128"/>
  <c r="J128"/>
  <c r="G129" s="1"/>
  <c r="I128"/>
  <c r="H128"/>
  <c r="G128"/>
  <c r="F128"/>
  <c r="E128"/>
  <c r="D128"/>
  <c r="AB98"/>
  <c r="Z98"/>
  <c r="Y99"/>
  <c r="Y98"/>
  <c r="X98"/>
  <c r="W98"/>
  <c r="V98"/>
  <c r="S98"/>
  <c r="R98"/>
  <c r="Q98"/>
  <c r="P98"/>
  <c r="O98"/>
  <c r="N98"/>
  <c r="M98"/>
  <c r="L98"/>
  <c r="K98"/>
  <c r="J98"/>
  <c r="G99" s="1"/>
  <c r="I98"/>
  <c r="H98"/>
  <c r="G98"/>
  <c r="F98"/>
  <c r="E98"/>
  <c r="D98"/>
  <c r="G83"/>
  <c r="Z64"/>
  <c r="Y65"/>
  <c r="Y64"/>
  <c r="X64"/>
  <c r="W64"/>
  <c r="V64"/>
  <c r="S64"/>
  <c r="R64"/>
  <c r="Q64"/>
  <c r="Q190" s="1"/>
  <c r="P64"/>
  <c r="O64"/>
  <c r="N64"/>
  <c r="M64"/>
  <c r="K64"/>
  <c r="J64"/>
  <c r="G65" s="1"/>
  <c r="I64"/>
  <c r="H64"/>
  <c r="G64"/>
  <c r="F64"/>
  <c r="E64"/>
  <c r="D64"/>
  <c r="AB40"/>
  <c r="Z40"/>
  <c r="Y41"/>
  <c r="Y40"/>
  <c r="W40"/>
  <c r="V40"/>
  <c r="V190" s="1"/>
  <c r="S40"/>
  <c r="R40"/>
  <c r="Q40"/>
  <c r="P40"/>
  <c r="O40"/>
  <c r="O41" s="1"/>
  <c r="M40"/>
  <c r="K40"/>
  <c r="J40"/>
  <c r="I40"/>
  <c r="H40"/>
  <c r="S187"/>
  <c r="P187"/>
  <c r="O187"/>
  <c r="S185"/>
  <c r="P185"/>
  <c r="O185"/>
  <c r="S183"/>
  <c r="P183"/>
  <c r="O183"/>
  <c r="S181"/>
  <c r="P181"/>
  <c r="O181"/>
  <c r="S179"/>
  <c r="P179"/>
  <c r="O179"/>
  <c r="S177"/>
  <c r="P177"/>
  <c r="O177"/>
  <c r="S175"/>
  <c r="P175"/>
  <c r="O175"/>
  <c r="S173"/>
  <c r="P173"/>
  <c r="O173"/>
  <c r="S171"/>
  <c r="P171"/>
  <c r="O171"/>
  <c r="S167"/>
  <c r="P167"/>
  <c r="O167"/>
  <c r="S165"/>
  <c r="P165"/>
  <c r="O165"/>
  <c r="S163"/>
  <c r="P163"/>
  <c r="O163"/>
  <c r="S161"/>
  <c r="P161"/>
  <c r="O161"/>
  <c r="S159"/>
  <c r="P159"/>
  <c r="O159"/>
  <c r="S157"/>
  <c r="P157"/>
  <c r="O157"/>
  <c r="S155"/>
  <c r="P155"/>
  <c r="O155"/>
  <c r="S153"/>
  <c r="P153"/>
  <c r="O153"/>
  <c r="S151"/>
  <c r="P151"/>
  <c r="O151"/>
  <c r="S149"/>
  <c r="P149"/>
  <c r="O149"/>
  <c r="S147"/>
  <c r="P147"/>
  <c r="O147"/>
  <c r="S145"/>
  <c r="P145"/>
  <c r="O145"/>
  <c r="S141"/>
  <c r="P141"/>
  <c r="O141"/>
  <c r="S139"/>
  <c r="P139"/>
  <c r="O139"/>
  <c r="S137"/>
  <c r="P137"/>
  <c r="O137"/>
  <c r="S135"/>
  <c r="P135"/>
  <c r="O135"/>
  <c r="S133"/>
  <c r="P133"/>
  <c r="O133"/>
  <c r="S131"/>
  <c r="P131"/>
  <c r="O131"/>
  <c r="S127"/>
  <c r="P127"/>
  <c r="O127"/>
  <c r="S125"/>
  <c r="P125"/>
  <c r="O125"/>
  <c r="S123"/>
  <c r="P123"/>
  <c r="O123"/>
  <c r="S121"/>
  <c r="P121"/>
  <c r="O121"/>
  <c r="S119"/>
  <c r="P119"/>
  <c r="O119"/>
  <c r="S117"/>
  <c r="P117"/>
  <c r="O117"/>
  <c r="S115"/>
  <c r="P115"/>
  <c r="O115"/>
  <c r="S113"/>
  <c r="P113"/>
  <c r="O113"/>
  <c r="S111"/>
  <c r="P111"/>
  <c r="O111"/>
  <c r="S109"/>
  <c r="P109"/>
  <c r="O109"/>
  <c r="S107"/>
  <c r="P107"/>
  <c r="O107"/>
  <c r="S105"/>
  <c r="P105"/>
  <c r="O105"/>
  <c r="S103"/>
  <c r="P103"/>
  <c r="O103"/>
  <c r="S101"/>
  <c r="P101"/>
  <c r="O101"/>
  <c r="S97"/>
  <c r="P97"/>
  <c r="O97"/>
  <c r="S95"/>
  <c r="P95"/>
  <c r="O95"/>
  <c r="S93"/>
  <c r="P93"/>
  <c r="O93"/>
  <c r="S91"/>
  <c r="P91"/>
  <c r="O91"/>
  <c r="S89"/>
  <c r="P89"/>
  <c r="O89"/>
  <c r="S87"/>
  <c r="P87"/>
  <c r="O87"/>
  <c r="S85"/>
  <c r="P85"/>
  <c r="O85"/>
  <c r="S79"/>
  <c r="P79"/>
  <c r="O79"/>
  <c r="S77"/>
  <c r="P77"/>
  <c r="O77"/>
  <c r="S75"/>
  <c r="P75"/>
  <c r="S73"/>
  <c r="P73"/>
  <c r="O73"/>
  <c r="S69"/>
  <c r="P69"/>
  <c r="O69"/>
  <c r="S67"/>
  <c r="P67"/>
  <c r="O67"/>
  <c r="S63"/>
  <c r="P63"/>
  <c r="S61"/>
  <c r="P61"/>
  <c r="S59"/>
  <c r="P59"/>
  <c r="S57"/>
  <c r="P57"/>
  <c r="S55"/>
  <c r="P55"/>
  <c r="S53"/>
  <c r="P53"/>
  <c r="S51"/>
  <c r="P51"/>
  <c r="S49"/>
  <c r="P49"/>
  <c r="S47"/>
  <c r="P47"/>
  <c r="S45"/>
  <c r="P45"/>
  <c r="S43"/>
  <c r="P43"/>
  <c r="O43"/>
  <c r="S39"/>
  <c r="P39"/>
  <c r="S37"/>
  <c r="P37"/>
  <c r="S35"/>
  <c r="P35"/>
  <c r="S33"/>
  <c r="P33"/>
  <c r="S31"/>
  <c r="P31"/>
  <c r="S29"/>
  <c r="P29"/>
  <c r="S27"/>
  <c r="P27"/>
  <c r="S25"/>
  <c r="P25"/>
  <c r="S23"/>
  <c r="P23"/>
  <c r="S21"/>
  <c r="P21"/>
  <c r="S19"/>
  <c r="P19"/>
  <c r="S17"/>
  <c r="P17"/>
  <c r="S15"/>
  <c r="S13"/>
  <c r="S11"/>
  <c r="S9"/>
  <c r="P9"/>
  <c r="S7"/>
  <c r="P7"/>
  <c r="H187"/>
  <c r="G187"/>
  <c r="F187"/>
  <c r="H185"/>
  <c r="G185"/>
  <c r="F185"/>
  <c r="H183"/>
  <c r="G183"/>
  <c r="F183"/>
  <c r="H181"/>
  <c r="G181"/>
  <c r="F181"/>
  <c r="H179"/>
  <c r="G179"/>
  <c r="F179"/>
  <c r="H177"/>
  <c r="G177"/>
  <c r="F177"/>
  <c r="H175"/>
  <c r="G175"/>
  <c r="F175"/>
  <c r="H173"/>
  <c r="G173"/>
  <c r="F173"/>
  <c r="H171"/>
  <c r="G171"/>
  <c r="F171"/>
  <c r="H167"/>
  <c r="G167"/>
  <c r="F167"/>
  <c r="H165"/>
  <c r="G165"/>
  <c r="F165"/>
  <c r="H163"/>
  <c r="G163"/>
  <c r="F163"/>
  <c r="H161"/>
  <c r="G161"/>
  <c r="F161"/>
  <c r="H159"/>
  <c r="G159"/>
  <c r="F159"/>
  <c r="H157"/>
  <c r="G157"/>
  <c r="F157"/>
  <c r="H155"/>
  <c r="G155"/>
  <c r="F155"/>
  <c r="H153"/>
  <c r="G153"/>
  <c r="F153"/>
  <c r="H151"/>
  <c r="G151"/>
  <c r="F151"/>
  <c r="H149"/>
  <c r="G149"/>
  <c r="F149"/>
  <c r="H147"/>
  <c r="G147"/>
  <c r="F147"/>
  <c r="H145"/>
  <c r="G145"/>
  <c r="F145"/>
  <c r="H141"/>
  <c r="G141"/>
  <c r="F141"/>
  <c r="H139"/>
  <c r="G139"/>
  <c r="F139"/>
  <c r="H137"/>
  <c r="G137"/>
  <c r="F137"/>
  <c r="H135"/>
  <c r="G135"/>
  <c r="F135"/>
  <c r="H133"/>
  <c r="G133"/>
  <c r="F133"/>
  <c r="H131"/>
  <c r="G131"/>
  <c r="F131"/>
  <c r="H127"/>
  <c r="G127"/>
  <c r="F127"/>
  <c r="H125"/>
  <c r="G125"/>
  <c r="F125"/>
  <c r="H123"/>
  <c r="G123"/>
  <c r="F123"/>
  <c r="H121"/>
  <c r="G121"/>
  <c r="F121"/>
  <c r="H119"/>
  <c r="G119"/>
  <c r="F119"/>
  <c r="H117"/>
  <c r="G117"/>
  <c r="F117"/>
  <c r="H115"/>
  <c r="G115"/>
  <c r="F115"/>
  <c r="H113"/>
  <c r="G113"/>
  <c r="F113"/>
  <c r="H111"/>
  <c r="G111"/>
  <c r="F111"/>
  <c r="H109"/>
  <c r="G109"/>
  <c r="F109"/>
  <c r="H107"/>
  <c r="G107"/>
  <c r="F107"/>
  <c r="H105"/>
  <c r="G105"/>
  <c r="F105"/>
  <c r="H103"/>
  <c r="G103"/>
  <c r="F103"/>
  <c r="H101"/>
  <c r="G101"/>
  <c r="F101"/>
  <c r="H97"/>
  <c r="G97"/>
  <c r="F97"/>
  <c r="H95"/>
  <c r="G95"/>
  <c r="F95"/>
  <c r="H93"/>
  <c r="G93"/>
  <c r="F93"/>
  <c r="H91"/>
  <c r="G91"/>
  <c r="F91"/>
  <c r="H89"/>
  <c r="G89"/>
  <c r="F89"/>
  <c r="H87"/>
  <c r="G87"/>
  <c r="F87"/>
  <c r="H85"/>
  <c r="G85"/>
  <c r="F85"/>
  <c r="H79"/>
  <c r="G79"/>
  <c r="F79"/>
  <c r="H77"/>
  <c r="G77"/>
  <c r="F77"/>
  <c r="H75"/>
  <c r="G75"/>
  <c r="F75"/>
  <c r="H73"/>
  <c r="G73"/>
  <c r="F73"/>
  <c r="H69"/>
  <c r="G69"/>
  <c r="F69"/>
  <c r="H67"/>
  <c r="G67"/>
  <c r="F67"/>
  <c r="H53"/>
  <c r="G53"/>
  <c r="F53"/>
  <c r="H51"/>
  <c r="G51"/>
  <c r="F51"/>
  <c r="H49"/>
  <c r="G49"/>
  <c r="F49"/>
  <c r="H47"/>
  <c r="G47"/>
  <c r="F47"/>
  <c r="H45"/>
  <c r="G45"/>
  <c r="F45"/>
  <c r="H43"/>
  <c r="G43"/>
  <c r="F43"/>
  <c r="H21"/>
  <c r="G21"/>
  <c r="F21"/>
  <c r="H19"/>
  <c r="G19"/>
  <c r="F19"/>
  <c r="H17"/>
  <c r="G17"/>
  <c r="F17"/>
  <c r="H15"/>
  <c r="G15"/>
  <c r="F15"/>
  <c r="H13"/>
  <c r="G13"/>
  <c r="F13"/>
  <c r="H11"/>
  <c r="G11"/>
  <c r="F11"/>
  <c r="H9"/>
  <c r="G9"/>
  <c r="F9"/>
  <c r="F7"/>
  <c r="H7"/>
  <c r="G7"/>
  <c r="U186"/>
  <c r="U184"/>
  <c r="U182"/>
  <c r="U180"/>
  <c r="U178"/>
  <c r="U176"/>
  <c r="U174"/>
  <c r="U172"/>
  <c r="U170"/>
  <c r="U166"/>
  <c r="U164"/>
  <c r="U162"/>
  <c r="U160"/>
  <c r="U158"/>
  <c r="U156"/>
  <c r="U154"/>
  <c r="U152"/>
  <c r="U150"/>
  <c r="U148"/>
  <c r="U146"/>
  <c r="U144"/>
  <c r="U140"/>
  <c r="U138"/>
  <c r="U136"/>
  <c r="U134"/>
  <c r="U132"/>
  <c r="U130"/>
  <c r="U126"/>
  <c r="U124"/>
  <c r="U122"/>
  <c r="U120"/>
  <c r="U118"/>
  <c r="U116"/>
  <c r="U114"/>
  <c r="U112"/>
  <c r="U110"/>
  <c r="U108"/>
  <c r="U106"/>
  <c r="U104"/>
  <c r="U102"/>
  <c r="U100"/>
  <c r="U96"/>
  <c r="U94"/>
  <c r="U92"/>
  <c r="U90"/>
  <c r="U88"/>
  <c r="U86"/>
  <c r="U84"/>
  <c r="U78"/>
  <c r="U76"/>
  <c r="U74"/>
  <c r="U72"/>
  <c r="U68"/>
  <c r="U66"/>
  <c r="U62"/>
  <c r="U60"/>
  <c r="U58"/>
  <c r="U56"/>
  <c r="U54"/>
  <c r="U52"/>
  <c r="U50"/>
  <c r="U48"/>
  <c r="U46"/>
  <c r="U44"/>
  <c r="U42"/>
  <c r="U38"/>
  <c r="U36"/>
  <c r="U34"/>
  <c r="U32"/>
  <c r="U30"/>
  <c r="U28"/>
  <c r="U26"/>
  <c r="U24"/>
  <c r="U22"/>
  <c r="U20"/>
  <c r="U18"/>
  <c r="U16"/>
  <c r="U14"/>
  <c r="U12"/>
  <c r="U10"/>
  <c r="U8"/>
  <c r="U6"/>
  <c r="U4"/>
  <c r="S5"/>
  <c r="P5"/>
  <c r="H5"/>
  <c r="G5"/>
  <c r="F5"/>
  <c r="W190" l="1"/>
  <c r="S190"/>
  <c r="N190"/>
  <c r="H190"/>
  <c r="F190"/>
  <c r="D190"/>
  <c r="Y190"/>
  <c r="L190"/>
  <c r="G41"/>
  <c r="J190"/>
  <c r="E190"/>
  <c r="G190"/>
  <c r="I190"/>
  <c r="K190"/>
  <c r="M190"/>
  <c r="P190"/>
  <c r="X190"/>
  <c r="Y191"/>
  <c r="AB190"/>
  <c r="S41"/>
  <c r="Z128"/>
  <c r="G143"/>
  <c r="Z82"/>
  <c r="T40"/>
  <c r="T142"/>
  <c r="F83"/>
  <c r="H83"/>
  <c r="O83"/>
  <c r="S83"/>
  <c r="F99"/>
  <c r="H99"/>
  <c r="O99"/>
  <c r="S99"/>
  <c r="F129"/>
  <c r="H129"/>
  <c r="O129"/>
  <c r="S129"/>
  <c r="F143"/>
  <c r="H143"/>
  <c r="S143"/>
  <c r="F169"/>
  <c r="H169"/>
  <c r="T188"/>
  <c r="P83"/>
  <c r="P99"/>
  <c r="P129"/>
  <c r="P143"/>
  <c r="P169"/>
  <c r="AD82"/>
  <c r="AD98"/>
  <c r="AD128"/>
  <c r="O143"/>
  <c r="AD142"/>
  <c r="O169"/>
  <c r="S169"/>
  <c r="AD168"/>
  <c r="S189"/>
  <c r="T168"/>
  <c r="V129"/>
  <c r="U128" s="1"/>
  <c r="V189"/>
  <c r="U188" s="1"/>
  <c r="AD188"/>
  <c r="O189"/>
  <c r="F189"/>
  <c r="H189"/>
  <c r="F41"/>
  <c r="H41"/>
  <c r="F65"/>
  <c r="H65"/>
  <c r="O65"/>
  <c r="S65"/>
  <c r="U82"/>
  <c r="V99"/>
  <c r="U98" s="1"/>
  <c r="V143"/>
  <c r="U142" s="1"/>
  <c r="V169"/>
  <c r="U168" s="1"/>
  <c r="P189"/>
  <c r="G189"/>
  <c r="T128"/>
  <c r="T98"/>
  <c r="P41"/>
  <c r="P65"/>
  <c r="AD64"/>
  <c r="T64"/>
  <c r="V41"/>
  <c r="V65"/>
  <c r="U64" s="1"/>
  <c r="AD178"/>
  <c r="AD74"/>
  <c r="AD4"/>
  <c r="AD76"/>
  <c r="AD184"/>
  <c r="AD154"/>
  <c r="AD158"/>
  <c r="AD88"/>
  <c r="AD172"/>
  <c r="AD90"/>
  <c r="AD160"/>
  <c r="AD114"/>
  <c r="AD72"/>
  <c r="AD156"/>
  <c r="AD130"/>
  <c r="AD180"/>
  <c r="AD116"/>
  <c r="AD162"/>
  <c r="AD164"/>
  <c r="AD118"/>
  <c r="AD120"/>
  <c r="AD112"/>
  <c r="AD174"/>
  <c r="AD66"/>
  <c r="AD144"/>
  <c r="AD100"/>
  <c r="AD146"/>
  <c r="AD84"/>
  <c r="AD86"/>
  <c r="AD68"/>
  <c r="AD42"/>
  <c r="AD102"/>
  <c r="AD104"/>
  <c r="AD170"/>
  <c r="AD92"/>
  <c r="AD106"/>
  <c r="AD148"/>
  <c r="AD150"/>
  <c r="AD78"/>
  <c r="AD122"/>
  <c r="AD124"/>
  <c r="AD182"/>
  <c r="AD132"/>
  <c r="AD96"/>
  <c r="AD166"/>
  <c r="AD134"/>
  <c r="AD108"/>
  <c r="AD126"/>
  <c r="AD176"/>
  <c r="AD136"/>
  <c r="AD140"/>
  <c r="AD94"/>
  <c r="AD110"/>
  <c r="AD186"/>
  <c r="AD138"/>
  <c r="AD152"/>
  <c r="Z178"/>
  <c r="Z46"/>
  <c r="Z74"/>
  <c r="Z4"/>
  <c r="Z6"/>
  <c r="Z8"/>
  <c r="Z76"/>
  <c r="Z50"/>
  <c r="Z10"/>
  <c r="Z38"/>
  <c r="Z62"/>
  <c r="Z184"/>
  <c r="Z154"/>
  <c r="Z12"/>
  <c r="Z158"/>
  <c r="Z88"/>
  <c r="Z52"/>
  <c r="Z14"/>
  <c r="Z172"/>
  <c r="Z90"/>
  <c r="Z160"/>
  <c r="Z114"/>
  <c r="Z16"/>
  <c r="Z72"/>
  <c r="Z156"/>
  <c r="Z130"/>
  <c r="Z18"/>
  <c r="Z54"/>
  <c r="Z20"/>
  <c r="Z180"/>
  <c r="Z22"/>
  <c r="Z56"/>
  <c r="Z48"/>
  <c r="Z116"/>
  <c r="Z58"/>
  <c r="Z162"/>
  <c r="Z164"/>
  <c r="Z118"/>
  <c r="Z24"/>
  <c r="Z120"/>
  <c r="Z112"/>
  <c r="Z174"/>
  <c r="Z60"/>
  <c r="Z66"/>
  <c r="Z144"/>
  <c r="Z100"/>
  <c r="Z146"/>
  <c r="Z84"/>
  <c r="Z86"/>
  <c r="Z68"/>
  <c r="Z42"/>
  <c r="Z44"/>
  <c r="Z102"/>
  <c r="Z104"/>
  <c r="Z170"/>
  <c r="Z92"/>
  <c r="Z106"/>
  <c r="Z150"/>
  <c r="Z78"/>
  <c r="Z26"/>
  <c r="Z122"/>
  <c r="Z124"/>
  <c r="Z182"/>
  <c r="Z132"/>
  <c r="Z28"/>
  <c r="Z96"/>
  <c r="Z30"/>
  <c r="Z32"/>
  <c r="Z166"/>
  <c r="Z34"/>
  <c r="Z134"/>
  <c r="Z108"/>
  <c r="Z126"/>
  <c r="Z176"/>
  <c r="Z136"/>
  <c r="Z140"/>
  <c r="Z94"/>
  <c r="Z110"/>
  <c r="Z186"/>
  <c r="Z138"/>
  <c r="Z36"/>
  <c r="Z152"/>
  <c r="V191" l="1"/>
  <c r="U190" s="1"/>
  <c r="T190"/>
  <c r="U40"/>
  <c r="AD190"/>
  <c r="F191"/>
  <c r="S191"/>
  <c r="P191"/>
  <c r="O191"/>
  <c r="H191"/>
  <c r="Z190"/>
  <c r="G191"/>
</calcChain>
</file>

<file path=xl/sharedStrings.xml><?xml version="1.0" encoding="utf-8"?>
<sst xmlns="http://schemas.openxmlformats.org/spreadsheetml/2006/main" count="332" uniqueCount="134">
  <si>
    <t>Субъект РФ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</si>
  <si>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</si>
  <si>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</si>
  <si>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</si>
  <si>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</si>
  <si>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</si>
  <si>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</si>
  <si>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</si>
  <si>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</si>
  <si>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</si>
  <si>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</si>
  <si>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</si>
  <si>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</si>
  <si>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</si>
  <si>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</si>
  <si>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</si>
  <si>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</si>
  <si>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</si>
  <si>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</si>
  <si>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Центральный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</si>
  <si>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</si>
  <si>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</si>
  <si>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</si>
  <si>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</si>
  <si>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</si>
  <si>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</si>
  <si>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</si>
  <si>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</si>
  <si>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</si>
  <si>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</si>
  <si>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Северо-Западный федеральный округ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</si>
  <si>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</si>
  <si>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</si>
  <si>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</si>
  <si>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</si>
  <si>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</si>
  <si>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</si>
  <si>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Южный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</si>
  <si>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</si>
  <si>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</si>
  <si>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</si>
  <si>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</si>
  <si>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</si>
  <si>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</si>
  <si>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</si>
  <si>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Северо-Кавказский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</si>
  <si>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</si>
  <si>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</si>
  <si>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</si>
  <si>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</si>
  <si>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</si>
  <si>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Республика-Чувашия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</si>
  <si>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</si>
  <si>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</si>
  <si>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</si>
  <si>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</si>
  <si>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</si>
  <si>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</si>
  <si>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</si>
  <si>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</si>
  <si>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Приволжский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</si>
  <si>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</si>
  <si>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</si>
  <si>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</si>
  <si>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</t>
  </si>
  <si>
    <t>Ямало-Ненецкий автономный округ</t>
  </si>
  <si>
    <t>Челябинская область</t>
  </si>
  <si>
    <t>Уральский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</si>
  <si>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</si>
  <si>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</si>
  <si>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</si>
  <si>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</si>
  <si>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</si>
  <si>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</si>
  <si>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</si>
  <si>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</si>
  <si>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</si>
  <si>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</si>
  <si>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</si>
  <si>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</si>
  <si>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Сибирский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</si>
  <si>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</si>
  <si>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</si>
  <si>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</si>
  <si>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</si>
  <si>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</si>
  <si>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</si>
  <si>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</si>
  <si>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</si>
  <si>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</si>
  <si>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Дальневосточный федеральный округ</t>
  </si>
  <si>
    <t>Российская Федерация</t>
  </si>
  <si>
    <t>Кадры</t>
  </si>
  <si>
    <t>Численность занимающихся в клубах, в том числе по месту жительства</t>
  </si>
  <si>
    <t>Количество учащихся отнесеных к спецмед-группе</t>
  </si>
  <si>
    <t>Из них посещают занятия в спецмед-группе</t>
  </si>
  <si>
    <t>Численность занимающихся группах и секциях по видам спорта</t>
  </si>
  <si>
    <t>Спортивные сооружения</t>
  </si>
  <si>
    <t>Всего</t>
  </si>
  <si>
    <t>Плоскостные спорт-сооружения</t>
  </si>
  <si>
    <t>Залы</t>
  </si>
  <si>
    <t>Бассейны</t>
  </si>
  <si>
    <t>Площадь спортивных сооружений</t>
  </si>
  <si>
    <t>Численность занимающихся</t>
  </si>
  <si>
    <t>из них женщины</t>
  </si>
  <si>
    <t>Подготовлено разрядников</t>
  </si>
  <si>
    <t>ЕПС факт</t>
  </si>
  <si>
    <t>ЕПС норма</t>
  </si>
  <si>
    <t>Численность занимающихся на предприятиях, в учреждениях, организациях</t>
  </si>
  <si>
    <t>Численность занимающихся в учреждениях дополнительного образования</t>
  </si>
  <si>
    <t>Спортивные звания</t>
  </si>
  <si>
    <t>Массовые разряды</t>
  </si>
  <si>
    <t>Финансирование физической культуры и спорта (тыс.руб.)</t>
  </si>
  <si>
    <t>Внебюджетные средства</t>
  </si>
  <si>
    <t>Финансиро-вание ФКиС
на 1 жителя (руб.)</t>
  </si>
  <si>
    <t>% внебюд-жетных</t>
  </si>
  <si>
    <t>Всего израсхо-довано на ФКиС</t>
  </si>
  <si>
    <t>% от норма-тива ЕПС</t>
  </si>
  <si>
    <t>Плоскост-
ные спорт-сооружения</t>
  </si>
  <si>
    <t>Ненецкий автономный округ</t>
  </si>
  <si>
    <t>Женщины</t>
  </si>
  <si>
    <t>ЦФО</t>
  </si>
  <si>
    <t>СЗФО</t>
  </si>
  <si>
    <t>ЮФО</t>
  </si>
  <si>
    <t>СКФО</t>
  </si>
  <si>
    <t>ПФО</t>
  </si>
  <si>
    <t>УФО</t>
  </si>
  <si>
    <t>СФО</t>
  </si>
  <si>
    <t>ДФО</t>
  </si>
  <si>
    <t>РФ</t>
  </si>
  <si>
    <t>Стадионы</t>
  </si>
  <si>
    <t>Население 3-79</t>
  </si>
  <si>
    <t>Республика Крым</t>
  </si>
  <si>
    <t>г. Севастополь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</si>
</sst>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0.0%"/>
    <numFmt numFmtId="165" formatCode="#,##0.0"/>
  </numFmts>
  <fonts count="1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8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  <font>
      <sz val="7"/>
      <color theme="1"/>
      <name val="Arial"/>
      <family val="2"/>
      <charset val="204"/>
    </font>
    <font>
      <sz val="7"/>
      <name val="Arial"/>
      <family val="2"/>
      <charset val="204"/>
    </font>
    <font>
      <sz val="7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4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9" applyFont="1" applyBorder="1" applyAlignment="1">
      <alignment horizontal="center" vertical="center" wrapText="1"/>
    </xf>
    <xf numFmtId="0" fontId="5" fillId="0" borderId="0" xfId="0" applyFont="1" applyBorder="1" applyAlignment="1"/>
    <xf numFmtId="0" fontId="5" fillId="3" borderId="0" xfId="0" applyFont="1" applyFill="1" applyBorder="1" applyAlignment="1"/>
    <xf numFmtId="0" fontId="7" fillId="0" borderId="0" xfId="0" applyFont="1" applyBorder="1" applyAlignment="1"/>
    <xf numFmtId="0" fontId="2" fillId="2" borderId="1" xfId="7" applyFont="1" applyFill="1" applyBorder="1" applyAlignment="1">
      <alignment horizontal="center" vertical="center" wrapText="1"/>
    </xf>
    <xf numFmtId="3" fontId="10" fillId="0" borderId="2" xfId="0" applyNumberFormat="1" applyFont="1" applyBorder="1"/>
    <xf numFmtId="3" fontId="10" fillId="3" borderId="2" xfId="0" applyNumberFormat="1" applyFont="1" applyFill="1" applyBorder="1"/>
    <xf numFmtId="3" fontId="10" fillId="0" borderId="2" xfId="0" applyNumberFormat="1" applyFont="1" applyBorder="1" applyAlignment="1"/>
    <xf numFmtId="164" fontId="10" fillId="0" borderId="2" xfId="11" applyNumberFormat="1" applyFont="1" applyBorder="1" applyAlignment="1"/>
    <xf numFmtId="165" fontId="10" fillId="0" borderId="2" xfId="0" applyNumberFormat="1" applyFont="1" applyBorder="1"/>
    <xf numFmtId="3" fontId="10" fillId="0" borderId="3" xfId="0" applyNumberFormat="1" applyFont="1" applyBorder="1"/>
    <xf numFmtId="164" fontId="10" fillId="0" borderId="3" xfId="11" applyNumberFormat="1" applyFont="1" applyBorder="1"/>
    <xf numFmtId="3" fontId="10" fillId="3" borderId="3" xfId="0" applyNumberFormat="1" applyFont="1" applyFill="1" applyBorder="1"/>
    <xf numFmtId="0" fontId="10" fillId="0" borderId="3" xfId="0" applyFont="1" applyBorder="1" applyAlignment="1"/>
    <xf numFmtId="164" fontId="10" fillId="0" borderId="3" xfId="11" applyNumberFormat="1" applyFont="1" applyBorder="1" applyAlignment="1"/>
    <xf numFmtId="165" fontId="10" fillId="0" borderId="3" xfId="0" applyNumberFormat="1" applyFont="1" applyBorder="1"/>
    <xf numFmtId="3" fontId="2" fillId="3" borderId="7" xfId="0" applyNumberFormat="1" applyFont="1" applyFill="1" applyBorder="1"/>
    <xf numFmtId="0" fontId="6" fillId="0" borderId="0" xfId="0" applyFont="1" applyBorder="1" applyAlignment="1"/>
    <xf numFmtId="164" fontId="2" fillId="0" borderId="2" xfId="11" applyNumberFormat="1" applyFont="1" applyBorder="1" applyAlignment="1"/>
    <xf numFmtId="165" fontId="2" fillId="0" borderId="2" xfId="0" applyNumberFormat="1" applyFont="1" applyBorder="1"/>
    <xf numFmtId="164" fontId="2" fillId="0" borderId="3" xfId="11" applyNumberFormat="1" applyFont="1" applyBorder="1"/>
    <xf numFmtId="3" fontId="2" fillId="0" borderId="2" xfId="0" applyNumberFormat="1" applyFont="1" applyBorder="1"/>
    <xf numFmtId="3" fontId="2" fillId="3" borderId="2" xfId="0" applyNumberFormat="1" applyFont="1" applyFill="1" applyBorder="1"/>
    <xf numFmtId="3" fontId="2" fillId="0" borderId="3" xfId="0" applyNumberFormat="1" applyFont="1" applyBorder="1"/>
    <xf numFmtId="3" fontId="2" fillId="3" borderId="3" xfId="0" applyNumberFormat="1" applyFont="1" applyFill="1" applyBorder="1"/>
    <xf numFmtId="0" fontId="2" fillId="0" borderId="3" xfId="0" applyFont="1" applyBorder="1" applyAlignment="1"/>
    <xf numFmtId="164" fontId="2" fillId="0" borderId="3" xfId="11" applyNumberFormat="1" applyFont="1" applyBorder="1" applyAlignment="1"/>
    <xf numFmtId="165" fontId="2" fillId="0" borderId="3" xfId="0" applyNumberFormat="1" applyFont="1" applyBorder="1"/>
    <xf numFmtId="0" fontId="9" fillId="3" borderId="2" xfId="6" applyFont="1" applyFill="1" applyBorder="1" applyAlignment="1">
      <alignment horizontal="center" vertical="center" wrapText="1"/>
    </xf>
    <xf numFmtId="0" fontId="8" fillId="0" borderId="0" xfId="0" applyFont="1" applyFill="1" applyAlignment="1"/>
    <xf numFmtId="0" fontId="9" fillId="0" borderId="0" xfId="0" applyFont="1" applyFill="1" applyAlignment="1"/>
    <xf numFmtId="0" fontId="8" fillId="0" borderId="0" xfId="0" applyFont="1" applyFill="1"/>
    <xf numFmtId="0" fontId="9" fillId="0" borderId="0" xfId="0" applyFont="1" applyFill="1"/>
    <xf numFmtId="0" fontId="9" fillId="0" borderId="2" xfId="5" applyFont="1" applyFill="1" applyBorder="1" applyAlignment="1">
      <alignment horizontal="center" vertical="center"/>
    </xf>
    <xf numFmtId="0" fontId="9" fillId="0" borderId="2" xfId="5" applyFont="1" applyFill="1" applyBorder="1" applyAlignment="1">
      <alignment horizontal="center" vertical="center" wrapText="1"/>
    </xf>
    <xf numFmtId="0" fontId="9" fillId="0" borderId="2" xfId="8" applyFont="1" applyFill="1" applyBorder="1" applyAlignment="1">
      <alignment horizontal="center" vertical="center" wrapText="1"/>
    </xf>
    <xf numFmtId="0" fontId="9" fillId="0" borderId="2" xfId="10" applyFont="1" applyFill="1" applyBorder="1" applyAlignment="1">
      <alignment horizontal="center" vertical="center" wrapText="1"/>
    </xf>
    <xf numFmtId="0" fontId="9" fillId="0" borderId="2" xfId="9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6" fillId="0" borderId="0" xfId="0" applyFont="1" applyFill="1"/>
    <xf numFmtId="0" fontId="11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2" fillId="0" borderId="1" xfId="5" applyFont="1" applyBorder="1" applyAlignment="1">
      <alignment horizontal="center" vertical="center" wrapText="1"/>
    </xf>
    <xf numFmtId="0" fontId="2" fillId="2" borderId="1" xfId="6" applyFont="1" applyFill="1" applyBorder="1" applyAlignment="1">
      <alignment horizontal="center" vertical="center" wrapText="1"/>
    </xf>
    <xf numFmtId="165" fontId="10" fillId="0" borderId="2" xfId="0" applyNumberFormat="1" applyFont="1" applyFill="1" applyBorder="1"/>
    <xf numFmtId="0" fontId="10" fillId="0" borderId="0" xfId="0" applyFont="1" applyBorder="1" applyAlignment="1"/>
    <xf numFmtId="0" fontId="2" fillId="0" borderId="0" xfId="0" applyFont="1" applyBorder="1" applyAlignment="1"/>
    <xf numFmtId="0" fontId="10" fillId="0" borderId="2" xfId="0" applyFont="1" applyBorder="1"/>
    <xf numFmtId="0" fontId="10" fillId="3" borderId="2" xfId="0" applyFont="1" applyFill="1" applyBorder="1"/>
    <xf numFmtId="165" fontId="2" fillId="0" borderId="7" xfId="0" applyNumberFormat="1" applyFont="1" applyBorder="1"/>
    <xf numFmtId="164" fontId="2" fillId="0" borderId="7" xfId="11" applyNumberFormat="1" applyFont="1" applyBorder="1"/>
    <xf numFmtId="0" fontId="10" fillId="0" borderId="2" xfId="11" applyNumberFormat="1" applyFont="1" applyBorder="1"/>
    <xf numFmtId="164" fontId="10" fillId="0" borderId="2" xfId="0" applyNumberFormat="1" applyFont="1" applyBorder="1" applyAlignment="1"/>
    <xf numFmtId="3" fontId="10" fillId="0" borderId="8" xfId="0" applyNumberFormat="1" applyFont="1" applyBorder="1"/>
    <xf numFmtId="0" fontId="10" fillId="0" borderId="8" xfId="11" applyNumberFormat="1" applyFont="1" applyBorder="1"/>
    <xf numFmtId="3" fontId="10" fillId="3" borderId="11" xfId="0" applyNumberFormat="1" applyFont="1" applyFill="1" applyBorder="1"/>
    <xf numFmtId="3" fontId="10" fillId="0" borderId="9" xfId="0" applyNumberFormat="1" applyFont="1" applyBorder="1"/>
    <xf numFmtId="164" fontId="10" fillId="0" borderId="12" xfId="11" applyNumberFormat="1" applyFont="1" applyBorder="1"/>
    <xf numFmtId="164" fontId="10" fillId="0" borderId="7" xfId="11" applyNumberFormat="1" applyFont="1" applyBorder="1"/>
    <xf numFmtId="3" fontId="10" fillId="3" borderId="10" xfId="0" applyNumberFormat="1" applyFont="1" applyFill="1" applyBorder="1"/>
    <xf numFmtId="165" fontId="10" fillId="0" borderId="8" xfId="0" applyNumberFormat="1" applyFont="1" applyBorder="1"/>
    <xf numFmtId="165" fontId="10" fillId="0" borderId="9" xfId="0" applyNumberFormat="1" applyFont="1" applyBorder="1"/>
    <xf numFmtId="0" fontId="10" fillId="0" borderId="2" xfId="0" applyNumberFormat="1" applyFont="1" applyBorder="1"/>
    <xf numFmtId="0" fontId="10" fillId="0" borderId="8" xfId="0" applyNumberFormat="1" applyFont="1" applyBorder="1"/>
    <xf numFmtId="3" fontId="5" fillId="0" borderId="0" xfId="0" applyNumberFormat="1" applyFont="1" applyBorder="1" applyAlignment="1"/>
    <xf numFmtId="0" fontId="10" fillId="0" borderId="2" xfId="12" applyNumberFormat="1" applyFont="1" applyBorder="1" applyAlignment="1">
      <alignment horizontal="right"/>
    </xf>
    <xf numFmtId="165" fontId="10" fillId="0" borderId="3" xfId="0" applyNumberFormat="1" applyFont="1" applyFill="1" applyBorder="1"/>
    <xf numFmtId="165" fontId="2" fillId="0" borderId="2" xfId="0" applyNumberFormat="1" applyFont="1" applyFill="1" applyBorder="1"/>
    <xf numFmtId="165" fontId="2" fillId="0" borderId="3" xfId="0" applyNumberFormat="1" applyFont="1" applyFill="1" applyBorder="1"/>
    <xf numFmtId="3" fontId="2" fillId="0" borderId="2" xfId="0" applyNumberFormat="1" applyFont="1" applyFill="1" applyBorder="1"/>
    <xf numFmtId="3" fontId="2" fillId="0" borderId="1" xfId="0" applyNumberFormat="1" applyFont="1" applyBorder="1"/>
    <xf numFmtId="0" fontId="10" fillId="3" borderId="3" xfId="0" applyFont="1" applyFill="1" applyBorder="1"/>
    <xf numFmtId="0" fontId="7" fillId="3" borderId="0" xfId="0" applyFont="1" applyFill="1" applyBorder="1" applyAlignment="1"/>
    <xf numFmtId="3" fontId="10" fillId="3" borderId="8" xfId="0" applyNumberFormat="1" applyFont="1" applyFill="1" applyBorder="1"/>
    <xf numFmtId="3" fontId="10" fillId="3" borderId="9" xfId="0" applyNumberFormat="1" applyFont="1" applyFill="1" applyBorder="1"/>
    <xf numFmtId="0" fontId="10" fillId="3" borderId="11" xfId="0" applyFont="1" applyFill="1" applyBorder="1"/>
    <xf numFmtId="0" fontId="5" fillId="3" borderId="3" xfId="0" applyFont="1" applyFill="1" applyBorder="1" applyAlignment="1"/>
    <xf numFmtId="0" fontId="7" fillId="3" borderId="3" xfId="0" applyFont="1" applyFill="1" applyBorder="1" applyAlignment="1"/>
    <xf numFmtId="0" fontId="10" fillId="0" borderId="3" xfId="11" applyNumberFormat="1" applyFont="1" applyBorder="1"/>
    <xf numFmtId="1" fontId="10" fillId="0" borderId="3" xfId="11" applyNumberFormat="1" applyFont="1" applyBorder="1"/>
    <xf numFmtId="1" fontId="10" fillId="0" borderId="2" xfId="12" applyNumberFormat="1" applyFont="1" applyBorder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3" fontId="10" fillId="0" borderId="2" xfId="0" applyNumberFormat="1" applyFont="1" applyFill="1" applyBorder="1"/>
    <xf numFmtId="3" fontId="10" fillId="0" borderId="2" xfId="0" applyNumberFormat="1" applyFont="1" applyFill="1" applyBorder="1" applyAlignment="1"/>
    <xf numFmtId="164" fontId="10" fillId="0" borderId="2" xfId="11" applyNumberFormat="1" applyFont="1" applyFill="1" applyBorder="1" applyAlignment="1"/>
    <xf numFmtId="0" fontId="5" fillId="0" borderId="0" xfId="0" applyFont="1" applyFill="1" applyBorder="1" applyAlignment="1"/>
    <xf numFmtId="3" fontId="10" fillId="0" borderId="3" xfId="0" applyNumberFormat="1" applyFont="1" applyFill="1" applyBorder="1"/>
    <xf numFmtId="164" fontId="10" fillId="0" borderId="3" xfId="11" applyNumberFormat="1" applyFont="1" applyFill="1" applyBorder="1"/>
    <xf numFmtId="0" fontId="10" fillId="0" borderId="3" xfId="0" applyFont="1" applyFill="1" applyBorder="1" applyAlignment="1"/>
    <xf numFmtId="164" fontId="10" fillId="0" borderId="3" xfId="11" applyNumberFormat="1" applyFont="1" applyFill="1" applyBorder="1" applyAlignment="1"/>
    <xf numFmtId="165" fontId="10" fillId="0" borderId="7" xfId="0" applyNumberFormat="1" applyFont="1" applyFill="1" applyBorder="1"/>
    <xf numFmtId="0" fontId="2" fillId="0" borderId="2" xfId="12" applyNumberFormat="1" applyFont="1" applyFill="1" applyBorder="1"/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2" fillId="0" borderId="2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center" vertical="center" wrapText="1"/>
    </xf>
    <xf numFmtId="0" fontId="2" fillId="0" borderId="4" xfId="5" applyFont="1" applyBorder="1" applyAlignment="1">
      <alignment horizontal="center" vertical="center" wrapText="1"/>
    </xf>
    <xf numFmtId="0" fontId="2" fillId="0" borderId="6" xfId="5" applyFont="1" applyBorder="1" applyAlignment="1">
      <alignment horizontal="center" vertical="center" wrapText="1"/>
    </xf>
    <xf numFmtId="0" fontId="2" fillId="0" borderId="5" xfId="5" applyFont="1" applyBorder="1" applyAlignment="1">
      <alignment horizontal="center" vertical="center" wrapText="1"/>
    </xf>
    <xf numFmtId="0" fontId="2" fillId="2" borderId="4" xfId="6" applyFont="1" applyFill="1" applyBorder="1" applyAlignment="1">
      <alignment horizontal="center" vertical="center" wrapText="1"/>
    </xf>
    <xf numFmtId="0" fontId="2" fillId="2" borderId="6" xfId="6" applyFont="1" applyFill="1" applyBorder="1" applyAlignment="1">
      <alignment horizontal="center" vertical="center" wrapText="1"/>
    </xf>
    <xf numFmtId="0" fontId="2" fillId="2" borderId="5" xfId="6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2" fillId="0" borderId="2" xfId="8" applyFont="1" applyBorder="1" applyAlignment="1">
      <alignment horizontal="center" vertical="center" wrapText="1"/>
    </xf>
    <xf numFmtId="0" fontId="2" fillId="0" borderId="3" xfId="8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 wrapText="1"/>
    </xf>
    <xf numFmtId="0" fontId="2" fillId="0" borderId="3" xfId="4" applyFont="1" applyBorder="1" applyAlignment="1">
      <alignment horizontal="center" vertical="center" wrapText="1"/>
    </xf>
    <xf numFmtId="0" fontId="2" fillId="0" borderId="2" xfId="10" applyFont="1" applyBorder="1" applyAlignment="1">
      <alignment horizontal="center" vertical="center" wrapText="1"/>
    </xf>
    <xf numFmtId="0" fontId="2" fillId="0" borderId="3" xfId="10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</cellXfs>
  <cellStyles count="13">
    <cellStyle name="Обычный" xfId="0" builtinId="0"/>
    <cellStyle name="Обычный 10" xfId="1"/>
    <cellStyle name="Обычный 11" xfId="2"/>
    <cellStyle name="Обычный 12" xfId="3"/>
    <cellStyle name="Обычный 13" xfId="4"/>
    <cellStyle name="Обычный 3" xfId="5"/>
    <cellStyle name="Обычный 4" xfId="6"/>
    <cellStyle name="Обычный 5" xfId="7"/>
    <cellStyle name="Обычный 6" xfId="8"/>
    <cellStyle name="Обычный 7" xfId="9"/>
    <cellStyle name="Обычный 8" xfId="10"/>
    <cellStyle name="Процентный" xfId="11" builtinId="5"/>
    <cellStyle name="Финансовый" xfId="1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showZeros="0" tabSelected="1" zoomScaleSheetLayoutView="100" workbookViewId="0">
      <pane xSplit="3" ySplit="3" topLeftCell="D4" activePane="bottomRight" state="frozenSplit"/>
      <selection pane="topRight" activeCell="C1" sqref="C1"/>
      <selection pane="bottomLeft" activeCell="A2" sqref="A2"/>
      <selection pane="bottomRight" activeCell="Z2" sqref="Z1:AA1048576"/>
    </sheetView>
  </sheetViews>
  <sheetFormatPr defaultRowHeight="11.25"/>
  <cols>
    <col min="1" max="1" width="2.85546875" style="46" bestFit="1" customWidth="1"/>
    <col min="2" max="2" width="4.85546875" style="46" bestFit="1" customWidth="1"/>
    <col min="3" max="3" width="18.7109375" style="4" customWidth="1"/>
    <col min="4" max="4" width="9.28515625" style="4" customWidth="1"/>
    <col min="5" max="5" width="9.140625" style="4" customWidth="1"/>
    <col min="6" max="6" width="10.85546875" style="4" bestFit="1" customWidth="1"/>
    <col min="7" max="7" width="8.28515625" style="4" customWidth="1"/>
    <col min="8" max="8" width="9.140625" style="4" customWidth="1"/>
    <col min="9" max="10" width="9.42578125" style="5" hidden="1" customWidth="1"/>
    <col min="11" max="11" width="9.5703125" style="5" hidden="1" customWidth="1"/>
    <col min="12" max="12" width="9.28515625" style="5" hidden="1" customWidth="1"/>
    <col min="13" max="13" width="10.28515625" style="5" hidden="1" customWidth="1"/>
    <col min="14" max="14" width="8.28515625" style="4" customWidth="1"/>
    <col min="15" max="15" width="12.85546875" style="4" bestFit="1" customWidth="1"/>
    <col min="16" max="16" width="11.140625" style="4" bestFit="1" customWidth="1"/>
    <col min="17" max="17" width="13.5703125" style="4" customWidth="1"/>
    <col min="18" max="19" width="10" style="4" hidden="1" customWidth="1"/>
    <col min="20" max="20" width="11.140625" style="4" customWidth="1"/>
    <col min="21" max="22" width="9" style="4" customWidth="1"/>
    <col min="23" max="23" width="14.7109375" style="4" customWidth="1"/>
    <col min="24" max="24" width="16" style="4" customWidth="1"/>
    <col min="25" max="25" width="11.28515625" style="4" bestFit="1" customWidth="1"/>
    <col min="26" max="26" width="13.140625" style="4" hidden="1" customWidth="1"/>
    <col min="27" max="27" width="13.28515625" style="4" hidden="1" customWidth="1"/>
    <col min="28" max="28" width="13.28515625" style="4" customWidth="1"/>
    <col min="29" max="29" width="11.7109375" style="4" hidden="1" customWidth="1"/>
    <col min="30" max="30" width="10.5703125" style="4" customWidth="1"/>
    <col min="31" max="16384" width="9.140625" style="4"/>
  </cols>
  <sheetData>
    <row r="1" spans="1:30" s="44" customFormat="1" ht="23.25" customHeight="1">
      <c r="A1" s="32"/>
      <c r="B1" s="33"/>
      <c r="C1" s="120" t="s">
        <v>0</v>
      </c>
      <c r="D1" s="122" t="s">
        <v>97</v>
      </c>
      <c r="E1" s="123"/>
      <c r="F1" s="123"/>
      <c r="G1" s="123"/>
      <c r="H1" s="124"/>
      <c r="I1" s="125" t="s">
        <v>102</v>
      </c>
      <c r="J1" s="126"/>
      <c r="K1" s="127"/>
      <c r="L1" s="128" t="s">
        <v>131</v>
      </c>
      <c r="M1" s="128"/>
      <c r="N1" s="129" t="s">
        <v>92</v>
      </c>
      <c r="O1" s="129" t="s">
        <v>103</v>
      </c>
      <c r="P1" s="129" t="s">
        <v>104</v>
      </c>
      <c r="Q1" s="129" t="s">
        <v>93</v>
      </c>
      <c r="R1" s="129" t="s">
        <v>94</v>
      </c>
      <c r="S1" s="129" t="s">
        <v>95</v>
      </c>
      <c r="T1" s="129" t="s">
        <v>105</v>
      </c>
      <c r="U1" s="133" t="s">
        <v>117</v>
      </c>
      <c r="V1" s="3" t="s">
        <v>106</v>
      </c>
      <c r="W1" s="135" t="s">
        <v>108</v>
      </c>
      <c r="X1" s="135" t="s">
        <v>109</v>
      </c>
      <c r="Y1" s="1" t="s">
        <v>110</v>
      </c>
      <c r="Z1" s="137" t="s">
        <v>112</v>
      </c>
      <c r="AA1" s="138"/>
      <c r="AB1" s="139" t="s">
        <v>96</v>
      </c>
      <c r="AC1" s="139" t="s">
        <v>116</v>
      </c>
      <c r="AD1" s="131" t="s">
        <v>114</v>
      </c>
    </row>
    <row r="2" spans="1:30" s="45" customFormat="1" ht="44.25" customHeight="1">
      <c r="A2" s="34"/>
      <c r="B2" s="35"/>
      <c r="C2" s="121"/>
      <c r="D2" s="51" t="s">
        <v>98</v>
      </c>
      <c r="E2" s="51" t="s">
        <v>130</v>
      </c>
      <c r="F2" s="51" t="s">
        <v>118</v>
      </c>
      <c r="G2" s="51" t="s">
        <v>100</v>
      </c>
      <c r="H2" s="51" t="s">
        <v>101</v>
      </c>
      <c r="I2" s="52" t="s">
        <v>99</v>
      </c>
      <c r="J2" s="52" t="s">
        <v>100</v>
      </c>
      <c r="K2" s="52" t="s">
        <v>101</v>
      </c>
      <c r="L2" s="7" t="s">
        <v>98</v>
      </c>
      <c r="M2" s="7" t="s">
        <v>120</v>
      </c>
      <c r="N2" s="130"/>
      <c r="O2" s="130"/>
      <c r="P2" s="130"/>
      <c r="Q2" s="130"/>
      <c r="R2" s="130"/>
      <c r="S2" s="130"/>
      <c r="T2" s="130"/>
      <c r="U2" s="134"/>
      <c r="V2" s="3" t="s">
        <v>107</v>
      </c>
      <c r="W2" s="136"/>
      <c r="X2" s="136"/>
      <c r="Y2" s="1" t="s">
        <v>111</v>
      </c>
      <c r="Z2" s="2" t="s">
        <v>115</v>
      </c>
      <c r="AA2" s="2" t="s">
        <v>113</v>
      </c>
      <c r="AB2" s="140"/>
      <c r="AC2" s="140"/>
      <c r="AD2" s="132"/>
    </row>
    <row r="3" spans="1:30" s="34" customFormat="1" ht="9">
      <c r="B3" s="35"/>
      <c r="C3" s="36"/>
      <c r="D3" s="37"/>
      <c r="E3" s="37"/>
      <c r="F3" s="37"/>
      <c r="G3" s="37"/>
      <c r="H3" s="37"/>
      <c r="I3" s="31"/>
      <c r="J3" s="31"/>
      <c r="K3" s="31"/>
      <c r="L3" s="31"/>
      <c r="M3" s="31"/>
      <c r="N3" s="38"/>
      <c r="O3" s="38"/>
      <c r="P3" s="38"/>
      <c r="Q3" s="38"/>
      <c r="R3" s="38"/>
      <c r="S3" s="38"/>
      <c r="T3" s="38"/>
      <c r="U3" s="39"/>
      <c r="V3" s="40"/>
      <c r="W3" s="41"/>
      <c r="X3" s="41"/>
      <c r="Y3" s="41"/>
      <c r="Z3" s="42"/>
      <c r="AA3" s="42"/>
      <c r="AB3" s="41"/>
      <c r="AC3" s="43"/>
      <c r="AD3" s="43"/>
    </row>
    <row r="4" spans="1:30">
      <c r="B4" s="47" t="s">
        <v>121</v>
      </c>
      <c r="C4" s="108" t="s">
        <v>1</v>
      </c>
      <c r="D4" s="8">
        <v>5785</v>
      </c>
      <c r="E4" s="56">
        <v>24</v>
      </c>
      <c r="F4" s="56">
        <v>3348</v>
      </c>
      <c r="G4" s="56">
        <v>818</v>
      </c>
      <c r="H4" s="8">
        <v>144</v>
      </c>
      <c r="I4" s="9"/>
      <c r="J4" s="9"/>
      <c r="K4" s="82"/>
      <c r="L4" s="57">
        <v>1445107</v>
      </c>
      <c r="M4" s="84">
        <v>771012</v>
      </c>
      <c r="N4" s="8">
        <v>4042</v>
      </c>
      <c r="O4" s="56">
        <v>608286</v>
      </c>
      <c r="P4" s="56">
        <v>237644</v>
      </c>
      <c r="Q4" s="8">
        <v>123049</v>
      </c>
      <c r="R4" s="8">
        <v>5419</v>
      </c>
      <c r="S4" s="8">
        <v>4213</v>
      </c>
      <c r="T4" s="10">
        <f>Y4+Y5</f>
        <v>19360</v>
      </c>
      <c r="U4" s="11">
        <f>V4/V5</f>
        <v>0.89997873774778736</v>
      </c>
      <c r="V4" s="56">
        <v>158669</v>
      </c>
      <c r="W4" s="8">
        <f>241104</f>
        <v>241104</v>
      </c>
      <c r="X4" s="8">
        <v>35239</v>
      </c>
      <c r="Y4" s="8">
        <f>77</f>
        <v>77</v>
      </c>
      <c r="Z4" s="11">
        <f>AA4/AC4</f>
        <v>0.13908204322626605</v>
      </c>
      <c r="AA4" s="12">
        <f>227975.9</f>
        <v>227975.9</v>
      </c>
      <c r="AB4" s="8">
        <v>365024</v>
      </c>
      <c r="AC4" s="12">
        <f>1639146.9</f>
        <v>1639146.9</v>
      </c>
      <c r="AD4" s="53">
        <f>AC4*1000/L4</f>
        <v>1134.2737250598052</v>
      </c>
    </row>
    <row r="5" spans="1:30">
      <c r="B5" s="47" t="s">
        <v>121</v>
      </c>
      <c r="C5" s="109"/>
      <c r="D5" s="13"/>
      <c r="E5" s="13"/>
      <c r="F5" s="14">
        <f>I4/L4/1.95</f>
        <v>0</v>
      </c>
      <c r="G5" s="14">
        <f>J4/L4/0.35</f>
        <v>0</v>
      </c>
      <c r="H5" s="14">
        <f>K4/L4/0.075</f>
        <v>0</v>
      </c>
      <c r="I5" s="15"/>
      <c r="J5" s="15"/>
      <c r="K5" s="83"/>
      <c r="L5" s="85"/>
      <c r="M5" s="68"/>
      <c r="N5" s="13"/>
      <c r="O5" s="14">
        <f>O4/L4</f>
        <v>0.42092800048716117</v>
      </c>
      <c r="P5" s="14">
        <f>P4/M4</f>
        <v>0.30822347771500314</v>
      </c>
      <c r="Q5" s="13"/>
      <c r="R5" s="13"/>
      <c r="S5" s="14">
        <f>S4/R4</f>
        <v>0.77744971396936702</v>
      </c>
      <c r="T5" s="16"/>
      <c r="U5" s="16"/>
      <c r="V5" s="13">
        <f>0.122*L4</f>
        <v>176303.054</v>
      </c>
      <c r="W5" s="13"/>
      <c r="X5" s="13"/>
      <c r="Y5" s="13">
        <f>19283</f>
        <v>19283</v>
      </c>
      <c r="Z5" s="17"/>
      <c r="AA5" s="18"/>
      <c r="AB5" s="13"/>
      <c r="AC5" s="18"/>
      <c r="AD5" s="18"/>
    </row>
    <row r="6" spans="1:30">
      <c r="B6" s="47" t="s">
        <v>121</v>
      </c>
      <c r="C6" s="102" t="s">
        <v>2</v>
      </c>
      <c r="D6" s="4">
        <v>2663</v>
      </c>
      <c r="E6" s="56">
        <v>30</v>
      </c>
      <c r="F6" s="56">
        <v>1506</v>
      </c>
      <c r="G6" s="56">
        <v>663</v>
      </c>
      <c r="H6" s="8">
        <v>49</v>
      </c>
      <c r="I6" s="9"/>
      <c r="J6" s="9"/>
      <c r="K6" s="82"/>
      <c r="L6" s="57">
        <v>1137216</v>
      </c>
      <c r="M6" s="84">
        <v>609100</v>
      </c>
      <c r="N6" s="8">
        <v>2169</v>
      </c>
      <c r="O6" s="87">
        <v>240706</v>
      </c>
      <c r="P6" s="56">
        <v>96144</v>
      </c>
      <c r="Q6" s="8">
        <v>4215</v>
      </c>
      <c r="R6" s="8">
        <v>5172</v>
      </c>
      <c r="S6" s="8">
        <v>3654</v>
      </c>
      <c r="T6" s="10">
        <f>Y6+Y7</f>
        <v>7913</v>
      </c>
      <c r="U6" s="11">
        <f>V6/V7</f>
        <v>0.58154674423775432</v>
      </c>
      <c r="V6" s="56">
        <v>80684</v>
      </c>
      <c r="W6" s="56">
        <v>37437</v>
      </c>
      <c r="X6" s="8">
        <v>23218</v>
      </c>
      <c r="Y6" s="8">
        <f>37</f>
        <v>37</v>
      </c>
      <c r="Z6" s="11">
        <f>AA6/AC6</f>
        <v>4.3558023504851918E-2</v>
      </c>
      <c r="AA6" s="12">
        <f>25906.3</f>
        <v>25906.3</v>
      </c>
      <c r="AB6" s="8">
        <f>83613</f>
        <v>83613</v>
      </c>
      <c r="AC6" s="12">
        <f>594753.8</f>
        <v>594753.80000000005</v>
      </c>
      <c r="AD6" s="12">
        <f>AC6*1000/L6</f>
        <v>522.99105886656537</v>
      </c>
    </row>
    <row r="7" spans="1:30">
      <c r="B7" s="47" t="s">
        <v>121</v>
      </c>
      <c r="C7" s="103"/>
      <c r="D7" s="13"/>
      <c r="E7" s="13"/>
      <c r="F7" s="14">
        <f>I6/L8/1.95</f>
        <v>0</v>
      </c>
      <c r="G7" s="14">
        <f>J6/L8/0.35</f>
        <v>0</v>
      </c>
      <c r="H7" s="14">
        <f>K6/L8/0.075</f>
        <v>0</v>
      </c>
      <c r="I7" s="15"/>
      <c r="J7" s="15"/>
      <c r="K7" s="83"/>
      <c r="L7" s="85"/>
      <c r="M7" s="68"/>
      <c r="N7" s="13"/>
      <c r="O7" s="14">
        <f t="shared" ref="O7:O39" si="0">O6/L6</f>
        <v>0.21166251617986381</v>
      </c>
      <c r="P7" s="14">
        <f>P6/M6</f>
        <v>0.15784600229847315</v>
      </c>
      <c r="Q7" s="13"/>
      <c r="R7" s="13"/>
      <c r="S7" s="14">
        <f>S6/R6</f>
        <v>0.70649651972157768</v>
      </c>
      <c r="T7" s="16"/>
      <c r="U7" s="16"/>
      <c r="V7" s="13">
        <f t="shared" ref="V7" si="1">0.122*L6</f>
        <v>138740.35199999998</v>
      </c>
      <c r="W7" s="13"/>
      <c r="X7" s="13"/>
      <c r="Y7" s="13">
        <f>7876</f>
        <v>7876</v>
      </c>
      <c r="Z7" s="17"/>
      <c r="AA7" s="18"/>
      <c r="AB7" s="13"/>
      <c r="AC7" s="18"/>
      <c r="AD7" s="18"/>
    </row>
    <row r="8" spans="1:30" s="6" customFormat="1">
      <c r="A8" s="48"/>
      <c r="B8" s="47" t="s">
        <v>121</v>
      </c>
      <c r="C8" s="102" t="s">
        <v>3</v>
      </c>
      <c r="D8" s="8">
        <v>3218</v>
      </c>
      <c r="E8" s="56">
        <v>33</v>
      </c>
      <c r="F8" s="56">
        <v>1709</v>
      </c>
      <c r="G8" s="56">
        <v>732</v>
      </c>
      <c r="H8" s="8">
        <v>62</v>
      </c>
      <c r="I8" s="9"/>
      <c r="J8" s="9"/>
      <c r="K8" s="82"/>
      <c r="L8" s="57">
        <v>1297011</v>
      </c>
      <c r="M8" s="84">
        <v>700407</v>
      </c>
      <c r="N8" s="8">
        <v>3184</v>
      </c>
      <c r="O8" s="87">
        <v>470743</v>
      </c>
      <c r="P8" s="56">
        <v>198937</v>
      </c>
      <c r="Q8" s="8">
        <v>26049</v>
      </c>
      <c r="R8" s="8">
        <v>6029</v>
      </c>
      <c r="S8" s="8">
        <v>3451</v>
      </c>
      <c r="T8" s="10">
        <f t="shared" ref="T8" si="2">Y8+Y9</f>
        <v>46355</v>
      </c>
      <c r="U8" s="11">
        <f>V8/V9</f>
        <v>0.5319671252709145</v>
      </c>
      <c r="V8" s="56">
        <v>84176</v>
      </c>
      <c r="W8" s="56">
        <v>148302</v>
      </c>
      <c r="X8" s="8">
        <v>35478</v>
      </c>
      <c r="Y8" s="8">
        <f>53</f>
        <v>53</v>
      </c>
      <c r="Z8" s="11">
        <f>AA8/AC8</f>
        <v>0.30668777109630774</v>
      </c>
      <c r="AA8" s="12">
        <f>754264.5</f>
        <v>754264.5</v>
      </c>
      <c r="AB8" s="8">
        <f>288428</f>
        <v>288428</v>
      </c>
      <c r="AC8" s="12">
        <f>2459388.9</f>
        <v>2459388.9</v>
      </c>
      <c r="AD8" s="12">
        <f>AC8*1000/L8</f>
        <v>1896.1974108160996</v>
      </c>
    </row>
    <row r="9" spans="1:30" s="6" customFormat="1">
      <c r="A9" s="48"/>
      <c r="B9" s="47" t="s">
        <v>121</v>
      </c>
      <c r="C9" s="103"/>
      <c r="D9" s="13"/>
      <c r="E9" s="13"/>
      <c r="F9" s="14">
        <f>I8/L12/1.95</f>
        <v>0</v>
      </c>
      <c r="G9" s="14">
        <f>J8/L12/0.35</f>
        <v>0</v>
      </c>
      <c r="H9" s="14">
        <f>K8/L12/0.075</f>
        <v>0</v>
      </c>
      <c r="I9" s="15"/>
      <c r="J9" s="15"/>
      <c r="K9" s="83"/>
      <c r="L9" s="86"/>
      <c r="M9" s="68"/>
      <c r="N9" s="13"/>
      <c r="O9" s="14">
        <f t="shared" si="0"/>
        <v>0.3629444931461645</v>
      </c>
      <c r="P9" s="14">
        <f>P8/M8</f>
        <v>0.28403057079669392</v>
      </c>
      <c r="Q9" s="13"/>
      <c r="R9" s="13"/>
      <c r="S9" s="14">
        <f>S8/R8</f>
        <v>0.57240006634599438</v>
      </c>
      <c r="T9" s="16"/>
      <c r="U9" s="16"/>
      <c r="V9" s="13">
        <f t="shared" ref="V9" si="3">0.122*L8</f>
        <v>158235.342</v>
      </c>
      <c r="W9" s="13"/>
      <c r="X9" s="13"/>
      <c r="Y9" s="13">
        <f>46302</f>
        <v>46302</v>
      </c>
      <c r="Z9" s="17"/>
      <c r="AA9" s="18"/>
      <c r="AB9" s="13"/>
      <c r="AC9" s="18"/>
      <c r="AD9" s="18"/>
    </row>
    <row r="10" spans="1:30">
      <c r="B10" s="47" t="s">
        <v>121</v>
      </c>
      <c r="C10" s="102" t="s">
        <v>4</v>
      </c>
      <c r="D10" s="8">
        <v>6078</v>
      </c>
      <c r="E10" s="56">
        <v>18</v>
      </c>
      <c r="F10" s="56">
        <v>4395</v>
      </c>
      <c r="G10" s="56">
        <v>1320</v>
      </c>
      <c r="H10" s="8">
        <v>60</v>
      </c>
      <c r="I10" s="9"/>
      <c r="J10" s="9"/>
      <c r="K10" s="82"/>
      <c r="L10" s="57">
        <v>2161550</v>
      </c>
      <c r="M10" s="84">
        <v>1153016</v>
      </c>
      <c r="N10" s="8">
        <v>6217</v>
      </c>
      <c r="O10" s="87">
        <v>858068</v>
      </c>
      <c r="P10" s="56">
        <v>334364</v>
      </c>
      <c r="Q10" s="8">
        <v>112846</v>
      </c>
      <c r="R10" s="8">
        <v>24158</v>
      </c>
      <c r="S10" s="8">
        <v>19925</v>
      </c>
      <c r="T10" s="10">
        <f t="shared" ref="T10" si="4">Y10+Y11</f>
        <v>23562</v>
      </c>
      <c r="U10" s="11">
        <f>V10/V11</f>
        <v>0.61754410446966002</v>
      </c>
      <c r="V10" s="56">
        <v>162852</v>
      </c>
      <c r="W10" s="56">
        <v>329203</v>
      </c>
      <c r="X10" s="8">
        <v>70595</v>
      </c>
      <c r="Y10" s="8">
        <v>93</v>
      </c>
      <c r="Z10" s="11">
        <f>AA10/AC10</f>
        <v>0.10212543331902768</v>
      </c>
      <c r="AA10" s="12">
        <f>347660.2</f>
        <v>347660.2</v>
      </c>
      <c r="AB10" s="8">
        <f>339574</f>
        <v>339574</v>
      </c>
      <c r="AC10" s="12">
        <f>3404247</f>
        <v>3404247</v>
      </c>
      <c r="AD10" s="12">
        <f>AC10*1000/L10</f>
        <v>1574.9101339316694</v>
      </c>
    </row>
    <row r="11" spans="1:30">
      <c r="B11" s="47" t="s">
        <v>121</v>
      </c>
      <c r="C11" s="103"/>
      <c r="D11" s="13"/>
      <c r="E11" s="13"/>
      <c r="F11" s="14">
        <f>I10/L16/1.95</f>
        <v>0</v>
      </c>
      <c r="G11" s="14">
        <f>J10/L16/0.35</f>
        <v>0</v>
      </c>
      <c r="H11" s="14">
        <f>K10/L16/0.075</f>
        <v>0</v>
      </c>
      <c r="I11" s="15"/>
      <c r="J11" s="15"/>
      <c r="K11" s="83"/>
      <c r="L11" s="85"/>
      <c r="M11" s="68"/>
      <c r="N11" s="13"/>
      <c r="O11" s="14">
        <f t="shared" si="0"/>
        <v>0.39696884180333558</v>
      </c>
      <c r="P11" s="14">
        <f>P10/M10</f>
        <v>0.289990772027448</v>
      </c>
      <c r="Q11" s="13"/>
      <c r="R11" s="13"/>
      <c r="S11" s="14">
        <f>S10/R10</f>
        <v>0.82477854126997263</v>
      </c>
      <c r="T11" s="16"/>
      <c r="U11" s="16"/>
      <c r="V11" s="13">
        <f t="shared" ref="V11" si="5">0.122*L10</f>
        <v>263709.09999999998</v>
      </c>
      <c r="W11" s="13"/>
      <c r="X11" s="13"/>
      <c r="Y11" s="13">
        <f>23469</f>
        <v>23469</v>
      </c>
      <c r="Z11" s="17"/>
      <c r="AA11" s="18"/>
      <c r="AB11" s="13"/>
      <c r="AC11" s="18"/>
      <c r="AD11" s="18"/>
    </row>
    <row r="12" spans="1:30">
      <c r="B12" s="47" t="s">
        <v>121</v>
      </c>
      <c r="C12" s="102" t="s">
        <v>5</v>
      </c>
      <c r="D12" s="8">
        <v>2026</v>
      </c>
      <c r="E12" s="56">
        <v>21</v>
      </c>
      <c r="F12" s="56">
        <v>1036</v>
      </c>
      <c r="G12" s="56">
        <v>519</v>
      </c>
      <c r="H12" s="8">
        <v>30</v>
      </c>
      <c r="I12" s="9"/>
      <c r="J12" s="9"/>
      <c r="K12" s="82"/>
      <c r="L12" s="57">
        <v>954184</v>
      </c>
      <c r="M12" s="84">
        <v>516664</v>
      </c>
      <c r="N12" s="8">
        <v>1983</v>
      </c>
      <c r="O12" s="87">
        <v>255137</v>
      </c>
      <c r="P12" s="56">
        <v>101214</v>
      </c>
      <c r="Q12" s="8">
        <v>7212</v>
      </c>
      <c r="R12" s="8">
        <v>6784</v>
      </c>
      <c r="S12" s="8">
        <v>4292</v>
      </c>
      <c r="T12" s="10">
        <f t="shared" ref="T12" si="6">Y12+Y13</f>
        <v>9485</v>
      </c>
      <c r="U12" s="11">
        <f>V12/V13</f>
        <v>0.37566215705999173</v>
      </c>
      <c r="V12" s="56">
        <v>43731</v>
      </c>
      <c r="W12" s="56">
        <v>45794</v>
      </c>
      <c r="X12" s="8">
        <v>30222</v>
      </c>
      <c r="Y12" s="8">
        <f>26</f>
        <v>26</v>
      </c>
      <c r="Z12" s="11">
        <f>AA12/AC12</f>
        <v>2.8094657872847383E-2</v>
      </c>
      <c r="AA12" s="12">
        <f>158482.6</f>
        <v>158482.6</v>
      </c>
      <c r="AB12" s="8">
        <f>121652</f>
        <v>121652</v>
      </c>
      <c r="AC12" s="12">
        <f>5641022.6</f>
        <v>5641022.5999999996</v>
      </c>
      <c r="AD12" s="53">
        <f>AC12*1000/L12</f>
        <v>5911.8813562164114</v>
      </c>
    </row>
    <row r="13" spans="1:30">
      <c r="B13" s="47" t="s">
        <v>121</v>
      </c>
      <c r="C13" s="103"/>
      <c r="D13" s="13"/>
      <c r="E13" s="13"/>
      <c r="F13" s="14">
        <f>I12/L20/1.95</f>
        <v>0</v>
      </c>
      <c r="G13" s="14">
        <f>J12/L20/0.35</f>
        <v>0</v>
      </c>
      <c r="H13" s="14">
        <f>K12/L20/0.075</f>
        <v>0</v>
      </c>
      <c r="I13" s="15"/>
      <c r="J13" s="15"/>
      <c r="K13" s="83"/>
      <c r="L13" s="85"/>
      <c r="M13" s="68"/>
      <c r="N13" s="13"/>
      <c r="O13" s="14">
        <f t="shared" si="0"/>
        <v>0.26738763173559815</v>
      </c>
      <c r="P13" s="14">
        <f>P12/M12</f>
        <v>0.19589907560813216</v>
      </c>
      <c r="Q13" s="13"/>
      <c r="R13" s="13"/>
      <c r="S13" s="14">
        <f>S12/R12</f>
        <v>0.63266509433962259</v>
      </c>
      <c r="T13" s="16"/>
      <c r="U13" s="16"/>
      <c r="V13" s="13">
        <f t="shared" ref="V13" si="7">0.122*L12</f>
        <v>116410.448</v>
      </c>
      <c r="W13" s="13"/>
      <c r="X13" s="13"/>
      <c r="Y13" s="13">
        <f>9459</f>
        <v>9459</v>
      </c>
      <c r="Z13" s="17"/>
      <c r="AA13" s="18"/>
      <c r="AB13" s="13"/>
      <c r="AC13" s="18"/>
      <c r="AD13" s="18"/>
    </row>
    <row r="14" spans="1:30">
      <c r="B14" s="47" t="s">
        <v>121</v>
      </c>
      <c r="C14" s="102" t="s">
        <v>6</v>
      </c>
      <c r="D14" s="8">
        <v>2156</v>
      </c>
      <c r="E14" s="56">
        <v>18</v>
      </c>
      <c r="F14" s="56">
        <v>1112</v>
      </c>
      <c r="G14" s="56">
        <v>624</v>
      </c>
      <c r="H14" s="8">
        <v>62</v>
      </c>
      <c r="I14" s="9"/>
      <c r="J14" s="9"/>
      <c r="K14" s="82"/>
      <c r="L14" s="57">
        <v>937344</v>
      </c>
      <c r="M14" s="84">
        <v>498407</v>
      </c>
      <c r="N14" s="8">
        <v>2318</v>
      </c>
      <c r="O14" s="87">
        <v>325549</v>
      </c>
      <c r="P14" s="56">
        <v>139662</v>
      </c>
      <c r="Q14" s="8">
        <v>10820</v>
      </c>
      <c r="R14" s="8">
        <v>3807</v>
      </c>
      <c r="S14" s="8">
        <v>787</v>
      </c>
      <c r="T14" s="10">
        <f t="shared" ref="T14" si="8">Y14+Y15</f>
        <v>40034</v>
      </c>
      <c r="U14" s="11">
        <f>V14/V15</f>
        <v>0.97894322402132972</v>
      </c>
      <c r="V14" s="56">
        <v>111948</v>
      </c>
      <c r="W14" s="56">
        <v>121940</v>
      </c>
      <c r="X14" s="8">
        <v>40943</v>
      </c>
      <c r="Y14" s="8">
        <v>65</v>
      </c>
      <c r="Z14" s="11">
        <f>AA14/AC14</f>
        <v>6.3944878282207449E-2</v>
      </c>
      <c r="AA14" s="12">
        <f>193414.7</f>
        <v>193414.7</v>
      </c>
      <c r="AB14" s="8">
        <f>244269</f>
        <v>244269</v>
      </c>
      <c r="AC14" s="12">
        <f>3024709.8</f>
        <v>3024709.8</v>
      </c>
      <c r="AD14" s="12">
        <f>AC14*1000/L14</f>
        <v>3226.8940751741088</v>
      </c>
    </row>
    <row r="15" spans="1:30">
      <c r="B15" s="47" t="s">
        <v>121</v>
      </c>
      <c r="C15" s="103"/>
      <c r="D15" s="13"/>
      <c r="E15" s="13"/>
      <c r="F15" s="14">
        <f>I14/L24/1.95</f>
        <v>0</v>
      </c>
      <c r="G15" s="14">
        <f>J14/L24/0.35</f>
        <v>0</v>
      </c>
      <c r="H15" s="14">
        <f>K14/L24/0.075</f>
        <v>0</v>
      </c>
      <c r="I15" s="15"/>
      <c r="J15" s="15"/>
      <c r="K15" s="83"/>
      <c r="L15" s="85"/>
      <c r="M15" s="68"/>
      <c r="N15" s="13"/>
      <c r="O15" s="14">
        <f t="shared" si="0"/>
        <v>0.34731005906049434</v>
      </c>
      <c r="P15" s="14">
        <f>P14/M14</f>
        <v>0.28021677063123113</v>
      </c>
      <c r="Q15" s="13"/>
      <c r="R15" s="13"/>
      <c r="S15" s="14">
        <f>S14/R14</f>
        <v>0.20672445495140532</v>
      </c>
      <c r="T15" s="16"/>
      <c r="U15" s="16"/>
      <c r="V15" s="13">
        <f t="shared" ref="V15" si="9">0.122*L14</f>
        <v>114355.96799999999</v>
      </c>
      <c r="W15" s="13"/>
      <c r="X15" s="13"/>
      <c r="Y15" s="13">
        <f>39969</f>
        <v>39969</v>
      </c>
      <c r="Z15" s="17"/>
      <c r="AA15" s="18"/>
      <c r="AB15" s="13"/>
      <c r="AC15" s="18"/>
      <c r="AD15" s="18"/>
    </row>
    <row r="16" spans="1:30">
      <c r="B16" s="47" t="s">
        <v>121</v>
      </c>
      <c r="C16" s="102" t="s">
        <v>7</v>
      </c>
      <c r="D16" s="8">
        <v>1288</v>
      </c>
      <c r="E16" s="56">
        <v>6</v>
      </c>
      <c r="F16" s="56">
        <v>655</v>
      </c>
      <c r="G16" s="56">
        <v>384</v>
      </c>
      <c r="H16" s="8">
        <v>32</v>
      </c>
      <c r="I16" s="9"/>
      <c r="J16" s="9"/>
      <c r="K16" s="82"/>
      <c r="L16" s="57">
        <v>603202</v>
      </c>
      <c r="M16" s="84">
        <v>322266</v>
      </c>
      <c r="N16" s="8">
        <v>1605</v>
      </c>
      <c r="O16" s="87">
        <v>221947</v>
      </c>
      <c r="P16" s="56">
        <v>92919</v>
      </c>
      <c r="Q16" s="8">
        <v>6463</v>
      </c>
      <c r="R16" s="8">
        <v>4786</v>
      </c>
      <c r="S16" s="8">
        <v>3855</v>
      </c>
      <c r="T16" s="10">
        <f t="shared" ref="T16" si="10">Y16+Y17</f>
        <v>8897</v>
      </c>
      <c r="U16" s="11">
        <f>V16/V17</f>
        <v>0.49468244903523334</v>
      </c>
      <c r="V16" s="56">
        <v>36404</v>
      </c>
      <c r="W16" s="56">
        <v>55818</v>
      </c>
      <c r="X16" s="8">
        <v>12483</v>
      </c>
      <c r="Y16" s="8">
        <v>21</v>
      </c>
      <c r="Z16" s="11">
        <f>AA16/AC16</f>
        <v>0.12042946378043697</v>
      </c>
      <c r="AA16" s="12">
        <f>79738.6</f>
        <v>79738.600000000006</v>
      </c>
      <c r="AB16" s="8">
        <f>103429</f>
        <v>103429</v>
      </c>
      <c r="AC16" s="12">
        <f>662118.7</f>
        <v>662118.69999999995</v>
      </c>
      <c r="AD16" s="12">
        <f>AC16*1000/L16</f>
        <v>1097.6732504202573</v>
      </c>
    </row>
    <row r="17" spans="2:30">
      <c r="B17" s="47" t="s">
        <v>121</v>
      </c>
      <c r="C17" s="103"/>
      <c r="D17" s="13"/>
      <c r="E17" s="13"/>
      <c r="F17" s="14">
        <f>I16/L28/1.95</f>
        <v>0</v>
      </c>
      <c r="G17" s="14">
        <f>J16/L28/0.35</f>
        <v>0</v>
      </c>
      <c r="H17" s="14">
        <f>K16/L28/0.075</f>
        <v>0</v>
      </c>
      <c r="I17" s="15"/>
      <c r="J17" s="15"/>
      <c r="K17" s="83"/>
      <c r="L17" s="85"/>
      <c r="M17" s="68"/>
      <c r="N17" s="13"/>
      <c r="O17" s="14">
        <f t="shared" si="0"/>
        <v>0.36794805057012409</v>
      </c>
      <c r="P17" s="14">
        <f>P16/M16</f>
        <v>0.28833013721584033</v>
      </c>
      <c r="Q17" s="13"/>
      <c r="R17" s="13"/>
      <c r="S17" s="14">
        <f>S16/R16</f>
        <v>0.80547430004178855</v>
      </c>
      <c r="T17" s="16"/>
      <c r="U17" s="16"/>
      <c r="V17" s="13">
        <f t="shared" ref="V17" si="11">0.122*L16</f>
        <v>73590.644</v>
      </c>
      <c r="W17" s="13"/>
      <c r="X17" s="13"/>
      <c r="Y17" s="13">
        <f>8876</f>
        <v>8876</v>
      </c>
      <c r="Z17" s="17"/>
      <c r="AA17" s="18"/>
      <c r="AB17" s="13"/>
      <c r="AC17" s="18"/>
      <c r="AD17" s="18"/>
    </row>
    <row r="18" spans="2:30">
      <c r="B18" s="47" t="s">
        <v>121</v>
      </c>
      <c r="C18" s="102" t="s">
        <v>8</v>
      </c>
      <c r="D18" s="8">
        <v>2123</v>
      </c>
      <c r="E18" s="56">
        <v>11</v>
      </c>
      <c r="F18" s="56">
        <v>1159</v>
      </c>
      <c r="G18" s="56">
        <v>659</v>
      </c>
      <c r="H18" s="8">
        <v>36</v>
      </c>
      <c r="I18" s="9"/>
      <c r="J18" s="9"/>
      <c r="K18" s="82"/>
      <c r="L18" s="57">
        <v>1039443</v>
      </c>
      <c r="M18" s="84">
        <v>560943</v>
      </c>
      <c r="N18" s="8">
        <v>2182</v>
      </c>
      <c r="O18" s="87">
        <v>403012</v>
      </c>
      <c r="P18" s="56">
        <v>128928</v>
      </c>
      <c r="Q18" s="8">
        <v>28152</v>
      </c>
      <c r="R18" s="8">
        <v>7038</v>
      </c>
      <c r="S18" s="8">
        <v>4768</v>
      </c>
      <c r="T18" s="10">
        <f t="shared" ref="T18" si="12">Y18+Y19</f>
        <v>9327</v>
      </c>
      <c r="U18" s="11">
        <f>V18/V19</f>
        <v>0.49032408167280889</v>
      </c>
      <c r="V18" s="56">
        <v>62179</v>
      </c>
      <c r="W18" s="56">
        <v>177499</v>
      </c>
      <c r="X18" s="8">
        <v>35237</v>
      </c>
      <c r="Y18" s="8">
        <v>47</v>
      </c>
      <c r="Z18" s="11">
        <f>AA18/AC18</f>
        <v>2.2212086170138218E-2</v>
      </c>
      <c r="AA18" s="12">
        <f>64441.6</f>
        <v>64441.599999999999</v>
      </c>
      <c r="AB18" s="8">
        <f>151856</f>
        <v>151856</v>
      </c>
      <c r="AC18" s="12">
        <f>2901195.3</f>
        <v>2901195.3</v>
      </c>
      <c r="AD18" s="53">
        <f>AC18*1000/L18</f>
        <v>2791.105717196614</v>
      </c>
    </row>
    <row r="19" spans="2:30">
      <c r="B19" s="47" t="s">
        <v>121</v>
      </c>
      <c r="C19" s="103"/>
      <c r="D19" s="13"/>
      <c r="E19" s="13"/>
      <c r="F19" s="14">
        <f>I18/L32/1.95</f>
        <v>0</v>
      </c>
      <c r="G19" s="14">
        <f>J18/L32/0.35</f>
        <v>0</v>
      </c>
      <c r="H19" s="14">
        <f>K18/L32/0.075</f>
        <v>0</v>
      </c>
      <c r="I19" s="15"/>
      <c r="J19" s="15"/>
      <c r="K19" s="83"/>
      <c r="L19" s="85"/>
      <c r="M19" s="68"/>
      <c r="N19" s="13"/>
      <c r="O19" s="14">
        <f>O18/L18</f>
        <v>0.38771919191336129</v>
      </c>
      <c r="P19" s="14">
        <f>P18/M18</f>
        <v>0.22984153470138677</v>
      </c>
      <c r="Q19" s="13"/>
      <c r="R19" s="13"/>
      <c r="S19" s="14">
        <f>S18/R18</f>
        <v>0.67746518897414043</v>
      </c>
      <c r="T19" s="16"/>
      <c r="U19" s="16"/>
      <c r="V19" s="13">
        <f t="shared" ref="V19" si="13">0.122*L18</f>
        <v>126812.046</v>
      </c>
      <c r="W19" s="13"/>
      <c r="X19" s="13"/>
      <c r="Y19" s="13">
        <f>9280</f>
        <v>9280</v>
      </c>
      <c r="Z19" s="17"/>
      <c r="AA19" s="18"/>
      <c r="AB19" s="13"/>
      <c r="AC19" s="18"/>
      <c r="AD19" s="18"/>
    </row>
    <row r="20" spans="2:30">
      <c r="B20" s="47" t="s">
        <v>121</v>
      </c>
      <c r="C20" s="102" t="s">
        <v>9</v>
      </c>
      <c r="D20" s="8">
        <v>3033</v>
      </c>
      <c r="E20" s="56">
        <v>21</v>
      </c>
      <c r="F20" s="56">
        <v>1972</v>
      </c>
      <c r="G20" s="56">
        <v>604</v>
      </c>
      <c r="H20" s="8">
        <v>43</v>
      </c>
      <c r="I20" s="9"/>
      <c r="J20" s="9"/>
      <c r="K20" s="82"/>
      <c r="L20" s="57">
        <v>1074327</v>
      </c>
      <c r="M20" s="84">
        <v>576631</v>
      </c>
      <c r="N20" s="8">
        <v>2246</v>
      </c>
      <c r="O20" s="87">
        <v>393618</v>
      </c>
      <c r="P20" s="56">
        <v>145912</v>
      </c>
      <c r="Q20" s="8">
        <v>64751</v>
      </c>
      <c r="R20" s="8">
        <v>5533</v>
      </c>
      <c r="S20" s="8">
        <v>3202</v>
      </c>
      <c r="T20" s="10">
        <f t="shared" ref="T20" si="14">Y20+Y21</f>
        <v>26889</v>
      </c>
      <c r="U20" s="11">
        <f>V20/V21</f>
        <v>0.54378687125315373</v>
      </c>
      <c r="V20" s="56">
        <v>71273</v>
      </c>
      <c r="W20" s="8">
        <v>258135</v>
      </c>
      <c r="X20" s="8">
        <v>41525</v>
      </c>
      <c r="Y20" s="8">
        <v>47</v>
      </c>
      <c r="Z20" s="11">
        <f>AA20/AC20</f>
        <v>0.2085342605494839</v>
      </c>
      <c r="AA20" s="12">
        <f>395026.7</f>
        <v>395026.7</v>
      </c>
      <c r="AB20" s="8">
        <f>211813</f>
        <v>211813</v>
      </c>
      <c r="AC20" s="12">
        <f>1894301.2</f>
        <v>1894301.2</v>
      </c>
      <c r="AD20" s="12">
        <f>AC20*1000/L20</f>
        <v>1763.2445242463421</v>
      </c>
    </row>
    <row r="21" spans="2:30">
      <c r="B21" s="47" t="s">
        <v>121</v>
      </c>
      <c r="C21" s="103"/>
      <c r="D21" s="13"/>
      <c r="E21" s="13"/>
      <c r="F21" s="14">
        <f>I20/L36/1.95</f>
        <v>0</v>
      </c>
      <c r="G21" s="14">
        <f>J20/L36/0.35</f>
        <v>0</v>
      </c>
      <c r="H21" s="14">
        <f>K20/L36/0.075</f>
        <v>0</v>
      </c>
      <c r="I21" s="15"/>
      <c r="J21" s="15"/>
      <c r="K21" s="83"/>
      <c r="L21" s="85"/>
      <c r="M21" s="68"/>
      <c r="N21" s="13"/>
      <c r="O21" s="14">
        <f t="shared" si="0"/>
        <v>0.36638565353007047</v>
      </c>
      <c r="P21" s="14">
        <f>P20/M20</f>
        <v>0.25304224018479754</v>
      </c>
      <c r="Q21" s="13"/>
      <c r="R21" s="13"/>
      <c r="S21" s="14">
        <f>S20/R20</f>
        <v>0.57870956081691671</v>
      </c>
      <c r="T21" s="16"/>
      <c r="U21" s="16"/>
      <c r="V21" s="13">
        <f t="shared" ref="V21" si="15">0.122*L20</f>
        <v>131067.894</v>
      </c>
      <c r="W21" s="13"/>
      <c r="X21" s="13"/>
      <c r="Y21" s="13">
        <f>26842</f>
        <v>26842</v>
      </c>
      <c r="Z21" s="17"/>
      <c r="AA21" s="18"/>
      <c r="AB21" s="13"/>
      <c r="AC21" s="18"/>
      <c r="AD21" s="12"/>
    </row>
    <row r="22" spans="2:30">
      <c r="B22" s="47" t="s">
        <v>121</v>
      </c>
      <c r="C22" s="102" t="s">
        <v>10</v>
      </c>
      <c r="D22" s="8">
        <v>10061</v>
      </c>
      <c r="E22" s="56">
        <v>122</v>
      </c>
      <c r="F22" s="56">
        <v>5542</v>
      </c>
      <c r="G22" s="56">
        <v>2248</v>
      </c>
      <c r="H22" s="8">
        <v>285</v>
      </c>
      <c r="I22" s="9"/>
      <c r="J22" s="9"/>
      <c r="K22" s="82"/>
      <c r="L22" s="57">
        <v>6813823</v>
      </c>
      <c r="M22" s="84">
        <v>3629254</v>
      </c>
      <c r="N22" s="8">
        <v>19625</v>
      </c>
      <c r="O22" s="87">
        <v>2344647</v>
      </c>
      <c r="P22" s="56">
        <v>922390</v>
      </c>
      <c r="Q22" s="8">
        <v>202654</v>
      </c>
      <c r="R22" s="8">
        <v>28550</v>
      </c>
      <c r="S22" s="8">
        <v>14126</v>
      </c>
      <c r="T22" s="10">
        <f t="shared" ref="T22" si="16">Y22+Y23</f>
        <v>31047</v>
      </c>
      <c r="U22" s="11">
        <f>V22/V23</f>
        <v>0.29260071889110145</v>
      </c>
      <c r="V22" s="56">
        <v>243235</v>
      </c>
      <c r="W22" s="56">
        <v>700793</v>
      </c>
      <c r="X22" s="8">
        <v>160150</v>
      </c>
      <c r="Y22" s="8">
        <v>417</v>
      </c>
      <c r="Z22" s="11">
        <f>AA22/AC22</f>
        <v>0.14580990369190705</v>
      </c>
      <c r="AA22" s="12">
        <f>3182652.2</f>
        <v>3182652.2</v>
      </c>
      <c r="AB22" s="8">
        <f>1202288</f>
        <v>1202288</v>
      </c>
      <c r="AC22" s="12">
        <f>21827407.6</f>
        <v>21827407.600000001</v>
      </c>
      <c r="AD22" s="12">
        <f>AC22*1000/L22</f>
        <v>3203.4010275875967</v>
      </c>
    </row>
    <row r="23" spans="2:30">
      <c r="B23" s="47" t="s">
        <v>121</v>
      </c>
      <c r="C23" s="103"/>
      <c r="D23" s="13"/>
      <c r="E23" s="13"/>
      <c r="F23" s="14"/>
      <c r="G23" s="14"/>
      <c r="H23" s="14"/>
      <c r="I23" s="15"/>
      <c r="J23" s="15"/>
      <c r="K23" s="83"/>
      <c r="L23" s="15"/>
      <c r="M23" s="68"/>
      <c r="N23" s="13"/>
      <c r="O23" s="14">
        <f t="shared" si="0"/>
        <v>0.34410154182167629</v>
      </c>
      <c r="P23" s="14">
        <f>P22/M22</f>
        <v>0.25415415950495612</v>
      </c>
      <c r="Q23" s="13"/>
      <c r="R23" s="13"/>
      <c r="S23" s="14">
        <f>S22/R22</f>
        <v>0.49478108581436075</v>
      </c>
      <c r="T23" s="16"/>
      <c r="U23" s="16"/>
      <c r="V23" s="13">
        <f t="shared" ref="V23" si="17">0.122*L22</f>
        <v>831286.40599999996</v>
      </c>
      <c r="W23" s="13"/>
      <c r="X23" s="13"/>
      <c r="Y23" s="13">
        <f>30630</f>
        <v>30630</v>
      </c>
      <c r="Z23" s="17"/>
      <c r="AA23" s="18"/>
      <c r="AB23" s="13"/>
      <c r="AC23" s="18"/>
      <c r="AD23" s="12"/>
    </row>
    <row r="24" spans="2:30">
      <c r="B24" s="47" t="s">
        <v>121</v>
      </c>
      <c r="C24" s="102" t="s">
        <v>11</v>
      </c>
      <c r="D24" s="8">
        <v>1890</v>
      </c>
      <c r="E24" s="56">
        <v>5</v>
      </c>
      <c r="F24" s="56">
        <v>1087</v>
      </c>
      <c r="G24" s="56">
        <v>594</v>
      </c>
      <c r="H24" s="8">
        <v>34</v>
      </c>
      <c r="I24" s="9"/>
      <c r="J24" s="9"/>
      <c r="K24" s="82"/>
      <c r="L24" s="57">
        <v>706059</v>
      </c>
      <c r="M24" s="84">
        <v>382235</v>
      </c>
      <c r="N24" s="8">
        <v>1859</v>
      </c>
      <c r="O24" s="87">
        <v>144275</v>
      </c>
      <c r="P24" s="56">
        <v>48731</v>
      </c>
      <c r="Q24" s="8">
        <v>2812</v>
      </c>
      <c r="R24" s="8">
        <v>4680</v>
      </c>
      <c r="S24" s="8">
        <v>3524</v>
      </c>
      <c r="T24" s="10">
        <f t="shared" ref="T24" si="18">Y24+Y25</f>
        <v>4686</v>
      </c>
      <c r="U24" s="11">
        <f>V24/V25</f>
        <v>0.61493491035289183</v>
      </c>
      <c r="V24" s="56">
        <v>52970</v>
      </c>
      <c r="W24" s="56">
        <v>44265</v>
      </c>
      <c r="X24" s="8">
        <v>23762</v>
      </c>
      <c r="Y24" s="8">
        <v>22</v>
      </c>
      <c r="Z24" s="11">
        <f>AA24/AC24</f>
        <v>6.4849459894277178E-2</v>
      </c>
      <c r="AA24" s="12">
        <f>47967.2</f>
        <v>47967.199999999997</v>
      </c>
      <c r="AB24" s="8">
        <f>85239</f>
        <v>85239</v>
      </c>
      <c r="AC24" s="12">
        <f>739670</f>
        <v>739670</v>
      </c>
      <c r="AD24" s="12">
        <f t="shared" ref="AD24:AD38" si="19">AC24*1000/L24</f>
        <v>1047.6036705147869</v>
      </c>
    </row>
    <row r="25" spans="2:30">
      <c r="B25" s="47" t="s">
        <v>121</v>
      </c>
      <c r="C25" s="103"/>
      <c r="D25" s="13"/>
      <c r="E25" s="13"/>
      <c r="F25" s="14"/>
      <c r="G25" s="14"/>
      <c r="H25" s="14"/>
      <c r="I25" s="15"/>
      <c r="J25" s="15"/>
      <c r="K25" s="83"/>
      <c r="L25" s="15"/>
      <c r="M25" s="68"/>
      <c r="N25" s="13"/>
      <c r="O25" s="14">
        <f t="shared" si="0"/>
        <v>0.20433844763681222</v>
      </c>
      <c r="P25" s="14">
        <f>P24/M24</f>
        <v>0.12748963334074587</v>
      </c>
      <c r="Q25" s="13"/>
      <c r="R25" s="13"/>
      <c r="S25" s="14">
        <f>S24/R24</f>
        <v>0.75299145299145298</v>
      </c>
      <c r="T25" s="16"/>
      <c r="U25" s="16"/>
      <c r="V25" s="13">
        <f t="shared" ref="V25" si="20">0.122*L24</f>
        <v>86139.198000000004</v>
      </c>
      <c r="W25" s="13"/>
      <c r="X25" s="13"/>
      <c r="Y25" s="13">
        <f>4664</f>
        <v>4664</v>
      </c>
      <c r="Z25" s="17"/>
      <c r="AA25" s="18"/>
      <c r="AB25" s="13"/>
      <c r="AC25" s="18"/>
      <c r="AD25" s="12"/>
    </row>
    <row r="26" spans="2:30">
      <c r="B26" s="47" t="s">
        <v>121</v>
      </c>
      <c r="C26" s="102" t="s">
        <v>12</v>
      </c>
      <c r="D26" s="8">
        <v>2797</v>
      </c>
      <c r="E26" s="8">
        <v>15</v>
      </c>
      <c r="F26" s="8">
        <v>1346</v>
      </c>
      <c r="G26" s="8">
        <v>527</v>
      </c>
      <c r="H26" s="8">
        <v>43</v>
      </c>
      <c r="I26" s="9"/>
      <c r="J26" s="9"/>
      <c r="K26" s="82"/>
      <c r="L26" s="57">
        <v>1045076</v>
      </c>
      <c r="M26" s="84">
        <v>560083</v>
      </c>
      <c r="N26" s="8">
        <v>2396</v>
      </c>
      <c r="O26" s="87">
        <v>383482</v>
      </c>
      <c r="P26" s="56">
        <v>170380</v>
      </c>
      <c r="Q26" s="8">
        <v>18135</v>
      </c>
      <c r="R26" s="8">
        <v>10092</v>
      </c>
      <c r="S26" s="8">
        <v>7339</v>
      </c>
      <c r="T26" s="10">
        <f t="shared" ref="T26" si="21">Y26+Y27</f>
        <v>15515</v>
      </c>
      <c r="U26" s="11">
        <f>V26/V27</f>
        <v>0.53499913317152115</v>
      </c>
      <c r="V26" s="56">
        <v>68212</v>
      </c>
      <c r="W26" s="8">
        <v>176818</v>
      </c>
      <c r="X26" s="8">
        <v>41643</v>
      </c>
      <c r="Y26" s="8">
        <v>78</v>
      </c>
      <c r="Z26" s="11">
        <f>AA26/AC26</f>
        <v>9.7053370036870423E-2</v>
      </c>
      <c r="AA26" s="12">
        <f>245220.8</f>
        <v>245220.8</v>
      </c>
      <c r="AB26" s="8">
        <f>177429</f>
        <v>177429</v>
      </c>
      <c r="AC26" s="12">
        <f>2526659.3</f>
        <v>2526659.2999999998</v>
      </c>
      <c r="AD26" s="12">
        <f t="shared" si="19"/>
        <v>2417.6799582039966</v>
      </c>
    </row>
    <row r="27" spans="2:30">
      <c r="B27" s="47" t="s">
        <v>121</v>
      </c>
      <c r="C27" s="103"/>
      <c r="D27" s="13"/>
      <c r="E27" s="13"/>
      <c r="F27" s="14"/>
      <c r="G27" s="14"/>
      <c r="H27" s="14"/>
      <c r="I27" s="15"/>
      <c r="J27" s="15"/>
      <c r="K27" s="83"/>
      <c r="L27" s="15"/>
      <c r="M27" s="68"/>
      <c r="N27" s="13"/>
      <c r="O27" s="14">
        <f t="shared" si="0"/>
        <v>0.36694173438104022</v>
      </c>
      <c r="P27" s="14">
        <f>P26/M26</f>
        <v>0.30420491248618509</v>
      </c>
      <c r="Q27" s="13"/>
      <c r="R27" s="13"/>
      <c r="S27" s="14">
        <f>S26/R26</f>
        <v>0.72720967102655565</v>
      </c>
      <c r="T27" s="16"/>
      <c r="U27" s="16"/>
      <c r="V27" s="13">
        <f t="shared" ref="V27" si="22">0.122*L26</f>
        <v>127499.272</v>
      </c>
      <c r="W27" s="13"/>
      <c r="X27" s="13"/>
      <c r="Y27" s="13">
        <f>15437</f>
        <v>15437</v>
      </c>
      <c r="Z27" s="17"/>
      <c r="AA27" s="18"/>
      <c r="AB27" s="13"/>
      <c r="AC27" s="18"/>
      <c r="AD27" s="12"/>
    </row>
    <row r="28" spans="2:30">
      <c r="B28" s="47" t="s">
        <v>121</v>
      </c>
      <c r="C28" s="102" t="s">
        <v>13</v>
      </c>
      <c r="D28" s="8">
        <v>2458</v>
      </c>
      <c r="E28" s="56">
        <v>24</v>
      </c>
      <c r="F28" s="56">
        <v>1217</v>
      </c>
      <c r="G28" s="56">
        <v>919</v>
      </c>
      <c r="H28" s="8">
        <v>57</v>
      </c>
      <c r="I28" s="9"/>
      <c r="J28" s="9"/>
      <c r="K28" s="82"/>
      <c r="L28" s="57">
        <v>893079</v>
      </c>
      <c r="M28" s="84">
        <v>474437</v>
      </c>
      <c r="N28" s="8">
        <v>2679</v>
      </c>
      <c r="O28" s="87">
        <v>268156</v>
      </c>
      <c r="P28" s="56">
        <v>114011</v>
      </c>
      <c r="Q28" s="8">
        <v>42432</v>
      </c>
      <c r="R28" s="8">
        <v>4158</v>
      </c>
      <c r="S28" s="8">
        <v>3314</v>
      </c>
      <c r="T28" s="10">
        <f t="shared" ref="T28" si="23">Y28+Y29</f>
        <v>28759</v>
      </c>
      <c r="U28" s="11">
        <f>V28/V29</f>
        <v>0.5579059616905736</v>
      </c>
      <c r="V28" s="56">
        <v>60787</v>
      </c>
      <c r="W28" s="56">
        <v>109983</v>
      </c>
      <c r="X28" s="8">
        <v>23875</v>
      </c>
      <c r="Y28" s="8">
        <v>20</v>
      </c>
      <c r="Z28" s="11">
        <f>AA28/AC28</f>
        <v>6.1865728809903653E-2</v>
      </c>
      <c r="AA28" s="12">
        <f>79854.6</f>
        <v>79854.600000000006</v>
      </c>
      <c r="AB28" s="8">
        <f>53952</f>
        <v>53952</v>
      </c>
      <c r="AC28" s="12">
        <f>1290772.8</f>
        <v>1290772.8</v>
      </c>
      <c r="AD28" s="12">
        <f t="shared" si="19"/>
        <v>1445.3064062641715</v>
      </c>
    </row>
    <row r="29" spans="2:30">
      <c r="B29" s="47" t="s">
        <v>121</v>
      </c>
      <c r="C29" s="103"/>
      <c r="D29" s="13"/>
      <c r="E29" s="13"/>
      <c r="F29" s="14"/>
      <c r="G29" s="14"/>
      <c r="H29" s="14"/>
      <c r="I29" s="15"/>
      <c r="J29" s="15"/>
      <c r="K29" s="83"/>
      <c r="L29" s="15"/>
      <c r="M29" s="68"/>
      <c r="N29" s="13"/>
      <c r="O29" s="14">
        <f t="shared" si="0"/>
        <v>0.30026011136752739</v>
      </c>
      <c r="P29" s="14">
        <f>P28/M28</f>
        <v>0.24030798609720574</v>
      </c>
      <c r="Q29" s="13"/>
      <c r="R29" s="13"/>
      <c r="S29" s="14">
        <f>S28/R28</f>
        <v>0.79701779701779707</v>
      </c>
      <c r="T29" s="16"/>
      <c r="U29" s="16"/>
      <c r="V29" s="13">
        <f t="shared" ref="V29" si="24">0.122*L28</f>
        <v>108955.63799999999</v>
      </c>
      <c r="W29" s="13"/>
      <c r="X29" s="13"/>
      <c r="Y29" s="13">
        <f>28739</f>
        <v>28739</v>
      </c>
      <c r="Z29" s="17"/>
      <c r="AA29" s="18"/>
      <c r="AB29" s="13"/>
      <c r="AC29" s="18"/>
      <c r="AD29" s="12"/>
    </row>
    <row r="30" spans="2:30">
      <c r="B30" s="47" t="s">
        <v>121</v>
      </c>
      <c r="C30" s="102" t="s">
        <v>14</v>
      </c>
      <c r="D30" s="8">
        <v>3911</v>
      </c>
      <c r="E30" s="56">
        <v>21</v>
      </c>
      <c r="F30" s="56">
        <v>2823</v>
      </c>
      <c r="G30" s="56">
        <v>635</v>
      </c>
      <c r="H30" s="8">
        <v>40</v>
      </c>
      <c r="I30" s="9"/>
      <c r="J30" s="9"/>
      <c r="K30" s="82"/>
      <c r="L30" s="57">
        <v>974300</v>
      </c>
      <c r="M30" s="84">
        <v>516690</v>
      </c>
      <c r="N30" s="8">
        <v>2098</v>
      </c>
      <c r="O30" s="87">
        <v>367384</v>
      </c>
      <c r="P30" s="56">
        <v>134763</v>
      </c>
      <c r="Q30" s="8">
        <v>59422</v>
      </c>
      <c r="R30" s="8">
        <v>3471</v>
      </c>
      <c r="S30" s="8">
        <v>3167</v>
      </c>
      <c r="T30" s="10">
        <f t="shared" ref="T30" si="25">Y30+Y31</f>
        <v>14215</v>
      </c>
      <c r="U30" s="11">
        <f>V30/V31</f>
        <v>0.7895874802085735</v>
      </c>
      <c r="V30" s="56">
        <v>93854</v>
      </c>
      <c r="W30" s="56">
        <v>153485</v>
      </c>
      <c r="X30" s="8">
        <v>29900</v>
      </c>
      <c r="Y30" s="8">
        <v>21</v>
      </c>
      <c r="Z30" s="11">
        <f>AA30/AC30</f>
        <v>4.6415452205175525E-2</v>
      </c>
      <c r="AA30" s="12">
        <f>68854</f>
        <v>68854</v>
      </c>
      <c r="AB30" s="8">
        <f>172570</f>
        <v>172570</v>
      </c>
      <c r="AC30" s="12">
        <f>1483428.4</f>
        <v>1483428.4</v>
      </c>
      <c r="AD30" s="12">
        <f t="shared" si="19"/>
        <v>1522.5581443087344</v>
      </c>
    </row>
    <row r="31" spans="2:30">
      <c r="B31" s="47" t="s">
        <v>121</v>
      </c>
      <c r="C31" s="103"/>
      <c r="D31" s="13"/>
      <c r="E31" s="13"/>
      <c r="F31" s="14"/>
      <c r="G31" s="14"/>
      <c r="H31" s="14"/>
      <c r="I31" s="15"/>
      <c r="J31" s="15"/>
      <c r="K31" s="83"/>
      <c r="L31" s="15"/>
      <c r="M31" s="68"/>
      <c r="N31" s="13"/>
      <c r="O31" s="14">
        <f t="shared" si="0"/>
        <v>0.3770748229498101</v>
      </c>
      <c r="P31" s="14">
        <f>P30/M30</f>
        <v>0.26081983394298319</v>
      </c>
      <c r="Q31" s="13"/>
      <c r="R31" s="13"/>
      <c r="S31" s="14">
        <f>S30/R30</f>
        <v>0.91241717084413709</v>
      </c>
      <c r="T31" s="16"/>
      <c r="U31" s="16"/>
      <c r="V31" s="13">
        <f t="shared" ref="V31" si="26">0.122*L30</f>
        <v>118864.59999999999</v>
      </c>
      <c r="W31" s="13"/>
      <c r="X31" s="13"/>
      <c r="Y31" s="13">
        <f>14194</f>
        <v>14194</v>
      </c>
      <c r="Z31" s="17"/>
      <c r="AA31" s="18"/>
      <c r="AB31" s="13"/>
      <c r="AC31" s="18"/>
      <c r="AD31" s="12"/>
    </row>
    <row r="32" spans="2:30">
      <c r="B32" s="47" t="s">
        <v>121</v>
      </c>
      <c r="C32" s="102" t="s">
        <v>15</v>
      </c>
      <c r="D32" s="8">
        <v>3611</v>
      </c>
      <c r="E32" s="56">
        <v>17</v>
      </c>
      <c r="F32" s="56">
        <v>2024</v>
      </c>
      <c r="G32" s="56">
        <v>819</v>
      </c>
      <c r="H32" s="8">
        <v>58</v>
      </c>
      <c r="I32" s="9"/>
      <c r="J32" s="9"/>
      <c r="K32" s="82"/>
      <c r="L32" s="57">
        <v>1207141</v>
      </c>
      <c r="M32" s="84">
        <v>647648</v>
      </c>
      <c r="N32" s="8">
        <v>3029</v>
      </c>
      <c r="O32" s="87">
        <v>389482</v>
      </c>
      <c r="P32" s="56">
        <v>153729</v>
      </c>
      <c r="Q32" s="8">
        <v>31076</v>
      </c>
      <c r="R32" s="8">
        <v>6938</v>
      </c>
      <c r="S32" s="8">
        <v>3210</v>
      </c>
      <c r="T32" s="10">
        <f t="shared" ref="T32" si="27">Y32+Y33</f>
        <v>27991</v>
      </c>
      <c r="U32" s="11">
        <f>V32/V33</f>
        <v>0.53226291994275976</v>
      </c>
      <c r="V32" s="56">
        <v>78387</v>
      </c>
      <c r="W32" s="8">
        <v>191519</v>
      </c>
      <c r="X32" s="8">
        <v>37201</v>
      </c>
      <c r="Y32" s="8">
        <v>65</v>
      </c>
      <c r="Z32" s="11">
        <f>AA32/AC32</f>
        <v>1.8825097159670182E-3</v>
      </c>
      <c r="AA32" s="12">
        <f>2146.7</f>
        <v>2146.6999999999998</v>
      </c>
      <c r="AB32" s="8">
        <f>227807</f>
        <v>227807</v>
      </c>
      <c r="AC32" s="12">
        <f>1140339.4</f>
        <v>1140339.3999999999</v>
      </c>
      <c r="AD32" s="12">
        <f t="shared" si="19"/>
        <v>944.66131131326006</v>
      </c>
    </row>
    <row r="33" spans="1:30">
      <c r="B33" s="47" t="s">
        <v>121</v>
      </c>
      <c r="C33" s="103"/>
      <c r="D33" s="13"/>
      <c r="E33" s="13"/>
      <c r="F33" s="14"/>
      <c r="G33" s="14"/>
      <c r="H33" s="14"/>
      <c r="I33" s="15"/>
      <c r="J33" s="15"/>
      <c r="K33" s="83"/>
      <c r="L33" s="15"/>
      <c r="M33" s="68"/>
      <c r="N33" s="13"/>
      <c r="O33" s="14">
        <f t="shared" si="0"/>
        <v>0.32264830703289837</v>
      </c>
      <c r="P33" s="14">
        <f>P32/M32</f>
        <v>0.23736505015069914</v>
      </c>
      <c r="Q33" s="13"/>
      <c r="R33" s="13"/>
      <c r="S33" s="14">
        <f>S32/R32</f>
        <v>0.4626693571634477</v>
      </c>
      <c r="T33" s="16"/>
      <c r="U33" s="16"/>
      <c r="V33" s="13">
        <f t="shared" ref="V33" si="28">0.122*L32</f>
        <v>147271.20199999999</v>
      </c>
      <c r="W33" s="13"/>
      <c r="X33" s="13"/>
      <c r="Y33" s="13">
        <f>27926</f>
        <v>27926</v>
      </c>
      <c r="Z33" s="17"/>
      <c r="AA33" s="18"/>
      <c r="AB33" s="13"/>
      <c r="AC33" s="18"/>
      <c r="AD33" s="12"/>
    </row>
    <row r="34" spans="1:30">
      <c r="B34" s="47" t="s">
        <v>121</v>
      </c>
      <c r="C34" s="102" t="s">
        <v>16</v>
      </c>
      <c r="D34" s="8">
        <v>2298</v>
      </c>
      <c r="E34" s="56">
        <v>20</v>
      </c>
      <c r="F34" s="56">
        <v>1260</v>
      </c>
      <c r="G34" s="56">
        <v>612</v>
      </c>
      <c r="H34" s="8">
        <v>47</v>
      </c>
      <c r="I34" s="9"/>
      <c r="J34" s="9"/>
      <c r="K34" s="82"/>
      <c r="L34" s="57">
        <v>1397677</v>
      </c>
      <c r="M34" s="84">
        <v>754824</v>
      </c>
      <c r="N34" s="8">
        <v>2535</v>
      </c>
      <c r="O34" s="87">
        <v>459767</v>
      </c>
      <c r="P34" s="56">
        <v>175822</v>
      </c>
      <c r="Q34" s="8">
        <v>31114</v>
      </c>
      <c r="R34" s="8">
        <v>8177</v>
      </c>
      <c r="S34" s="8">
        <v>6364</v>
      </c>
      <c r="T34" s="10">
        <f t="shared" ref="T34" si="29">Y34+Y35</f>
        <v>7189</v>
      </c>
      <c r="U34" s="11">
        <f>V34/V35</f>
        <v>0.50264316210773019</v>
      </c>
      <c r="V34" s="56">
        <v>85709</v>
      </c>
      <c r="W34" s="56">
        <v>173368</v>
      </c>
      <c r="X34" s="8">
        <v>26833</v>
      </c>
      <c r="Y34" s="8">
        <v>53</v>
      </c>
      <c r="Z34" s="11">
        <f>AA34/AC34</f>
        <v>9.3781457193750806E-2</v>
      </c>
      <c r="AA34" s="12">
        <f>127261.7</f>
        <v>127261.7</v>
      </c>
      <c r="AB34" s="8">
        <f>129648</f>
        <v>129648</v>
      </c>
      <c r="AC34" s="12">
        <f>1357002.8</f>
        <v>1357002.8</v>
      </c>
      <c r="AD34" s="12">
        <f t="shared" si="19"/>
        <v>970.89871264963222</v>
      </c>
    </row>
    <row r="35" spans="1:30">
      <c r="B35" s="47" t="s">
        <v>121</v>
      </c>
      <c r="C35" s="103"/>
      <c r="D35" s="13"/>
      <c r="E35" s="13"/>
      <c r="F35" s="14"/>
      <c r="G35" s="14"/>
      <c r="H35" s="14"/>
      <c r="I35" s="15"/>
      <c r="J35" s="15"/>
      <c r="K35" s="83"/>
      <c r="L35" s="15"/>
      <c r="M35" s="68"/>
      <c r="N35" s="13"/>
      <c r="O35" s="14">
        <f t="shared" si="0"/>
        <v>0.3289508234019734</v>
      </c>
      <c r="P35" s="14">
        <f>P34/M34</f>
        <v>0.23293112036713193</v>
      </c>
      <c r="Q35" s="13"/>
      <c r="R35" s="13"/>
      <c r="S35" s="14">
        <f>S34/R34</f>
        <v>0.77828054298642535</v>
      </c>
      <c r="T35" s="16"/>
      <c r="U35" s="16"/>
      <c r="V35" s="13">
        <f t="shared" ref="V35" si="30">0.122*L34</f>
        <v>170516.59399999998</v>
      </c>
      <c r="W35" s="13"/>
      <c r="X35" s="13"/>
      <c r="Y35" s="13">
        <f>7136</f>
        <v>7136</v>
      </c>
      <c r="Z35" s="17"/>
      <c r="AA35" s="18"/>
      <c r="AB35" s="13"/>
      <c r="AC35" s="18"/>
      <c r="AD35" s="12"/>
    </row>
    <row r="36" spans="1:30">
      <c r="B36" s="47" t="s">
        <v>121</v>
      </c>
      <c r="C36" s="102" t="s">
        <v>17</v>
      </c>
      <c r="D36" s="8">
        <v>2334</v>
      </c>
      <c r="E36" s="56">
        <v>13</v>
      </c>
      <c r="F36" s="56">
        <v>1184</v>
      </c>
      <c r="G36" s="56">
        <v>558</v>
      </c>
      <c r="H36" s="8">
        <v>25</v>
      </c>
      <c r="I36" s="9"/>
      <c r="J36" s="9"/>
      <c r="K36" s="82"/>
      <c r="L36" s="57">
        <v>1178255</v>
      </c>
      <c r="M36" s="84">
        <v>641296</v>
      </c>
      <c r="N36" s="8">
        <v>3124</v>
      </c>
      <c r="O36" s="87">
        <v>371204</v>
      </c>
      <c r="P36" s="56">
        <v>151558</v>
      </c>
      <c r="Q36" s="8">
        <v>11382</v>
      </c>
      <c r="R36" s="8">
        <v>7452</v>
      </c>
      <c r="S36" s="8">
        <v>4410</v>
      </c>
      <c r="T36" s="10">
        <f t="shared" ref="T36" si="31">Y36+Y37</f>
        <v>9519</v>
      </c>
      <c r="U36" s="11">
        <f>V36/V37</f>
        <v>0.44247150429667775</v>
      </c>
      <c r="V36" s="56">
        <v>63604</v>
      </c>
      <c r="W36" s="8">
        <v>166127</v>
      </c>
      <c r="X36" s="8">
        <v>54837</v>
      </c>
      <c r="Y36" s="8">
        <v>68</v>
      </c>
      <c r="Z36" s="11">
        <f>AA36/AC36</f>
        <v>0.10068206604884344</v>
      </c>
      <c r="AA36" s="12">
        <f>272851.5</f>
        <v>272851.5</v>
      </c>
      <c r="AB36" s="8">
        <f>159185</f>
        <v>159185</v>
      </c>
      <c r="AC36" s="12">
        <f>2710030.8</f>
        <v>2710030.8</v>
      </c>
      <c r="AD36" s="12">
        <f t="shared" si="19"/>
        <v>2300.0375979732739</v>
      </c>
    </row>
    <row r="37" spans="1:30">
      <c r="B37" s="47" t="s">
        <v>121</v>
      </c>
      <c r="C37" s="103"/>
      <c r="D37" s="13"/>
      <c r="E37" s="13"/>
      <c r="F37" s="14"/>
      <c r="G37" s="14"/>
      <c r="H37" s="14"/>
      <c r="I37" s="15"/>
      <c r="J37" s="15"/>
      <c r="K37" s="83"/>
      <c r="L37" s="15"/>
      <c r="M37" s="68"/>
      <c r="N37" s="13"/>
      <c r="O37" s="14">
        <f t="shared" si="0"/>
        <v>0.31504555465497708</v>
      </c>
      <c r="P37" s="14">
        <f>P36/M36</f>
        <v>0.23633080511963275</v>
      </c>
      <c r="Q37" s="13"/>
      <c r="R37" s="13"/>
      <c r="S37" s="14">
        <f>S36/R36</f>
        <v>0.59178743961352653</v>
      </c>
      <c r="T37" s="16"/>
      <c r="U37" s="16"/>
      <c r="V37" s="13">
        <f t="shared" ref="V37" si="32">0.122*L36</f>
        <v>143747.10999999999</v>
      </c>
      <c r="W37" s="13"/>
      <c r="X37" s="13"/>
      <c r="Y37" s="13">
        <f>9451</f>
        <v>9451</v>
      </c>
      <c r="Z37" s="17"/>
      <c r="AA37" s="18"/>
      <c r="AB37" s="13"/>
      <c r="AC37" s="18"/>
      <c r="AD37" s="12"/>
    </row>
    <row r="38" spans="1:30">
      <c r="B38" s="47" t="s">
        <v>121</v>
      </c>
      <c r="C38" s="102" t="s">
        <v>18</v>
      </c>
      <c r="D38" s="8">
        <v>19995</v>
      </c>
      <c r="E38" s="56">
        <v>21</v>
      </c>
      <c r="F38" s="56">
        <v>11411</v>
      </c>
      <c r="G38" s="56">
        <v>3654</v>
      </c>
      <c r="H38" s="8">
        <v>377</v>
      </c>
      <c r="I38" s="9"/>
      <c r="J38" s="9"/>
      <c r="K38" s="82"/>
      <c r="L38" s="57">
        <v>11446271</v>
      </c>
      <c r="M38" s="84">
        <v>6103465</v>
      </c>
      <c r="N38" s="8">
        <v>34645</v>
      </c>
      <c r="O38" s="87">
        <v>3948417</v>
      </c>
      <c r="P38" s="56">
        <v>1723117</v>
      </c>
      <c r="Q38" s="8">
        <v>405162</v>
      </c>
      <c r="R38" s="8">
        <v>102276</v>
      </c>
      <c r="S38" s="8">
        <v>59839</v>
      </c>
      <c r="T38" s="10">
        <f t="shared" ref="T38" si="33">Y38+Y39</f>
        <v>37384</v>
      </c>
      <c r="U38" s="11">
        <f>V38/V39</f>
        <v>0.33445712452954346</v>
      </c>
      <c r="V38" s="56">
        <v>467051</v>
      </c>
      <c r="W38" s="56">
        <v>1623978</v>
      </c>
      <c r="X38" s="8">
        <f>433234</f>
        <v>433234</v>
      </c>
      <c r="Y38" s="8">
        <v>824</v>
      </c>
      <c r="Z38" s="11">
        <f>AA38/AC38</f>
        <v>0.25192855646357365</v>
      </c>
      <c r="AA38" s="12">
        <f>13251292.5</f>
        <v>13251292.5</v>
      </c>
      <c r="AB38" s="8">
        <f>3533991</f>
        <v>3533991</v>
      </c>
      <c r="AC38" s="12">
        <v>52599406.299999997</v>
      </c>
      <c r="AD38" s="12">
        <f t="shared" si="19"/>
        <v>4595.3312043721489</v>
      </c>
    </row>
    <row r="39" spans="1:30">
      <c r="B39" s="47" t="s">
        <v>121</v>
      </c>
      <c r="C39" s="103"/>
      <c r="D39" s="13"/>
      <c r="E39" s="13"/>
      <c r="F39" s="14"/>
      <c r="G39" s="14"/>
      <c r="H39" s="14"/>
      <c r="I39" s="15"/>
      <c r="J39" s="15"/>
      <c r="K39" s="83"/>
      <c r="L39" s="15"/>
      <c r="M39" s="68"/>
      <c r="N39" s="13"/>
      <c r="O39" s="14">
        <f t="shared" si="0"/>
        <v>0.34495225562980292</v>
      </c>
      <c r="P39" s="14">
        <f>P38/M38</f>
        <v>0.2823178309370169</v>
      </c>
      <c r="Q39" s="13"/>
      <c r="R39" s="13"/>
      <c r="S39" s="14">
        <f>S38/R38</f>
        <v>0.5850737220853377</v>
      </c>
      <c r="T39" s="16"/>
      <c r="U39" s="16"/>
      <c r="V39" s="13">
        <f t="shared" ref="V39" si="34">0.122*L38</f>
        <v>1396445.0619999999</v>
      </c>
      <c r="W39" s="13"/>
      <c r="X39" s="13"/>
      <c r="Y39" s="13">
        <f>36560</f>
        <v>36560</v>
      </c>
      <c r="Z39" s="17"/>
      <c r="AA39" s="18"/>
      <c r="AB39" s="13"/>
      <c r="AC39" s="18"/>
      <c r="AD39" s="18"/>
    </row>
    <row r="40" spans="1:30" s="20" customFormat="1" ht="11.25" customHeight="1">
      <c r="A40" s="49" t="s">
        <v>129</v>
      </c>
      <c r="B40" s="50" t="s">
        <v>121</v>
      </c>
      <c r="C40" s="104" t="s">
        <v>19</v>
      </c>
      <c r="D40" s="24">
        <f>SUM(D4:D38)</f>
        <v>77725</v>
      </c>
      <c r="E40" s="24">
        <f>SUM(E4:E38)</f>
        <v>440</v>
      </c>
      <c r="F40" s="24">
        <f>SUM(F4:F38)</f>
        <v>44786</v>
      </c>
      <c r="G40" s="24">
        <f>G4+G6+G8+G10+G12+G14+G16+G18+G20+G22+G24+G26+G28+G30+G32+G34+G36+G38</f>
        <v>16889</v>
      </c>
      <c r="H40" s="24">
        <f t="shared" ref="H40:T40" si="35">SUM(H38,H36,H34,H32,H30,H28,H26,H24,H22,H20,H18,H16,H14,H12,H10,H8,H6,H4)</f>
        <v>1484</v>
      </c>
      <c r="I40" s="19">
        <f t="shared" si="35"/>
        <v>0</v>
      </c>
      <c r="J40" s="19">
        <f t="shared" si="35"/>
        <v>0</v>
      </c>
      <c r="K40" s="19">
        <f t="shared" si="35"/>
        <v>0</v>
      </c>
      <c r="L40" s="19">
        <f>SUM(L4+L6+L8+L10+L12+L14+L16+L18+L20+L22+L24+L26+L28+L30+L32+L34+L36+L38)</f>
        <v>36311065</v>
      </c>
      <c r="M40" s="19">
        <f t="shared" si="35"/>
        <v>19418378</v>
      </c>
      <c r="N40" s="24">
        <f>N4+N6+N8+N10+N12+N14+N16+N18+N20+N22+N24+N26+N28+N30+N32+N34+N36+N38</f>
        <v>97936</v>
      </c>
      <c r="O40" s="24">
        <f t="shared" si="35"/>
        <v>12453880</v>
      </c>
      <c r="P40" s="24">
        <f t="shared" si="35"/>
        <v>5070225</v>
      </c>
      <c r="Q40" s="24">
        <f t="shared" si="35"/>
        <v>1187746</v>
      </c>
      <c r="R40" s="24">
        <f t="shared" si="35"/>
        <v>244520</v>
      </c>
      <c r="S40" s="24">
        <f t="shared" si="35"/>
        <v>153440</v>
      </c>
      <c r="T40" s="24">
        <f t="shared" si="35"/>
        <v>368127</v>
      </c>
      <c r="U40" s="21">
        <f>V40/V41</f>
        <v>0.45727943475875815</v>
      </c>
      <c r="V40" s="24">
        <f>SUM(V38,V36,V34,V32,V30,V28,V26,V24,V22,V20,V18,V16,V14,V12,V10,V8,V6,V4)</f>
        <v>2025725</v>
      </c>
      <c r="W40" s="24">
        <f>SUM(W38,W36,W34,W32,W30,W28,W26,W24,W22,W20,W18,W16,W14,W12,W10,W8,W6,W4)</f>
        <v>4755568</v>
      </c>
      <c r="X40" s="24">
        <f>SUM(X4:X38)</f>
        <v>1156375</v>
      </c>
      <c r="Y40" s="24">
        <f>SUM(Y38,Y36,Y34,Y32,Y30,Y28,Y26,Y24,Y22,Y20,Y18,Y16,Y14,Y12,Y10,Y8,Y6,Y4)</f>
        <v>2034</v>
      </c>
      <c r="Z40" s="21">
        <f>AA40/AC40</f>
        <v>0.18096207825398514</v>
      </c>
      <c r="AA40" s="22">
        <f>SUM(AA4:AA38)</f>
        <v>19525012.300000001</v>
      </c>
      <c r="AB40" s="24">
        <f>SUM(AB38,AB36,AB34,AB32,AB30,AB28,AB26,AB24,AB22,AB20,AB18,AB16,AB14,AB12,AB10,AB8,AB6,AB4)</f>
        <v>7651767</v>
      </c>
      <c r="AC40" s="22">
        <f>SUM(AC4:AC38)</f>
        <v>107895601.59999998</v>
      </c>
      <c r="AD40" s="22">
        <f>AC40*1000/L40</f>
        <v>2971.4248700774815</v>
      </c>
    </row>
    <row r="41" spans="1:30" s="20" customFormat="1">
      <c r="A41" s="49" t="s">
        <v>129</v>
      </c>
      <c r="B41" s="50" t="s">
        <v>121</v>
      </c>
      <c r="C41" s="105"/>
      <c r="D41" s="26"/>
      <c r="E41" s="26"/>
      <c r="F41" s="23">
        <f>I40/L40/1.95</f>
        <v>0</v>
      </c>
      <c r="G41" s="23">
        <f>J40/L40/0.35</f>
        <v>0</v>
      </c>
      <c r="H41" s="23">
        <f>K40/L40/0.075</f>
        <v>0</v>
      </c>
      <c r="I41" s="19"/>
      <c r="J41" s="19"/>
      <c r="K41" s="19"/>
      <c r="L41" s="19"/>
      <c r="M41" s="19"/>
      <c r="N41" s="26"/>
      <c r="O41" s="23">
        <f>O40/L40</f>
        <v>0.34297754692681143</v>
      </c>
      <c r="P41" s="23">
        <f>P40/M40</f>
        <v>0.26110445475930072</v>
      </c>
      <c r="Q41" s="26"/>
      <c r="R41" s="26"/>
      <c r="S41" s="23">
        <f>S40/R40</f>
        <v>0.62751513168656958</v>
      </c>
      <c r="T41" s="28"/>
      <c r="U41" s="28"/>
      <c r="V41" s="26">
        <f>SUM(V39,V37,V35,V33,V31,V29,V27,V25,V23,V21,V19,V17,V15,V13,V11,V9,V7,V5)</f>
        <v>4429949.93</v>
      </c>
      <c r="W41" s="26"/>
      <c r="X41" s="26"/>
      <c r="Y41" s="26">
        <f>SUM(Y39,Y37,Y35,Y33,Y31,Y29,Y27,Y25,Y23,Y21,Y19,Y17,Y15,Y13,Y11,Y9,Y7,Y5)</f>
        <v>366093</v>
      </c>
      <c r="Z41" s="29"/>
      <c r="AA41" s="30"/>
      <c r="AB41" s="26"/>
      <c r="AC41" s="30"/>
      <c r="AD41" s="30"/>
    </row>
    <row r="42" spans="1:30">
      <c r="B42" s="47" t="s">
        <v>122</v>
      </c>
      <c r="C42" s="102" t="s">
        <v>20</v>
      </c>
      <c r="D42" s="8">
        <v>1595</v>
      </c>
      <c r="E42" s="8">
        <v>4</v>
      </c>
      <c r="F42" s="8">
        <v>632</v>
      </c>
      <c r="G42" s="8">
        <v>394</v>
      </c>
      <c r="H42" s="8">
        <v>33</v>
      </c>
      <c r="I42" s="9"/>
      <c r="J42" s="9"/>
      <c r="K42" s="9"/>
      <c r="L42" s="57">
        <v>586446</v>
      </c>
      <c r="M42" s="57">
        <v>315311</v>
      </c>
      <c r="N42" s="8">
        <v>1687</v>
      </c>
      <c r="O42" s="56">
        <v>204034</v>
      </c>
      <c r="P42" s="56">
        <v>81944</v>
      </c>
      <c r="Q42" s="8">
        <v>28668</v>
      </c>
      <c r="R42" s="8">
        <v>2624</v>
      </c>
      <c r="S42" s="8">
        <v>1744</v>
      </c>
      <c r="T42" s="10">
        <f>Y42+Y43</f>
        <v>6320</v>
      </c>
      <c r="U42" s="11">
        <f>V42/V43</f>
        <v>0.56223644031233877</v>
      </c>
      <c r="V42" s="56">
        <v>40226</v>
      </c>
      <c r="W42" s="56">
        <v>83840</v>
      </c>
      <c r="X42" s="8">
        <v>22703</v>
      </c>
      <c r="Y42" s="8">
        <v>14</v>
      </c>
      <c r="Z42" s="11">
        <f>AA42/AC42</f>
        <v>0.57958160399830683</v>
      </c>
      <c r="AA42" s="12">
        <f>1269844.4</f>
        <v>1269844.3999999999</v>
      </c>
      <c r="AB42" s="8">
        <f>116471</f>
        <v>116471</v>
      </c>
      <c r="AC42" s="12">
        <f>2190967.4</f>
        <v>2190967.4</v>
      </c>
      <c r="AD42" s="12">
        <f>AC42*1000/L42</f>
        <v>3736.0087714810911</v>
      </c>
    </row>
    <row r="43" spans="1:30">
      <c r="B43" s="47" t="s">
        <v>122</v>
      </c>
      <c r="C43" s="103"/>
      <c r="D43" s="13"/>
      <c r="E43" s="13"/>
      <c r="F43" s="14">
        <f>I42/L42/1.95</f>
        <v>0</v>
      </c>
      <c r="G43" s="14">
        <f>J42/L42/0.35</f>
        <v>0</v>
      </c>
      <c r="H43" s="14">
        <f>K42/L42/0.075</f>
        <v>0</v>
      </c>
      <c r="I43" s="15"/>
      <c r="J43" s="15"/>
      <c r="K43" s="15"/>
      <c r="M43" s="15"/>
      <c r="N43" s="13"/>
      <c r="O43" s="14">
        <f>O42/L42</f>
        <v>0.34791609116610905</v>
      </c>
      <c r="P43" s="14">
        <f>P42/M42</f>
        <v>0.25988309954299088</v>
      </c>
      <c r="Q43" s="13"/>
      <c r="R43" s="13"/>
      <c r="S43" s="14">
        <f>S42/R42</f>
        <v>0.66463414634146345</v>
      </c>
      <c r="T43" s="16"/>
      <c r="U43" s="16"/>
      <c r="V43" s="13">
        <f>0.122*L42</f>
        <v>71546.411999999997</v>
      </c>
      <c r="W43" s="13"/>
      <c r="X43" s="13"/>
      <c r="Y43" s="13">
        <f>6306</f>
        <v>6306</v>
      </c>
      <c r="Z43" s="17"/>
      <c r="AA43" s="18"/>
      <c r="AB43" s="13"/>
      <c r="AC43" s="18"/>
      <c r="AD43" s="18"/>
    </row>
    <row r="44" spans="1:30">
      <c r="B44" s="47" t="s">
        <v>122</v>
      </c>
      <c r="C44" s="108" t="s">
        <v>21</v>
      </c>
      <c r="D44" s="8">
        <v>2285</v>
      </c>
      <c r="E44" s="8">
        <v>7</v>
      </c>
      <c r="F44" s="8">
        <v>853</v>
      </c>
      <c r="G44" s="8">
        <v>578</v>
      </c>
      <c r="H44" s="8">
        <v>39</v>
      </c>
      <c r="I44" s="9"/>
      <c r="J44" s="9"/>
      <c r="K44" s="9"/>
      <c r="L44" s="80">
        <v>803693</v>
      </c>
      <c r="M44" s="57">
        <v>421112</v>
      </c>
      <c r="N44" s="8">
        <v>2300</v>
      </c>
      <c r="O44" s="87">
        <v>254195</v>
      </c>
      <c r="P44" s="56">
        <v>88829</v>
      </c>
      <c r="Q44" s="8">
        <v>13182</v>
      </c>
      <c r="R44" s="8">
        <v>3877</v>
      </c>
      <c r="S44" s="8">
        <v>2394</v>
      </c>
      <c r="T44" s="10">
        <f t="shared" ref="T44" si="36">Y44+Y45</f>
        <v>9588</v>
      </c>
      <c r="U44" s="11">
        <f>V44/V45</f>
        <v>0.57693712383814766</v>
      </c>
      <c r="V44" s="56">
        <v>56569</v>
      </c>
      <c r="W44" s="56">
        <v>100650</v>
      </c>
      <c r="X44" s="8">
        <v>35209</v>
      </c>
      <c r="Y44" s="8">
        <v>20</v>
      </c>
      <c r="Z44" s="11">
        <f>AA44/AC44</f>
        <v>5.5801608600663945E-2</v>
      </c>
      <c r="AA44" s="12">
        <f>375817.4</f>
        <v>375817.4</v>
      </c>
      <c r="AB44" s="8">
        <f>159621</f>
        <v>159621</v>
      </c>
      <c r="AC44" s="53">
        <f>6734884.7</f>
        <v>6734884.7000000002</v>
      </c>
      <c r="AD44" s="53">
        <f>AC44*1000/L44</f>
        <v>8379.9220597914882</v>
      </c>
    </row>
    <row r="45" spans="1:30">
      <c r="B45" s="47" t="s">
        <v>122</v>
      </c>
      <c r="C45" s="109"/>
      <c r="D45" s="13"/>
      <c r="E45" s="13"/>
      <c r="F45" s="14">
        <f>I44/L46/1.95</f>
        <v>0</v>
      </c>
      <c r="G45" s="14">
        <f>J44/L46/0.35</f>
        <v>0</v>
      </c>
      <c r="H45" s="14">
        <f>K44/L46/0.075</f>
        <v>0</v>
      </c>
      <c r="I45" s="15"/>
      <c r="J45" s="15"/>
      <c r="K45" s="15"/>
      <c r="M45" s="15"/>
      <c r="N45" s="13"/>
      <c r="O45" s="14">
        <f t="shared" ref="O45:O63" si="37">O44/L44</f>
        <v>0.31628370534520023</v>
      </c>
      <c r="P45" s="14">
        <f>P44/M44</f>
        <v>0.2109391325823059</v>
      </c>
      <c r="Q45" s="13"/>
      <c r="R45" s="13"/>
      <c r="S45" s="14">
        <f>S44/R44</f>
        <v>0.61748774825896313</v>
      </c>
      <c r="T45" s="16"/>
      <c r="U45" s="16"/>
      <c r="V45" s="13">
        <f t="shared" ref="V45" si="38">0.122*L44</f>
        <v>98050.546000000002</v>
      </c>
      <c r="W45" s="13"/>
      <c r="X45" s="13"/>
      <c r="Y45" s="13">
        <f>9568</f>
        <v>9568</v>
      </c>
      <c r="Z45" s="17"/>
      <c r="AA45" s="18"/>
      <c r="AB45" s="13"/>
      <c r="AC45" s="18"/>
      <c r="AD45" s="18"/>
    </row>
    <row r="46" spans="1:30" s="6" customFormat="1">
      <c r="A46" s="48"/>
      <c r="B46" s="47" t="s">
        <v>122</v>
      </c>
      <c r="C46" s="102" t="s">
        <v>22</v>
      </c>
      <c r="D46" s="8">
        <v>2310</v>
      </c>
      <c r="E46" s="8">
        <v>10</v>
      </c>
      <c r="F46" s="8">
        <v>1002</v>
      </c>
      <c r="G46" s="8">
        <v>642</v>
      </c>
      <c r="H46" s="8">
        <v>49</v>
      </c>
      <c r="I46" s="9"/>
      <c r="J46" s="9"/>
      <c r="K46" s="9"/>
      <c r="L46" s="57">
        <v>1053942</v>
      </c>
      <c r="M46" s="57">
        <v>554593</v>
      </c>
      <c r="N46" s="8">
        <v>4151</v>
      </c>
      <c r="O46" s="88">
        <v>330091</v>
      </c>
      <c r="P46" s="56">
        <v>127412</v>
      </c>
      <c r="Q46" s="8">
        <v>48322</v>
      </c>
      <c r="R46" s="8">
        <v>4672</v>
      </c>
      <c r="S46" s="8">
        <v>2333</v>
      </c>
      <c r="T46" s="10">
        <f t="shared" ref="T46" si="39">Y46+Y47</f>
        <v>9606</v>
      </c>
      <c r="U46" s="11">
        <f>V46/V47</f>
        <v>0.46450125058986197</v>
      </c>
      <c r="V46" s="56">
        <v>59726</v>
      </c>
      <c r="W46" s="56">
        <v>126295</v>
      </c>
      <c r="X46" s="8">
        <v>29035</v>
      </c>
      <c r="Y46" s="8">
        <v>38</v>
      </c>
      <c r="Z46" s="11">
        <f>AA46/AC46</f>
        <v>0.27642967865155388</v>
      </c>
      <c r="AA46" s="12">
        <f>540265</f>
        <v>540265</v>
      </c>
      <c r="AB46" s="8">
        <f>139060</f>
        <v>139060</v>
      </c>
      <c r="AC46" s="12">
        <f>1954439.2</f>
        <v>1954439.2</v>
      </c>
      <c r="AD46" s="53">
        <f t="shared" ref="AD46" si="40">AC46*1000/L46</f>
        <v>1854.4086866260193</v>
      </c>
    </row>
    <row r="47" spans="1:30" s="6" customFormat="1">
      <c r="A47" s="48"/>
      <c r="B47" s="47" t="s">
        <v>122</v>
      </c>
      <c r="C47" s="103"/>
      <c r="D47" s="13"/>
      <c r="E47" s="13"/>
      <c r="F47" s="14">
        <f>I46/L50/1.95</f>
        <v>0</v>
      </c>
      <c r="G47" s="14">
        <f>J46/L50/0.35</f>
        <v>0</v>
      </c>
      <c r="H47" s="14">
        <f>K46/L50/0.075</f>
        <v>0</v>
      </c>
      <c r="I47" s="15"/>
      <c r="J47" s="15"/>
      <c r="K47" s="15"/>
      <c r="L47" s="81"/>
      <c r="M47" s="15"/>
      <c r="N47" s="13"/>
      <c r="O47" s="14">
        <f t="shared" si="37"/>
        <v>0.31319655161289711</v>
      </c>
      <c r="P47" s="14">
        <f>P46/M46</f>
        <v>0.22973964691224014</v>
      </c>
      <c r="Q47" s="13"/>
      <c r="R47" s="13"/>
      <c r="S47" s="14">
        <f>S46/R46</f>
        <v>0.49935787671232879</v>
      </c>
      <c r="T47" s="16"/>
      <c r="U47" s="16"/>
      <c r="V47" s="13">
        <f t="shared" ref="V47" si="41">0.122*L46</f>
        <v>128580.924</v>
      </c>
      <c r="W47" s="13"/>
      <c r="X47" s="13"/>
      <c r="Y47" s="13">
        <f>9568</f>
        <v>9568</v>
      </c>
      <c r="Z47" s="17"/>
      <c r="AA47" s="18"/>
      <c r="AB47" s="13"/>
      <c r="AC47" s="18"/>
      <c r="AD47" s="18"/>
    </row>
    <row r="48" spans="1:30" s="6" customFormat="1">
      <c r="A48" s="48"/>
      <c r="B48" s="47" t="s">
        <v>122</v>
      </c>
      <c r="C48" s="102" t="s">
        <v>119</v>
      </c>
      <c r="D48" s="8">
        <v>95</v>
      </c>
      <c r="E48" s="71">
        <v>0</v>
      </c>
      <c r="F48" s="8">
        <v>35</v>
      </c>
      <c r="G48" s="8">
        <v>50</v>
      </c>
      <c r="H48" s="8">
        <v>1</v>
      </c>
      <c r="I48" s="9"/>
      <c r="J48" s="9"/>
      <c r="K48" s="9"/>
      <c r="L48" s="80">
        <v>40993</v>
      </c>
      <c r="M48" s="57">
        <v>20896</v>
      </c>
      <c r="N48" s="8">
        <v>153</v>
      </c>
      <c r="O48" s="88">
        <v>14158</v>
      </c>
      <c r="P48" s="56">
        <v>5061</v>
      </c>
      <c r="Q48" s="8">
        <v>236</v>
      </c>
      <c r="R48" s="8">
        <v>63</v>
      </c>
      <c r="S48" s="8">
        <v>15</v>
      </c>
      <c r="T48" s="10">
        <f t="shared" ref="T48" si="42">Y48+Y49</f>
        <v>38</v>
      </c>
      <c r="U48" s="11">
        <f>V48/V49</f>
        <v>0.59946260317135314</v>
      </c>
      <c r="V48" s="56">
        <v>2998</v>
      </c>
      <c r="W48" s="56">
        <v>1771</v>
      </c>
      <c r="X48" s="8">
        <v>3948</v>
      </c>
      <c r="Y48" s="8">
        <v>5</v>
      </c>
      <c r="Z48" s="11">
        <f>AA48/AC48</f>
        <v>0.21586144377655456</v>
      </c>
      <c r="AA48" s="12">
        <f>68888.1</f>
        <v>68888.100000000006</v>
      </c>
      <c r="AB48" s="8">
        <v>10908</v>
      </c>
      <c r="AC48" s="53">
        <f>319131.1</f>
        <v>319131.09999999998</v>
      </c>
      <c r="AD48" s="53">
        <f t="shared" ref="AD48" si="43">AC48*1000/L48</f>
        <v>7785.0145146732366</v>
      </c>
    </row>
    <row r="49" spans="1:30" s="6" customFormat="1">
      <c r="A49" s="48"/>
      <c r="B49" s="47" t="s">
        <v>122</v>
      </c>
      <c r="C49" s="103"/>
      <c r="D49" s="13"/>
      <c r="E49" s="13"/>
      <c r="F49" s="14">
        <f>I48/L54/1.95</f>
        <v>0</v>
      </c>
      <c r="G49" s="14">
        <f>J48/L54/0.35</f>
        <v>0</v>
      </c>
      <c r="H49" s="14">
        <f>K48/L54/0.075</f>
        <v>0</v>
      </c>
      <c r="I49" s="15"/>
      <c r="J49" s="15"/>
      <c r="K49" s="15"/>
      <c r="L49" s="81"/>
      <c r="M49" s="15"/>
      <c r="N49" s="13"/>
      <c r="O49" s="14">
        <f t="shared" si="37"/>
        <v>0.34537603981167514</v>
      </c>
      <c r="P49" s="14">
        <f>P48/M48</f>
        <v>0.24219946401225115</v>
      </c>
      <c r="Q49" s="13"/>
      <c r="R49" s="13"/>
      <c r="S49" s="14">
        <f>S48/R48</f>
        <v>0.23809523809523808</v>
      </c>
      <c r="T49" s="16"/>
      <c r="U49" s="16"/>
      <c r="V49" s="13">
        <f t="shared" ref="V49" si="44">0.122*L48</f>
        <v>5001.1459999999997</v>
      </c>
      <c r="W49" s="13"/>
      <c r="X49" s="13"/>
      <c r="Y49" s="13">
        <v>33</v>
      </c>
      <c r="Z49" s="17"/>
      <c r="AA49" s="18"/>
      <c r="AB49" s="13"/>
      <c r="AC49" s="18"/>
      <c r="AD49" s="18"/>
    </row>
    <row r="50" spans="1:30">
      <c r="B50" s="47" t="s">
        <v>122</v>
      </c>
      <c r="C50" s="102" t="s">
        <v>23</v>
      </c>
      <c r="D50" s="8">
        <v>1925</v>
      </c>
      <c r="E50" s="8">
        <v>11</v>
      </c>
      <c r="F50" s="8">
        <v>829</v>
      </c>
      <c r="G50" s="8">
        <v>639</v>
      </c>
      <c r="H50" s="8">
        <v>49</v>
      </c>
      <c r="I50" s="9"/>
      <c r="J50" s="9"/>
      <c r="K50" s="9"/>
      <c r="L50" s="57">
        <v>1099060</v>
      </c>
      <c r="M50" s="57">
        <v>584791</v>
      </c>
      <c r="N50" s="8">
        <v>2603</v>
      </c>
      <c r="O50" s="87">
        <v>317535</v>
      </c>
      <c r="P50" s="56">
        <v>119296</v>
      </c>
      <c r="Q50" s="8">
        <v>4879</v>
      </c>
      <c r="R50" s="8">
        <v>3025</v>
      </c>
      <c r="S50" s="8">
        <v>1277</v>
      </c>
      <c r="T50" s="10">
        <f t="shared" ref="T50" si="45">Y50+Y51</f>
        <v>7123</v>
      </c>
      <c r="U50" s="11">
        <f>V50/V51</f>
        <v>0.39193701443230322</v>
      </c>
      <c r="V50" s="56">
        <v>52553</v>
      </c>
      <c r="W50" s="56">
        <v>92709</v>
      </c>
      <c r="X50" s="8">
        <v>25235</v>
      </c>
      <c r="Y50" s="8">
        <v>46</v>
      </c>
      <c r="Z50" s="11">
        <f>AA50/AC50</f>
        <v>0.19383973561575468</v>
      </c>
      <c r="AA50" s="12">
        <f>477173.3</f>
        <v>477173.3</v>
      </c>
      <c r="AB50" s="8">
        <f>155526</f>
        <v>155526</v>
      </c>
      <c r="AC50" s="12">
        <f>2461689.8</f>
        <v>2461689.7999999998</v>
      </c>
      <c r="AD50" s="53">
        <f t="shared" ref="AD50" si="46">AC50*1000/L50</f>
        <v>2239.8138409186031</v>
      </c>
    </row>
    <row r="51" spans="1:30">
      <c r="B51" s="47" t="s">
        <v>122</v>
      </c>
      <c r="C51" s="103"/>
      <c r="D51" s="13"/>
      <c r="E51" s="13"/>
      <c r="F51" s="14">
        <f>I50/L58/1.95</f>
        <v>0</v>
      </c>
      <c r="G51" s="14">
        <f>J50/L58/0.35</f>
        <v>0</v>
      </c>
      <c r="H51" s="14">
        <f>K50/L58/0.075</f>
        <v>0</v>
      </c>
      <c r="I51" s="15"/>
      <c r="J51" s="15"/>
      <c r="K51" s="15"/>
      <c r="M51" s="15"/>
      <c r="N51" s="13"/>
      <c r="O51" s="14">
        <f>O50/L50</f>
        <v>0.28891507288046148</v>
      </c>
      <c r="P51" s="14">
        <f>P50/M50</f>
        <v>0.20399766754276313</v>
      </c>
      <c r="Q51" s="13"/>
      <c r="R51" s="13"/>
      <c r="S51" s="14">
        <f>S50/R50</f>
        <v>0.42214876033057852</v>
      </c>
      <c r="T51" s="16"/>
      <c r="U51" s="16"/>
      <c r="V51" s="13">
        <f t="shared" ref="V51" si="47">0.122*L50</f>
        <v>134085.32</v>
      </c>
      <c r="W51" s="13"/>
      <c r="X51" s="13"/>
      <c r="Y51" s="13">
        <f>7077</f>
        <v>7077</v>
      </c>
      <c r="Z51" s="17"/>
      <c r="AA51" s="18"/>
      <c r="AB51" s="13"/>
      <c r="AC51" s="18"/>
      <c r="AD51" s="18"/>
    </row>
    <row r="52" spans="1:30">
      <c r="B52" s="47" t="s">
        <v>122</v>
      </c>
      <c r="C52" s="102" t="s">
        <v>24</v>
      </c>
      <c r="D52" s="8">
        <v>1976</v>
      </c>
      <c r="E52" s="8">
        <v>6</v>
      </c>
      <c r="F52" s="8">
        <v>1076</v>
      </c>
      <c r="G52" s="8">
        <v>469</v>
      </c>
      <c r="H52" s="8">
        <v>44</v>
      </c>
      <c r="I52" s="9"/>
      <c r="J52" s="9"/>
      <c r="K52" s="9"/>
      <c r="L52" s="80">
        <v>912449</v>
      </c>
      <c r="M52" s="57">
        <v>478883</v>
      </c>
      <c r="N52" s="8">
        <v>2612</v>
      </c>
      <c r="O52" s="87">
        <v>243834</v>
      </c>
      <c r="P52" s="56">
        <v>88346</v>
      </c>
      <c r="Q52" s="8">
        <v>7081</v>
      </c>
      <c r="R52" s="8">
        <v>5567</v>
      </c>
      <c r="S52" s="8">
        <v>4130</v>
      </c>
      <c r="T52" s="10">
        <f t="shared" ref="T52" si="48">Y52+Y53</f>
        <v>8251</v>
      </c>
      <c r="U52" s="11">
        <f>V52/V53</f>
        <v>0.44429161807723044</v>
      </c>
      <c r="V52" s="56">
        <v>49458</v>
      </c>
      <c r="W52" s="56">
        <v>81206</v>
      </c>
      <c r="X52" s="8">
        <v>31963</v>
      </c>
      <c r="Y52" s="8">
        <v>36</v>
      </c>
      <c r="Z52" s="11">
        <f>AA52/AC52</f>
        <v>0.18949847557416191</v>
      </c>
      <c r="AA52" s="12">
        <f>361146.1</f>
        <v>361146.1</v>
      </c>
      <c r="AB52" s="8">
        <f>200910</f>
        <v>200910</v>
      </c>
      <c r="AC52" s="12">
        <f>1905799.5</f>
        <v>1905799.5</v>
      </c>
      <c r="AD52" s="53">
        <f t="shared" ref="AD52" si="49">AC52*1000/L52</f>
        <v>2088.6641335570534</v>
      </c>
    </row>
    <row r="53" spans="1:30">
      <c r="B53" s="47" t="s">
        <v>122</v>
      </c>
      <c r="C53" s="103"/>
      <c r="D53" s="13"/>
      <c r="E53" s="13"/>
      <c r="F53" s="14">
        <f>I52/L62/1.95</f>
        <v>0</v>
      </c>
      <c r="G53" s="14">
        <f>J52/L62/0.35</f>
        <v>0</v>
      </c>
      <c r="H53" s="14">
        <f>K52/L62/0.075</f>
        <v>0</v>
      </c>
      <c r="I53" s="15"/>
      <c r="J53" s="15"/>
      <c r="K53" s="15"/>
      <c r="L53" s="15"/>
      <c r="M53" s="15"/>
      <c r="N53" s="13"/>
      <c r="O53" s="14">
        <f t="shared" si="37"/>
        <v>0.26723027807581573</v>
      </c>
      <c r="P53" s="14">
        <f>P52/M52</f>
        <v>0.18448347508681662</v>
      </c>
      <c r="Q53" s="13"/>
      <c r="R53" s="13"/>
      <c r="S53" s="14">
        <f>S52/R52</f>
        <v>0.74187174420693369</v>
      </c>
      <c r="T53" s="16"/>
      <c r="U53" s="16"/>
      <c r="V53" s="13">
        <f t="shared" ref="V53" si="50">0.122*L52</f>
        <v>111318.77799999999</v>
      </c>
      <c r="W53" s="13"/>
      <c r="X53" s="13"/>
      <c r="Y53" s="13">
        <f>8215</f>
        <v>8215</v>
      </c>
      <c r="Z53" s="17"/>
      <c r="AA53" s="18"/>
      <c r="AB53" s="13"/>
      <c r="AC53" s="18"/>
      <c r="AD53" s="18"/>
    </row>
    <row r="54" spans="1:30">
      <c r="B54" s="47" t="s">
        <v>122</v>
      </c>
      <c r="C54" s="102" t="s">
        <v>25</v>
      </c>
      <c r="D54" s="8">
        <v>3003</v>
      </c>
      <c r="E54" s="8">
        <v>25</v>
      </c>
      <c r="F54" s="8">
        <v>1481</v>
      </c>
      <c r="G54" s="8">
        <v>782</v>
      </c>
      <c r="H54" s="8">
        <v>69</v>
      </c>
      <c r="I54" s="9"/>
      <c r="J54" s="9"/>
      <c r="K54" s="9"/>
      <c r="L54" s="57">
        <v>1665205</v>
      </c>
      <c r="M54" s="57">
        <v>873293</v>
      </c>
      <c r="N54" s="8">
        <v>3722</v>
      </c>
      <c r="O54" s="87">
        <v>541418</v>
      </c>
      <c r="P54" s="56">
        <v>222541</v>
      </c>
      <c r="Q54" s="8">
        <v>31230</v>
      </c>
      <c r="R54" s="8">
        <v>6694</v>
      </c>
      <c r="S54" s="8">
        <v>3931</v>
      </c>
      <c r="T54" s="10">
        <f t="shared" ref="T54" si="51">Y54+Y55</f>
        <v>10471</v>
      </c>
      <c r="U54" s="11">
        <f>V54/V55</f>
        <v>0.37129775928243164</v>
      </c>
      <c r="V54" s="56">
        <v>75431</v>
      </c>
      <c r="W54" s="56">
        <v>184563</v>
      </c>
      <c r="X54" s="8">
        <v>39812</v>
      </c>
      <c r="Y54" s="8">
        <v>117</v>
      </c>
      <c r="Z54" s="11">
        <f>AA54/AC54</f>
        <v>8.9847792882544839E-2</v>
      </c>
      <c r="AA54" s="12">
        <f>326749.1</f>
        <v>326749.09999999998</v>
      </c>
      <c r="AB54" s="8">
        <f>248169</f>
        <v>248169</v>
      </c>
      <c r="AC54" s="12">
        <f>3636695.9</f>
        <v>3636695.9</v>
      </c>
      <c r="AD54" s="53">
        <f t="shared" ref="AD54" si="52">AC54*1000/L54</f>
        <v>2183.9328491086685</v>
      </c>
    </row>
    <row r="55" spans="1:30">
      <c r="B55" s="47" t="s">
        <v>122</v>
      </c>
      <c r="C55" s="103"/>
      <c r="D55" s="13"/>
      <c r="E55" s="13"/>
      <c r="F55" s="14"/>
      <c r="G55" s="14"/>
      <c r="H55" s="14"/>
      <c r="I55" s="15"/>
      <c r="J55" s="15"/>
      <c r="K55" s="15"/>
      <c r="L55" s="15"/>
      <c r="M55" s="15"/>
      <c r="N55" s="13"/>
      <c r="O55" s="14">
        <f t="shared" si="37"/>
        <v>0.32513594422308362</v>
      </c>
      <c r="P55" s="14">
        <f>P54/M54</f>
        <v>0.25482970778421449</v>
      </c>
      <c r="Q55" s="13"/>
      <c r="R55" s="13"/>
      <c r="S55" s="14">
        <f>S54/R54</f>
        <v>0.587242306543173</v>
      </c>
      <c r="T55" s="16"/>
      <c r="U55" s="16"/>
      <c r="V55" s="13">
        <f t="shared" ref="V55" si="53">0.122*L54</f>
        <v>203155.01</v>
      </c>
      <c r="W55" s="13"/>
      <c r="X55" s="13"/>
      <c r="Y55" s="13">
        <f>10354</f>
        <v>10354</v>
      </c>
      <c r="Z55" s="17"/>
      <c r="AA55" s="18"/>
      <c r="AB55" s="13"/>
      <c r="AC55" s="18"/>
      <c r="AD55" s="18"/>
    </row>
    <row r="56" spans="1:30">
      <c r="B56" s="47" t="s">
        <v>122</v>
      </c>
      <c r="C56" s="108" t="s">
        <v>26</v>
      </c>
      <c r="D56" s="8">
        <v>1158</v>
      </c>
      <c r="E56" s="8">
        <v>7</v>
      </c>
      <c r="F56" s="8">
        <v>311</v>
      </c>
      <c r="G56" s="8">
        <v>378</v>
      </c>
      <c r="H56" s="8">
        <v>34</v>
      </c>
      <c r="I56" s="9"/>
      <c r="J56" s="9"/>
      <c r="K56" s="9"/>
      <c r="L56" s="80">
        <v>720470</v>
      </c>
      <c r="M56" s="57">
        <v>372044</v>
      </c>
      <c r="N56" s="8">
        <v>2066</v>
      </c>
      <c r="O56" s="87">
        <v>233319</v>
      </c>
      <c r="P56" s="56">
        <v>80757</v>
      </c>
      <c r="Q56" s="8">
        <v>13561</v>
      </c>
      <c r="R56" s="8">
        <v>1488</v>
      </c>
      <c r="S56" s="8">
        <v>1024</v>
      </c>
      <c r="T56" s="10">
        <f t="shared" ref="T56" si="54">Y56+Y57</f>
        <v>4461</v>
      </c>
      <c r="U56" s="11">
        <f>V56/V57</f>
        <v>0.3149128289889091</v>
      </c>
      <c r="V56" s="56">
        <v>27680</v>
      </c>
      <c r="W56" s="56">
        <v>77472</v>
      </c>
      <c r="X56" s="8">
        <v>29603</v>
      </c>
      <c r="Y56" s="8">
        <v>29</v>
      </c>
      <c r="Z56" s="11">
        <f>AA56/AC56</f>
        <v>0.11171976011970348</v>
      </c>
      <c r="AA56" s="12">
        <f>263393.4</f>
        <v>263393.40000000002</v>
      </c>
      <c r="AB56" s="8">
        <f>98129</f>
        <v>98129</v>
      </c>
      <c r="AC56" s="12">
        <f>2357625.9</f>
        <v>2357625.9</v>
      </c>
      <c r="AD56" s="53">
        <f t="shared" ref="AD56" si="55">AC56*1000/L56</f>
        <v>3272.3443030244148</v>
      </c>
    </row>
    <row r="57" spans="1:30">
      <c r="B57" s="47" t="s">
        <v>122</v>
      </c>
      <c r="C57" s="109"/>
      <c r="D57" s="13"/>
      <c r="E57" s="13"/>
      <c r="F57" s="14"/>
      <c r="G57" s="14"/>
      <c r="H57" s="14"/>
      <c r="I57" s="15"/>
      <c r="J57" s="15"/>
      <c r="K57" s="15"/>
      <c r="L57" s="15"/>
      <c r="M57" s="15"/>
      <c r="N57" s="13"/>
      <c r="O57" s="14">
        <f t="shared" si="37"/>
        <v>0.32384276930337141</v>
      </c>
      <c r="P57" s="14">
        <f>P56/M56</f>
        <v>0.21706303555493436</v>
      </c>
      <c r="Q57" s="13"/>
      <c r="R57" s="13"/>
      <c r="S57" s="14">
        <f>S56/R56</f>
        <v>0.68817204301075274</v>
      </c>
      <c r="T57" s="16"/>
      <c r="U57" s="16"/>
      <c r="V57" s="13">
        <f t="shared" ref="V57" si="56">0.122*L56</f>
        <v>87897.34</v>
      </c>
      <c r="W57" s="13"/>
      <c r="X57" s="13"/>
      <c r="Y57" s="13">
        <f>4432</f>
        <v>4432</v>
      </c>
      <c r="Z57" s="17"/>
      <c r="AA57" s="18"/>
      <c r="AB57" s="13"/>
      <c r="AC57" s="18"/>
      <c r="AD57" s="18"/>
    </row>
    <row r="58" spans="1:30">
      <c r="B58" s="47" t="s">
        <v>122</v>
      </c>
      <c r="C58" s="102" t="s">
        <v>27</v>
      </c>
      <c r="D58" s="8">
        <v>1670</v>
      </c>
      <c r="E58" s="8">
        <v>3</v>
      </c>
      <c r="F58" s="8">
        <v>832</v>
      </c>
      <c r="G58" s="8">
        <v>312</v>
      </c>
      <c r="H58" s="8">
        <v>33</v>
      </c>
      <c r="I58" s="9"/>
      <c r="J58" s="9"/>
      <c r="K58" s="9"/>
      <c r="L58" s="57">
        <v>568964</v>
      </c>
      <c r="M58" s="57">
        <v>308222</v>
      </c>
      <c r="N58" s="8">
        <v>1311</v>
      </c>
      <c r="O58" s="87">
        <v>189322</v>
      </c>
      <c r="P58" s="56">
        <v>73935</v>
      </c>
      <c r="Q58" s="8">
        <v>24477</v>
      </c>
      <c r="R58" s="8">
        <v>2745</v>
      </c>
      <c r="S58" s="8">
        <v>1961</v>
      </c>
      <c r="T58" s="10">
        <f t="shared" ref="T58" si="57">Y58+Y59</f>
        <v>8024</v>
      </c>
      <c r="U58" s="11">
        <f>V58/V59</f>
        <v>0.59054702933753289</v>
      </c>
      <c r="V58" s="56">
        <v>40992</v>
      </c>
      <c r="W58" s="56">
        <v>64539</v>
      </c>
      <c r="X58" s="8">
        <v>9838</v>
      </c>
      <c r="Y58" s="8">
        <v>19</v>
      </c>
      <c r="Z58" s="11">
        <f>AA58/AC58</f>
        <v>0.23310923372642314</v>
      </c>
      <c r="AA58" s="12">
        <f>310011.9</f>
        <v>310011.90000000002</v>
      </c>
      <c r="AB58" s="8">
        <f>116166</f>
        <v>116166</v>
      </c>
      <c r="AC58" s="12">
        <f>1329899.7</f>
        <v>1329899.7</v>
      </c>
      <c r="AD58" s="53">
        <f t="shared" ref="AD58" si="58">AC58*1000/L58</f>
        <v>2337.4057058091548</v>
      </c>
    </row>
    <row r="59" spans="1:30">
      <c r="B59" s="47" t="s">
        <v>122</v>
      </c>
      <c r="C59" s="103"/>
      <c r="D59" s="13"/>
      <c r="E59" s="13"/>
      <c r="F59" s="14"/>
      <c r="G59" s="14"/>
      <c r="H59" s="14"/>
      <c r="I59" s="15"/>
      <c r="J59" s="15"/>
      <c r="K59" s="15"/>
      <c r="L59" s="15"/>
      <c r="M59" s="15"/>
      <c r="N59" s="13"/>
      <c r="O59" s="14">
        <f t="shared" si="37"/>
        <v>0.33274864490547734</v>
      </c>
      <c r="P59" s="14">
        <f>P58/M58</f>
        <v>0.23987580380375184</v>
      </c>
      <c r="Q59" s="13"/>
      <c r="R59" s="13"/>
      <c r="S59" s="14">
        <f>S58/R58</f>
        <v>0.71438979963570126</v>
      </c>
      <c r="T59" s="16"/>
      <c r="U59" s="16"/>
      <c r="V59" s="13">
        <f t="shared" ref="V59" si="59">0.122*L58</f>
        <v>69413.607999999993</v>
      </c>
      <c r="W59" s="13"/>
      <c r="X59" s="13"/>
      <c r="Y59" s="13">
        <f>8005</f>
        <v>8005</v>
      </c>
      <c r="Z59" s="17"/>
      <c r="AA59" s="18"/>
      <c r="AB59" s="13"/>
      <c r="AC59" s="18"/>
      <c r="AD59" s="18"/>
    </row>
    <row r="60" spans="1:30">
      <c r="B60" s="47" t="s">
        <v>122</v>
      </c>
      <c r="C60" s="102" t="s">
        <v>28</v>
      </c>
      <c r="D60" s="8">
        <v>1164</v>
      </c>
      <c r="E60" s="8">
        <v>9</v>
      </c>
      <c r="F60" s="8">
        <v>537</v>
      </c>
      <c r="G60" s="8">
        <v>353</v>
      </c>
      <c r="H60" s="8">
        <v>14</v>
      </c>
      <c r="I60" s="9"/>
      <c r="J60" s="9"/>
      <c r="K60" s="9"/>
      <c r="L60" s="80">
        <v>598344</v>
      </c>
      <c r="M60" s="57">
        <v>316922</v>
      </c>
      <c r="N60" s="8">
        <v>1346</v>
      </c>
      <c r="O60" s="87">
        <v>171203</v>
      </c>
      <c r="P60" s="56">
        <v>56564</v>
      </c>
      <c r="Q60" s="8">
        <v>4245</v>
      </c>
      <c r="R60" s="8">
        <v>6010</v>
      </c>
      <c r="S60" s="8">
        <v>3819</v>
      </c>
      <c r="T60" s="10">
        <f t="shared" ref="T60" si="60">Y60+Y61</f>
        <v>6195</v>
      </c>
      <c r="U60" s="11">
        <f>V60/V61</f>
        <v>0.70910193007016309</v>
      </c>
      <c r="V60" s="56">
        <v>51763</v>
      </c>
      <c r="W60" s="56">
        <v>65207</v>
      </c>
      <c r="X60" s="8">
        <v>20679</v>
      </c>
      <c r="Y60" s="8">
        <v>25</v>
      </c>
      <c r="Z60" s="11">
        <f>AA60/AC60</f>
        <v>7.5858936662164311E-2</v>
      </c>
      <c r="AA60" s="12">
        <f>55718.7</f>
        <v>55718.7</v>
      </c>
      <c r="AB60" s="8">
        <f>144485</f>
        <v>144485</v>
      </c>
      <c r="AC60" s="12">
        <f>734504.1</f>
        <v>734504.1</v>
      </c>
      <c r="AD60" s="53">
        <f t="shared" ref="AD60" si="61">AC60*1000/L60</f>
        <v>1227.5615699330151</v>
      </c>
    </row>
    <row r="61" spans="1:30">
      <c r="B61" s="47" t="s">
        <v>122</v>
      </c>
      <c r="C61" s="103"/>
      <c r="D61" s="13"/>
      <c r="E61" s="13"/>
      <c r="F61" s="14"/>
      <c r="G61" s="14"/>
      <c r="H61" s="14"/>
      <c r="I61" s="15"/>
      <c r="J61" s="15"/>
      <c r="K61" s="15"/>
      <c r="L61" s="15"/>
      <c r="M61" s="15"/>
      <c r="N61" s="13"/>
      <c r="O61" s="14">
        <f t="shared" si="37"/>
        <v>0.28612804674234221</v>
      </c>
      <c r="P61" s="14">
        <f>P60/M60</f>
        <v>0.17847924725957806</v>
      </c>
      <c r="Q61" s="13"/>
      <c r="R61" s="13"/>
      <c r="S61" s="14">
        <f>S60/R60</f>
        <v>0.63544093178036609</v>
      </c>
      <c r="T61" s="16"/>
      <c r="U61" s="16"/>
      <c r="V61" s="13">
        <f t="shared" ref="V61" si="62">0.122*L60</f>
        <v>72997.967999999993</v>
      </c>
      <c r="W61" s="13"/>
      <c r="X61" s="13"/>
      <c r="Y61" s="13">
        <f>6170</f>
        <v>6170</v>
      </c>
      <c r="Z61" s="17"/>
      <c r="AA61" s="18"/>
      <c r="AB61" s="13"/>
      <c r="AC61" s="18"/>
      <c r="AD61" s="18"/>
    </row>
    <row r="62" spans="1:30">
      <c r="B62" s="47" t="s">
        <v>122</v>
      </c>
      <c r="C62" s="102" t="s">
        <v>29</v>
      </c>
      <c r="D62" s="8">
        <v>7099</v>
      </c>
      <c r="E62" s="8">
        <v>8</v>
      </c>
      <c r="F62" s="8">
        <v>2765</v>
      </c>
      <c r="G62" s="8">
        <v>1823</v>
      </c>
      <c r="H62" s="8">
        <v>302</v>
      </c>
      <c r="I62" s="9"/>
      <c r="J62" s="9"/>
      <c r="K62" s="9"/>
      <c r="L62" s="57">
        <v>4826346</v>
      </c>
      <c r="M62" s="57">
        <v>2616136</v>
      </c>
      <c r="N62" s="8">
        <v>18320</v>
      </c>
      <c r="O62" s="87">
        <v>1728545</v>
      </c>
      <c r="P62" s="74">
        <v>825017</v>
      </c>
      <c r="Q62" s="8">
        <v>99336</v>
      </c>
      <c r="R62" s="8">
        <v>45315</v>
      </c>
      <c r="S62" s="8">
        <v>32787</v>
      </c>
      <c r="T62" s="10">
        <f t="shared" ref="T62" si="63">Y62+Y63</f>
        <v>32831</v>
      </c>
      <c r="U62" s="11">
        <f>V62/V63</f>
        <v>0.3124381107839157</v>
      </c>
      <c r="V62" s="56">
        <v>183968</v>
      </c>
      <c r="W62" s="56">
        <v>757869</v>
      </c>
      <c r="X62" s="8">
        <v>110501</v>
      </c>
      <c r="Y62" s="8">
        <v>542</v>
      </c>
      <c r="Z62" s="11">
        <f>AA62/AC62</f>
        <v>0.18194306560456819</v>
      </c>
      <c r="AA62" s="12">
        <f>2811457.5</f>
        <v>2811457.5</v>
      </c>
      <c r="AB62" s="8">
        <f>647113</f>
        <v>647113</v>
      </c>
      <c r="AC62" s="12">
        <f>15452402.6</f>
        <v>15452402.6</v>
      </c>
      <c r="AD62" s="53">
        <f t="shared" ref="AD62" si="64">AC62*1000/L62</f>
        <v>3201.6773351931256</v>
      </c>
    </row>
    <row r="63" spans="1:30">
      <c r="B63" s="47" t="s">
        <v>122</v>
      </c>
      <c r="C63" s="103"/>
      <c r="D63" s="13"/>
      <c r="E63" s="13"/>
      <c r="F63" s="14"/>
      <c r="G63" s="14"/>
      <c r="H63" s="14"/>
      <c r="I63" s="15"/>
      <c r="J63" s="15"/>
      <c r="K63" s="15"/>
      <c r="L63" s="15"/>
      <c r="M63" s="15"/>
      <c r="N63" s="13"/>
      <c r="O63" s="14">
        <f t="shared" si="37"/>
        <v>0.35814775815907107</v>
      </c>
      <c r="P63" s="14">
        <f>P62/M62</f>
        <v>0.31535707623762677</v>
      </c>
      <c r="Q63" s="13"/>
      <c r="R63" s="13"/>
      <c r="S63" s="14">
        <f>S62/R62</f>
        <v>0.72353525322740819</v>
      </c>
      <c r="T63" s="16"/>
      <c r="U63" s="16"/>
      <c r="V63" s="13">
        <f t="shared" ref="V63" si="65">0.122*L62</f>
        <v>588814.21199999994</v>
      </c>
      <c r="W63" s="13"/>
      <c r="X63" s="13"/>
      <c r="Y63" s="13">
        <f>32289</f>
        <v>32289</v>
      </c>
      <c r="Z63" s="17"/>
      <c r="AA63" s="18"/>
      <c r="AB63" s="13"/>
      <c r="AC63" s="18"/>
      <c r="AD63" s="18"/>
    </row>
    <row r="64" spans="1:30" s="20" customFormat="1">
      <c r="A64" s="49" t="s">
        <v>129</v>
      </c>
      <c r="B64" s="50" t="s">
        <v>122</v>
      </c>
      <c r="C64" s="104" t="s">
        <v>30</v>
      </c>
      <c r="D64" s="24">
        <f t="shared" ref="D64:T64" si="66">SUM(D62,D60,D58,D56,D54,D52,D50,D48,D46,D44,D42)</f>
        <v>24280</v>
      </c>
      <c r="E64" s="24">
        <f t="shared" si="66"/>
        <v>90</v>
      </c>
      <c r="F64" s="24">
        <f t="shared" si="66"/>
        <v>10353</v>
      </c>
      <c r="G64" s="24">
        <f t="shared" si="66"/>
        <v>6420</v>
      </c>
      <c r="H64" s="24">
        <f t="shared" si="66"/>
        <v>667</v>
      </c>
      <c r="I64" s="19">
        <f t="shared" si="66"/>
        <v>0</v>
      </c>
      <c r="J64" s="19">
        <f t="shared" si="66"/>
        <v>0</v>
      </c>
      <c r="K64" s="19">
        <f t="shared" si="66"/>
        <v>0</v>
      </c>
      <c r="L64" s="19">
        <f>SUM(L42+L44+L46+L48+L50+L52+L54+L56+L58+L60+L62)</f>
        <v>12875912</v>
      </c>
      <c r="M64" s="19">
        <f t="shared" si="66"/>
        <v>6862203</v>
      </c>
      <c r="N64" s="24">
        <f t="shared" si="66"/>
        <v>40271</v>
      </c>
      <c r="O64" s="24">
        <f t="shared" si="66"/>
        <v>4227654</v>
      </c>
      <c r="P64" s="24">
        <f t="shared" si="66"/>
        <v>1769702</v>
      </c>
      <c r="Q64" s="24">
        <f t="shared" si="66"/>
        <v>275217</v>
      </c>
      <c r="R64" s="24">
        <f t="shared" si="66"/>
        <v>82080</v>
      </c>
      <c r="S64" s="24">
        <f t="shared" si="66"/>
        <v>55415</v>
      </c>
      <c r="T64" s="24">
        <f t="shared" si="66"/>
        <v>102908</v>
      </c>
      <c r="U64" s="21">
        <f>V64/V65</f>
        <v>0.40828812492762567</v>
      </c>
      <c r="V64" s="24">
        <f>SUM(V62,V60,V58,V56,V54,V52,V50,V48,V46,V44,V42)</f>
        <v>641364</v>
      </c>
      <c r="W64" s="24">
        <f>SUM(W62,W60,W58,W56,W54,W52,W50,W48,W46,W44,W42)</f>
        <v>1636121</v>
      </c>
      <c r="X64" s="24">
        <f>SUM(X62,X60,X58,X56,X54,X52,X50,X48,X46,X44,X42)</f>
        <v>358526</v>
      </c>
      <c r="Y64" s="24">
        <f>SUM(Y62,Y60,Y58,Y56,Y54,Y52,Y50,Y48,Y46,Y44,Y42)</f>
        <v>891</v>
      </c>
      <c r="Z64" s="21">
        <f>AA64/AC64</f>
        <v>0.17555806067949689</v>
      </c>
      <c r="AA64" s="22">
        <f>SUM(AA42:AA62)</f>
        <v>6860464.9000000004</v>
      </c>
      <c r="AB64" s="24">
        <f>SUM(AB42:AB62)</f>
        <v>2036558</v>
      </c>
      <c r="AC64" s="22">
        <f>SUM(AC42:AC62)</f>
        <v>39078039.899999999</v>
      </c>
      <c r="AD64" s="22">
        <f>AC64*1000/L64</f>
        <v>3034.972582912962</v>
      </c>
    </row>
    <row r="65" spans="1:30" s="20" customFormat="1">
      <c r="A65" s="49" t="s">
        <v>129</v>
      </c>
      <c r="B65" s="50" t="s">
        <v>122</v>
      </c>
      <c r="C65" s="105"/>
      <c r="D65" s="26"/>
      <c r="E65" s="26"/>
      <c r="F65" s="23">
        <f>I64/L64/1.95</f>
        <v>0</v>
      </c>
      <c r="G65" s="23">
        <f>J64/L64/0.35</f>
        <v>0</v>
      </c>
      <c r="H65" s="23">
        <f>K64/L64/0.075</f>
        <v>0</v>
      </c>
      <c r="I65" s="19"/>
      <c r="J65" s="19"/>
      <c r="K65" s="19"/>
      <c r="L65" s="19"/>
      <c r="M65" s="19"/>
      <c r="N65" s="26"/>
      <c r="O65" s="23">
        <f>O64/L64</f>
        <v>0.3283382179064287</v>
      </c>
      <c r="P65" s="23">
        <f>P64/M64</f>
        <v>0.25789123405413683</v>
      </c>
      <c r="Q65" s="26"/>
      <c r="R65" s="26"/>
      <c r="S65" s="23">
        <f>S64/R64</f>
        <v>0.67513401559454189</v>
      </c>
      <c r="T65" s="28"/>
      <c r="U65" s="28"/>
      <c r="V65" s="26">
        <f>SUM(V63,V61,V59,V57,V55,V53,V51,V49,V47,V45,V43)</f>
        <v>1570861.264</v>
      </c>
      <c r="W65" s="26"/>
      <c r="X65" s="26"/>
      <c r="Y65" s="26">
        <f>SUM(Y63,Y61,Y59,Y57,Y55,Y53,Y51,Y49,Y47,Y45,Y43)</f>
        <v>102017</v>
      </c>
      <c r="Z65" s="29"/>
      <c r="AA65" s="30"/>
      <c r="AB65" s="26"/>
      <c r="AC65" s="30"/>
      <c r="AD65" s="30"/>
    </row>
    <row r="66" spans="1:30">
      <c r="B66" s="47" t="s">
        <v>123</v>
      </c>
      <c r="C66" s="102" t="s">
        <v>31</v>
      </c>
      <c r="D66" s="8">
        <v>888</v>
      </c>
      <c r="E66" s="8">
        <v>3</v>
      </c>
      <c r="F66" s="8">
        <v>619</v>
      </c>
      <c r="G66" s="8">
        <v>190</v>
      </c>
      <c r="H66" s="8">
        <v>12</v>
      </c>
      <c r="I66" s="9"/>
      <c r="J66" s="9"/>
      <c r="K66" s="9"/>
      <c r="L66" s="57">
        <v>420504</v>
      </c>
      <c r="M66" s="57">
        <v>222840</v>
      </c>
      <c r="N66" s="8">
        <v>1056</v>
      </c>
      <c r="O66" s="56">
        <v>160500</v>
      </c>
      <c r="P66" s="56">
        <v>52853</v>
      </c>
      <c r="Q66" s="8">
        <v>4694</v>
      </c>
      <c r="R66" s="8">
        <v>958</v>
      </c>
      <c r="S66" s="8">
        <v>300</v>
      </c>
      <c r="T66" s="10">
        <f>Y66+Y67</f>
        <v>2264</v>
      </c>
      <c r="U66" s="11">
        <f>V66/V67</f>
        <v>0.58661066517212912</v>
      </c>
      <c r="V66" s="56">
        <v>30094</v>
      </c>
      <c r="W66" s="8">
        <v>79982</v>
      </c>
      <c r="X66" s="8">
        <v>14723</v>
      </c>
      <c r="Y66" s="8">
        <v>21</v>
      </c>
      <c r="Z66" s="11">
        <f>AA66/AC66</f>
        <v>2.2105967134791946E-2</v>
      </c>
      <c r="AA66" s="12">
        <f>15228.1</f>
        <v>15228.1</v>
      </c>
      <c r="AB66" s="8">
        <f>140979</f>
        <v>140979</v>
      </c>
      <c r="AC66" s="12">
        <f>688868.3</f>
        <v>688868.3</v>
      </c>
      <c r="AD66" s="12">
        <f>AC66*1000/L66</f>
        <v>1638.1967829081293</v>
      </c>
    </row>
    <row r="67" spans="1:30">
      <c r="B67" s="47" t="s">
        <v>123</v>
      </c>
      <c r="C67" s="103"/>
      <c r="D67" s="13"/>
      <c r="E67" s="13"/>
      <c r="F67" s="14">
        <f>I66/L66/1.95</f>
        <v>0</v>
      </c>
      <c r="G67" s="14">
        <f>J66/L66/0.35</f>
        <v>0</v>
      </c>
      <c r="H67" s="14">
        <f>K66/L66/0.075</f>
        <v>0</v>
      </c>
      <c r="I67" s="15"/>
      <c r="J67" s="15"/>
      <c r="K67" s="15"/>
      <c r="L67" s="15"/>
      <c r="M67" s="15"/>
      <c r="N67" s="13"/>
      <c r="O67" s="14">
        <f>O66/L66</f>
        <v>0.38168483534044861</v>
      </c>
      <c r="P67" s="14">
        <f>P66/M66</f>
        <v>0.23717914198528092</v>
      </c>
      <c r="Q67" s="13"/>
      <c r="R67" s="13"/>
      <c r="S67" s="14">
        <f>S66/R66</f>
        <v>0.31315240083507306</v>
      </c>
      <c r="T67" s="16"/>
      <c r="U67" s="16"/>
      <c r="V67" s="13">
        <f>0.122*L66</f>
        <v>51301.487999999998</v>
      </c>
      <c r="W67" s="13"/>
      <c r="X67" s="13"/>
      <c r="Y67" s="13">
        <f>2243</f>
        <v>2243</v>
      </c>
      <c r="Z67" s="17"/>
      <c r="AA67" s="18"/>
      <c r="AB67" s="13"/>
      <c r="AC67" s="18"/>
      <c r="AD67" s="18"/>
    </row>
    <row r="68" spans="1:30">
      <c r="B68" s="47" t="s">
        <v>123</v>
      </c>
      <c r="C68" s="102" t="s">
        <v>32</v>
      </c>
      <c r="D68" s="8">
        <v>511</v>
      </c>
      <c r="E68" s="8">
        <v>2</v>
      </c>
      <c r="F68" s="8">
        <v>293</v>
      </c>
      <c r="G68" s="8">
        <v>186</v>
      </c>
      <c r="H68" s="8">
        <v>2</v>
      </c>
      <c r="I68" s="9"/>
      <c r="J68" s="9"/>
      <c r="K68" s="9"/>
      <c r="L68" s="57">
        <v>260928</v>
      </c>
      <c r="M68" s="57">
        <v>135066</v>
      </c>
      <c r="N68" s="8">
        <v>977</v>
      </c>
      <c r="O68" s="56">
        <v>81783</v>
      </c>
      <c r="P68" s="56">
        <v>28175</v>
      </c>
      <c r="Q68" s="8">
        <v>6638</v>
      </c>
      <c r="R68" s="8">
        <v>1458</v>
      </c>
      <c r="S68" s="8">
        <v>561</v>
      </c>
      <c r="T68" s="10">
        <f t="shared" ref="T68" si="67">Y68+Y69</f>
        <v>4731</v>
      </c>
      <c r="U68" s="11">
        <f>V68/V69</f>
        <v>0.40250410137637366</v>
      </c>
      <c r="V68" s="56">
        <v>12813</v>
      </c>
      <c r="W68" s="56">
        <v>10408</v>
      </c>
      <c r="X68" s="8">
        <v>5254</v>
      </c>
      <c r="Y68" s="8">
        <v>4</v>
      </c>
      <c r="Z68" s="11">
        <f>AA68/AC68</f>
        <v>3.7573452281750901E-2</v>
      </c>
      <c r="AA68" s="12">
        <f>9581.7</f>
        <v>9581.7000000000007</v>
      </c>
      <c r="AB68" s="8">
        <f>30037</f>
        <v>30037</v>
      </c>
      <c r="AC68" s="12">
        <f>255012.5</f>
        <v>255012.5</v>
      </c>
      <c r="AD68" s="12">
        <f>AC68*1000/L68</f>
        <v>977.32899497179301</v>
      </c>
    </row>
    <row r="69" spans="1:30">
      <c r="B69" s="47" t="s">
        <v>123</v>
      </c>
      <c r="C69" s="103"/>
      <c r="D69" s="13"/>
      <c r="E69" s="13"/>
      <c r="F69" s="14">
        <f>I68/L68/1.95</f>
        <v>0</v>
      </c>
      <c r="G69" s="14">
        <f>J68/L68/0.35</f>
        <v>0</v>
      </c>
      <c r="H69" s="14">
        <f>K68/L68/0.075</f>
        <v>0</v>
      </c>
      <c r="I69" s="15"/>
      <c r="J69" s="15"/>
      <c r="K69" s="15"/>
      <c r="L69" s="15"/>
      <c r="M69" s="15"/>
      <c r="N69" s="13"/>
      <c r="O69" s="14">
        <f>O68/L68</f>
        <v>0.31343129139072845</v>
      </c>
      <c r="P69" s="14">
        <f>P68/M68</f>
        <v>0.20860172064027957</v>
      </c>
      <c r="Q69" s="13"/>
      <c r="R69" s="13"/>
      <c r="S69" s="14">
        <f>S68/R68</f>
        <v>0.38477366255144035</v>
      </c>
      <c r="T69" s="16"/>
      <c r="U69" s="16"/>
      <c r="V69" s="13">
        <f t="shared" ref="V69" si="68">0.122*L68</f>
        <v>31833.216</v>
      </c>
      <c r="W69" s="13"/>
      <c r="X69" s="13"/>
      <c r="Y69" s="13">
        <v>4727</v>
      </c>
      <c r="Z69" s="17"/>
      <c r="AA69" s="18"/>
      <c r="AB69" s="13"/>
      <c r="AC69" s="18"/>
      <c r="AD69" s="18"/>
    </row>
    <row r="70" spans="1:30" s="54" customFormat="1">
      <c r="A70" s="47"/>
      <c r="B70" s="47" t="s">
        <v>123</v>
      </c>
      <c r="C70" s="116" t="s">
        <v>132</v>
      </c>
      <c r="D70" s="8">
        <v>2916</v>
      </c>
      <c r="E70" s="62">
        <v>37</v>
      </c>
      <c r="F70" s="63">
        <v>1627</v>
      </c>
      <c r="G70" s="63">
        <v>682</v>
      </c>
      <c r="H70" s="60">
        <v>17</v>
      </c>
      <c r="I70" s="64"/>
      <c r="J70" s="9"/>
      <c r="K70" s="9"/>
      <c r="L70" s="57">
        <v>1775630</v>
      </c>
      <c r="M70" s="57">
        <v>950876</v>
      </c>
      <c r="N70" s="8">
        <v>2887</v>
      </c>
      <c r="O70" s="60">
        <v>225132</v>
      </c>
      <c r="P70" s="60">
        <v>68114</v>
      </c>
      <c r="Q70" s="8">
        <v>5954</v>
      </c>
      <c r="R70" s="8">
        <v>13768</v>
      </c>
      <c r="S70" s="60">
        <v>5704</v>
      </c>
      <c r="T70" s="10">
        <f t="shared" ref="T70" si="69">Y70+Y71</f>
        <v>5079</v>
      </c>
      <c r="U70" s="61">
        <f>V70/V71</f>
        <v>0.33329200266301234</v>
      </c>
      <c r="V70" s="56">
        <v>72200</v>
      </c>
      <c r="W70" s="56">
        <v>27596</v>
      </c>
      <c r="X70" s="8">
        <v>25964</v>
      </c>
      <c r="Y70" s="8">
        <v>39</v>
      </c>
      <c r="Z70" s="11">
        <f>AA70/AC70</f>
        <v>0.26655795693033496</v>
      </c>
      <c r="AA70" s="12">
        <f>522524.5</f>
        <v>522524.5</v>
      </c>
      <c r="AB70" s="8">
        <f>67317</f>
        <v>67317</v>
      </c>
      <c r="AC70" s="69">
        <f>1960266</f>
        <v>1960266</v>
      </c>
      <c r="AD70" s="12">
        <f>AC70*1000/L70</f>
        <v>1103.983374914819</v>
      </c>
    </row>
    <row r="71" spans="1:30" s="54" customFormat="1">
      <c r="A71" s="47"/>
      <c r="B71" s="47" t="s">
        <v>123</v>
      </c>
      <c r="C71" s="117"/>
      <c r="D71" s="13"/>
      <c r="E71" s="65"/>
      <c r="F71" s="66">
        <f t="shared" ref="F71" si="70">I70/L70/1.95</f>
        <v>0</v>
      </c>
      <c r="G71" s="66">
        <f t="shared" ref="G71" si="71">J70/L70/0.35</f>
        <v>0</v>
      </c>
      <c r="H71" s="67">
        <f t="shared" ref="H71" si="72">K70/L70/0.075</f>
        <v>0</v>
      </c>
      <c r="I71" s="68"/>
      <c r="J71" s="15"/>
      <c r="K71" s="15"/>
      <c r="L71" s="27"/>
      <c r="M71" s="27"/>
      <c r="N71" s="26"/>
      <c r="O71" s="14">
        <f>O70/L70</f>
        <v>0.1267899280818639</v>
      </c>
      <c r="P71" s="14">
        <f>P70/M70</f>
        <v>7.1632894299572189E-2</v>
      </c>
      <c r="Q71" s="13"/>
      <c r="R71" s="13"/>
      <c r="S71" s="14">
        <f>S70/R70</f>
        <v>0.41429401510749564</v>
      </c>
      <c r="T71" s="16"/>
      <c r="U71" s="16"/>
      <c r="V71" s="13">
        <f>0.122*L70</f>
        <v>216626.86</v>
      </c>
      <c r="W71" s="26"/>
      <c r="X71" s="13"/>
      <c r="Y71" s="13">
        <f>5040</f>
        <v>5040</v>
      </c>
      <c r="Z71" s="17"/>
      <c r="AA71" s="18"/>
      <c r="AB71" s="13"/>
      <c r="AC71" s="70"/>
      <c r="AD71" s="18"/>
    </row>
    <row r="72" spans="1:30">
      <c r="B72" s="47" t="s">
        <v>123</v>
      </c>
      <c r="C72" s="102" t="s">
        <v>33</v>
      </c>
      <c r="D72" s="8">
        <v>9440</v>
      </c>
      <c r="E72" s="8">
        <v>82</v>
      </c>
      <c r="F72" s="8">
        <v>5445</v>
      </c>
      <c r="G72" s="8">
        <v>2159</v>
      </c>
      <c r="H72" s="8">
        <v>167</v>
      </c>
      <c r="I72" s="9"/>
      <c r="J72" s="9"/>
      <c r="K72" s="9"/>
      <c r="L72" s="57">
        <v>5130035</v>
      </c>
      <c r="M72" s="57">
        <v>2731723</v>
      </c>
      <c r="N72" s="8">
        <v>15357</v>
      </c>
      <c r="O72" s="56">
        <v>2394941</v>
      </c>
      <c r="P72" s="56">
        <v>877390</v>
      </c>
      <c r="Q72" s="8">
        <v>405714</v>
      </c>
      <c r="R72" s="8">
        <v>30391</v>
      </c>
      <c r="S72" s="8">
        <v>17958</v>
      </c>
      <c r="T72" s="10">
        <f t="shared" ref="T72" si="73">Y72+Y73</f>
        <v>146533</v>
      </c>
      <c r="U72" s="11">
        <f>V72/V73</f>
        <v>0.57482591233399538</v>
      </c>
      <c r="V72" s="56">
        <v>359763</v>
      </c>
      <c r="W72" s="56">
        <v>1392766</v>
      </c>
      <c r="X72" s="8">
        <f>217982</f>
        <v>217982</v>
      </c>
      <c r="Y72" s="8">
        <v>278</v>
      </c>
      <c r="Z72" s="11">
        <f>AA72/AC72</f>
        <v>0.44331622818980476</v>
      </c>
      <c r="AA72" s="12">
        <f>9355392.8</f>
        <v>9355392.8000000007</v>
      </c>
      <c r="AB72" s="8">
        <f>1447956</f>
        <v>1447956</v>
      </c>
      <c r="AC72" s="12">
        <f>21103204</f>
        <v>21103204</v>
      </c>
      <c r="AD72" s="12">
        <f>AC72*1000/L72</f>
        <v>4113.6569243679623</v>
      </c>
    </row>
    <row r="73" spans="1:30">
      <c r="B73" s="47" t="s">
        <v>123</v>
      </c>
      <c r="C73" s="103"/>
      <c r="D73" s="13"/>
      <c r="E73" s="13"/>
      <c r="F73" s="14">
        <f>I72/L72/1.95</f>
        <v>0</v>
      </c>
      <c r="G73" s="14">
        <f>J72/L72/0.35</f>
        <v>0</v>
      </c>
      <c r="H73" s="14">
        <f>K72/L72/0.075</f>
        <v>0</v>
      </c>
      <c r="I73" s="15"/>
      <c r="J73" s="15"/>
      <c r="K73" s="15"/>
      <c r="L73" s="15"/>
      <c r="M73" s="15"/>
      <c r="N73" s="13"/>
      <c r="O73" s="14">
        <f>O72/L72</f>
        <v>0.46684691235050052</v>
      </c>
      <c r="P73" s="14">
        <f>P72/M72</f>
        <v>0.32118556676500509</v>
      </c>
      <c r="Q73" s="13"/>
      <c r="R73" s="13"/>
      <c r="S73" s="14">
        <f>S72/R72</f>
        <v>0.59089862130235926</v>
      </c>
      <c r="T73" s="16"/>
      <c r="U73" s="16"/>
      <c r="V73" s="13">
        <f t="shared" ref="V73" si="74">0.122*L72</f>
        <v>625864.27</v>
      </c>
      <c r="W73" s="13"/>
      <c r="X73" s="13"/>
      <c r="Y73" s="13">
        <f>146255</f>
        <v>146255</v>
      </c>
      <c r="Z73" s="17"/>
      <c r="AA73" s="18"/>
      <c r="AB73" s="13"/>
      <c r="AC73" s="18"/>
      <c r="AD73" s="18"/>
    </row>
    <row r="74" spans="1:30">
      <c r="B74" s="47" t="s">
        <v>123</v>
      </c>
      <c r="C74" s="102" t="s">
        <v>34</v>
      </c>
      <c r="D74" s="8">
        <v>1565</v>
      </c>
      <c r="E74" s="8">
        <v>7</v>
      </c>
      <c r="F74" s="8">
        <v>903</v>
      </c>
      <c r="G74" s="8">
        <v>480</v>
      </c>
      <c r="H74" s="8">
        <v>17</v>
      </c>
      <c r="I74" s="9"/>
      <c r="J74" s="9"/>
      <c r="K74" s="9"/>
      <c r="L74" s="57">
        <v>943485</v>
      </c>
      <c r="M74" s="57">
        <v>495051</v>
      </c>
      <c r="N74" s="71">
        <v>1709</v>
      </c>
      <c r="O74" s="56">
        <v>380565</v>
      </c>
      <c r="P74" s="56">
        <v>157004</v>
      </c>
      <c r="Q74" s="8">
        <v>5596</v>
      </c>
      <c r="R74" s="8">
        <v>1614</v>
      </c>
      <c r="S74" s="8">
        <v>532</v>
      </c>
      <c r="T74" s="10">
        <f t="shared" ref="T74" si="75">Y74+Y75</f>
        <v>2377</v>
      </c>
      <c r="U74" s="11">
        <f>V74/V75</f>
        <v>0.37371909532821157</v>
      </c>
      <c r="V74" s="56">
        <v>43017</v>
      </c>
      <c r="W74" s="56">
        <v>15127</v>
      </c>
      <c r="X74" s="8">
        <v>38055</v>
      </c>
      <c r="Y74" s="8">
        <v>10</v>
      </c>
      <c r="Z74" s="11">
        <f>AA74/AC74</f>
        <v>0.28592069887166177</v>
      </c>
      <c r="AA74" s="12">
        <f>271555.9</f>
        <v>271555.90000000002</v>
      </c>
      <c r="AB74" s="8">
        <f>79155</f>
        <v>79155</v>
      </c>
      <c r="AC74" s="12">
        <f>949759.5</f>
        <v>949759.5</v>
      </c>
      <c r="AD74" s="12">
        <f>AC74*1000/L74</f>
        <v>1006.6503442026105</v>
      </c>
    </row>
    <row r="75" spans="1:30">
      <c r="B75" s="47" t="s">
        <v>123</v>
      </c>
      <c r="C75" s="103"/>
      <c r="D75" s="13"/>
      <c r="E75" s="13"/>
      <c r="F75" s="14">
        <f>I74/L74/1.95</f>
        <v>0</v>
      </c>
      <c r="G75" s="14">
        <f>J74/L74/0.35</f>
        <v>0</v>
      </c>
      <c r="H75" s="14">
        <f>K74/L74/0.075</f>
        <v>0</v>
      </c>
      <c r="I75" s="15"/>
      <c r="J75" s="15"/>
      <c r="K75" s="15"/>
      <c r="L75" s="15"/>
      <c r="M75" s="15"/>
      <c r="N75" s="13"/>
      <c r="O75" s="14">
        <f>O74/L74</f>
        <v>0.40336094373519454</v>
      </c>
      <c r="P75" s="14">
        <f>P74/M74</f>
        <v>0.31714712221569091</v>
      </c>
      <c r="Q75" s="13"/>
      <c r="R75" s="13"/>
      <c r="S75" s="14">
        <f>S74/R74</f>
        <v>0.32961586121437425</v>
      </c>
      <c r="T75" s="16"/>
      <c r="U75" s="16"/>
      <c r="V75" s="13">
        <f t="shared" ref="V75" si="76">0.122*L74</f>
        <v>115105.17</v>
      </c>
      <c r="W75" s="13"/>
      <c r="X75" s="13"/>
      <c r="Y75" s="13">
        <f>2367</f>
        <v>2367</v>
      </c>
      <c r="Z75" s="17"/>
      <c r="AA75" s="18"/>
      <c r="AB75" s="13"/>
      <c r="AC75" s="18"/>
      <c r="AD75" s="18"/>
    </row>
    <row r="76" spans="1:30" s="54" customFormat="1">
      <c r="A76" s="47"/>
      <c r="B76" s="47" t="s">
        <v>123</v>
      </c>
      <c r="C76" s="112" t="s">
        <v>35</v>
      </c>
      <c r="D76" s="8">
        <v>4519</v>
      </c>
      <c r="E76" s="8">
        <v>40</v>
      </c>
      <c r="F76" s="8">
        <v>2459</v>
      </c>
      <c r="G76" s="8">
        <v>1166</v>
      </c>
      <c r="H76" s="8">
        <v>57</v>
      </c>
      <c r="I76" s="9"/>
      <c r="J76" s="9"/>
      <c r="K76" s="9"/>
      <c r="L76" s="57">
        <v>2370452</v>
      </c>
      <c r="M76" s="57">
        <v>1260013</v>
      </c>
      <c r="N76" s="8">
        <v>5378</v>
      </c>
      <c r="O76" s="56">
        <v>797637</v>
      </c>
      <c r="P76" s="56">
        <v>251267</v>
      </c>
      <c r="Q76" s="8">
        <v>40043</v>
      </c>
      <c r="R76" s="8">
        <v>11303</v>
      </c>
      <c r="S76" s="8">
        <v>9029</v>
      </c>
      <c r="T76" s="10">
        <f t="shared" ref="T76" si="77">Y76+Y77</f>
        <v>28836</v>
      </c>
      <c r="U76" s="11">
        <f>V76/V77</f>
        <v>0.41949528723760315</v>
      </c>
      <c r="V76" s="56">
        <v>121316</v>
      </c>
      <c r="W76" s="56">
        <v>216202</v>
      </c>
      <c r="X76" s="8">
        <v>43723</v>
      </c>
      <c r="Y76" s="8">
        <v>128</v>
      </c>
      <c r="Z76" s="11">
        <f>AA76/AC76</f>
        <v>0.17127544839030934</v>
      </c>
      <c r="AA76" s="12">
        <f>483043.3</f>
        <v>483043.3</v>
      </c>
      <c r="AB76" s="8">
        <f>187321</f>
        <v>187321</v>
      </c>
      <c r="AC76" s="53">
        <f>2820271.7</f>
        <v>2820271.7</v>
      </c>
      <c r="AD76" s="53">
        <f>AC76*1000/L76</f>
        <v>1189.7611510378611</v>
      </c>
    </row>
    <row r="77" spans="1:30" s="54" customFormat="1">
      <c r="A77" s="47"/>
      <c r="B77" s="47" t="s">
        <v>123</v>
      </c>
      <c r="C77" s="113"/>
      <c r="D77" s="13"/>
      <c r="E77" s="13"/>
      <c r="F77" s="14">
        <f>I76/L76/1.95</f>
        <v>0</v>
      </c>
      <c r="G77" s="14">
        <f>J76/L76/0.35</f>
        <v>0</v>
      </c>
      <c r="H77" s="14">
        <f>K76/L76/0.075</f>
        <v>0</v>
      </c>
      <c r="I77" s="15"/>
      <c r="J77" s="15"/>
      <c r="K77" s="15"/>
      <c r="L77" s="15"/>
      <c r="M77" s="15"/>
      <c r="N77" s="13"/>
      <c r="O77" s="14">
        <f>O76/L76</f>
        <v>0.33649152144823014</v>
      </c>
      <c r="P77" s="14">
        <f>P76/M76</f>
        <v>0.19941619649955994</v>
      </c>
      <c r="Q77" s="13"/>
      <c r="R77" s="13"/>
      <c r="S77" s="14">
        <f>S76/R76</f>
        <v>0.79881447403344241</v>
      </c>
      <c r="T77" s="16"/>
      <c r="U77" s="16"/>
      <c r="V77" s="13">
        <f t="shared" ref="V77" si="78">0.122*L76</f>
        <v>289195.14399999997</v>
      </c>
      <c r="W77" s="13"/>
      <c r="X77" s="13"/>
      <c r="Y77" s="13">
        <f>28708</f>
        <v>28708</v>
      </c>
      <c r="Z77" s="17"/>
      <c r="AA77" s="18"/>
      <c r="AB77" s="13"/>
      <c r="AC77" s="18"/>
      <c r="AD77" s="18"/>
    </row>
    <row r="78" spans="1:30" s="54" customFormat="1">
      <c r="A78" s="47"/>
      <c r="B78" s="47" t="s">
        <v>123</v>
      </c>
      <c r="C78" s="112" t="s">
        <v>36</v>
      </c>
      <c r="D78" s="8">
        <v>9932</v>
      </c>
      <c r="E78" s="8">
        <v>55</v>
      </c>
      <c r="F78" s="8">
        <v>5908</v>
      </c>
      <c r="G78" s="8">
        <v>1785</v>
      </c>
      <c r="H78" s="8">
        <v>149</v>
      </c>
      <c r="I78" s="9"/>
      <c r="J78" s="9"/>
      <c r="K78" s="9"/>
      <c r="L78" s="57">
        <v>3949464</v>
      </c>
      <c r="M78" s="57">
        <v>2100073</v>
      </c>
      <c r="N78" s="8">
        <v>9404</v>
      </c>
      <c r="O78" s="56">
        <v>1379612</v>
      </c>
      <c r="P78" s="56">
        <v>518194</v>
      </c>
      <c r="Q78" s="8">
        <v>16181</v>
      </c>
      <c r="R78" s="8">
        <v>21267</v>
      </c>
      <c r="S78" s="8">
        <v>13364</v>
      </c>
      <c r="T78" s="10">
        <f t="shared" ref="T78" si="79">Y78+Y79</f>
        <v>39452</v>
      </c>
      <c r="U78" s="11">
        <f>V78/V79</f>
        <v>0.53102246237987127</v>
      </c>
      <c r="V78" s="56">
        <v>255865</v>
      </c>
      <c r="W78" s="56">
        <v>500025</v>
      </c>
      <c r="X78" s="8">
        <f>116367</f>
        <v>116367</v>
      </c>
      <c r="Y78" s="8">
        <v>171</v>
      </c>
      <c r="Z78" s="11">
        <f>AA78/AC78</f>
        <v>0.10713687397245607</v>
      </c>
      <c r="AA78" s="12">
        <f>606770.2</f>
        <v>606770.19999999995</v>
      </c>
      <c r="AB78" s="8">
        <f>707761</f>
        <v>707761</v>
      </c>
      <c r="AC78" s="12">
        <f>5663504.8</f>
        <v>5663504.7999999998</v>
      </c>
      <c r="AD78" s="12">
        <f>AC78*1000/L78</f>
        <v>1433.9932709856325</v>
      </c>
    </row>
    <row r="79" spans="1:30" s="54" customFormat="1">
      <c r="A79" s="47"/>
      <c r="B79" s="47" t="s">
        <v>123</v>
      </c>
      <c r="C79" s="113"/>
      <c r="D79" s="13"/>
      <c r="E79" s="13"/>
      <c r="F79" s="14">
        <f>I78/L78/1.95</f>
        <v>0</v>
      </c>
      <c r="G79" s="14">
        <f>J78/L78/0.35</f>
        <v>0</v>
      </c>
      <c r="H79" s="14">
        <f>K78/L78/0.075</f>
        <v>0</v>
      </c>
      <c r="I79" s="15"/>
      <c r="J79" s="15"/>
      <c r="K79" s="15"/>
      <c r="L79" s="15"/>
      <c r="M79" s="15"/>
      <c r="N79" s="13"/>
      <c r="O79" s="14">
        <f>O78/L78</f>
        <v>0.3493162616496821</v>
      </c>
      <c r="P79" s="14">
        <f>P78/M78</f>
        <v>0.24675047010270595</v>
      </c>
      <c r="Q79" s="13"/>
      <c r="R79" s="13"/>
      <c r="S79" s="14">
        <f>S78/R78</f>
        <v>0.62839140452344011</v>
      </c>
      <c r="T79" s="16"/>
      <c r="U79" s="16"/>
      <c r="V79" s="13">
        <f t="shared" ref="V79:V81" si="80">0.122*L78</f>
        <v>481834.60800000001</v>
      </c>
      <c r="W79" s="13"/>
      <c r="X79" s="13"/>
      <c r="Y79" s="13">
        <f>39281</f>
        <v>39281</v>
      </c>
      <c r="Z79" s="17"/>
      <c r="AA79" s="18"/>
      <c r="AB79" s="13"/>
      <c r="AC79" s="18"/>
      <c r="AD79" s="18"/>
    </row>
    <row r="80" spans="1:30" s="54" customFormat="1">
      <c r="A80" s="47"/>
      <c r="B80" s="47" t="s">
        <v>123</v>
      </c>
      <c r="C80" s="118" t="s">
        <v>133</v>
      </c>
      <c r="D80" s="71">
        <v>519</v>
      </c>
      <c r="E80" s="72">
        <v>6</v>
      </c>
      <c r="F80" s="63">
        <v>184</v>
      </c>
      <c r="G80" s="63">
        <v>179</v>
      </c>
      <c r="H80" s="60">
        <v>4</v>
      </c>
      <c r="I80" s="64"/>
      <c r="J80" s="9"/>
      <c r="K80" s="9"/>
      <c r="L80" s="57">
        <v>388017</v>
      </c>
      <c r="M80" s="57">
        <v>204763</v>
      </c>
      <c r="N80" s="8">
        <v>735</v>
      </c>
      <c r="O80" s="60">
        <v>24429</v>
      </c>
      <c r="P80" s="60">
        <v>9739</v>
      </c>
      <c r="Q80" s="8">
        <v>1313</v>
      </c>
      <c r="R80" s="8">
        <v>2501</v>
      </c>
      <c r="S80" s="60">
        <v>2249</v>
      </c>
      <c r="T80" s="10">
        <f t="shared" ref="T80" si="81">Y80+Y81</f>
        <v>1494</v>
      </c>
      <c r="U80" s="61">
        <f>V80/V81</f>
        <v>0.2403350841861458</v>
      </c>
      <c r="V80" s="56">
        <v>11377</v>
      </c>
      <c r="W80" s="89">
        <v>5078</v>
      </c>
      <c r="X80" s="8">
        <v>2227</v>
      </c>
      <c r="Y80" s="8">
        <v>24</v>
      </c>
      <c r="Z80" s="11">
        <f>AA80/AC80</f>
        <v>0.899204935827004</v>
      </c>
      <c r="AA80" s="12">
        <f>5669532.8</f>
        <v>5669532.7999999998</v>
      </c>
      <c r="AB80" s="8">
        <f>13742</f>
        <v>13742</v>
      </c>
      <c r="AC80" s="69">
        <f>6305050.8</f>
        <v>6305050.7999999998</v>
      </c>
      <c r="AD80" s="100">
        <f t="shared" ref="AD80" si="82">AC80*1000/L80</f>
        <v>16249.418968756523</v>
      </c>
    </row>
    <row r="81" spans="1:30" s="54" customFormat="1">
      <c r="A81" s="47"/>
      <c r="B81" s="47" t="s">
        <v>123</v>
      </c>
      <c r="C81" s="119"/>
      <c r="D81" s="13"/>
      <c r="E81" s="65"/>
      <c r="F81" s="66">
        <f t="shared" ref="F81" si="83">I80/L80/1.95</f>
        <v>0</v>
      </c>
      <c r="G81" s="66">
        <f t="shared" ref="G81" si="84">J80/L80/0.35</f>
        <v>0</v>
      </c>
      <c r="H81" s="67">
        <f t="shared" ref="H81" si="85">K80/L80/0.075</f>
        <v>0</v>
      </c>
      <c r="I81" s="68"/>
      <c r="J81" s="15"/>
      <c r="K81" s="15"/>
      <c r="L81" s="27"/>
      <c r="M81" s="27"/>
      <c r="N81" s="26"/>
      <c r="O81" s="14">
        <f>O80/L80</f>
        <v>6.2958581711626035E-2</v>
      </c>
      <c r="P81" s="14">
        <f>P80/M80</f>
        <v>4.7562303736514898E-2</v>
      </c>
      <c r="Q81" s="13"/>
      <c r="R81" s="13"/>
      <c r="S81" s="14">
        <f>S80/R80</f>
        <v>0.89924030387844867</v>
      </c>
      <c r="T81" s="16"/>
      <c r="U81" s="16"/>
      <c r="V81" s="13">
        <f t="shared" si="80"/>
        <v>47338.074000000001</v>
      </c>
      <c r="W81" s="26"/>
      <c r="X81" s="26"/>
      <c r="Y81" s="13">
        <f>1470</f>
        <v>1470</v>
      </c>
      <c r="Z81" s="29"/>
      <c r="AA81" s="30"/>
      <c r="AB81" s="26"/>
      <c r="AC81" s="70"/>
      <c r="AD81" s="18"/>
    </row>
    <row r="82" spans="1:30" s="55" customFormat="1">
      <c r="A82" s="50" t="s">
        <v>129</v>
      </c>
      <c r="B82" s="50" t="s">
        <v>123</v>
      </c>
      <c r="C82" s="114" t="s">
        <v>37</v>
      </c>
      <c r="D82" s="24">
        <f t="shared" ref="D82:T82" si="86">SUM(D66+D68+D72+D74+D76+D78+D70+D80)</f>
        <v>30290</v>
      </c>
      <c r="E82" s="24">
        <f t="shared" si="86"/>
        <v>232</v>
      </c>
      <c r="F82" s="24">
        <f t="shared" si="86"/>
        <v>17438</v>
      </c>
      <c r="G82" s="24">
        <f t="shared" si="86"/>
        <v>6827</v>
      </c>
      <c r="H82" s="24">
        <f t="shared" si="86"/>
        <v>425</v>
      </c>
      <c r="I82" s="25">
        <f t="shared" si="86"/>
        <v>0</v>
      </c>
      <c r="J82" s="25">
        <f t="shared" si="86"/>
        <v>0</v>
      </c>
      <c r="K82" s="25">
        <f t="shared" si="86"/>
        <v>0</v>
      </c>
      <c r="L82" s="25">
        <f t="shared" si="86"/>
        <v>15238515</v>
      </c>
      <c r="M82" s="25">
        <f t="shared" si="86"/>
        <v>8100405</v>
      </c>
      <c r="N82" s="24">
        <f t="shared" si="86"/>
        <v>37503</v>
      </c>
      <c r="O82" s="24">
        <f t="shared" si="86"/>
        <v>5444599</v>
      </c>
      <c r="P82" s="24">
        <f t="shared" si="86"/>
        <v>1962736</v>
      </c>
      <c r="Q82" s="24">
        <f t="shared" si="86"/>
        <v>486133</v>
      </c>
      <c r="R82" s="24">
        <f t="shared" si="86"/>
        <v>83260</v>
      </c>
      <c r="S82" s="24">
        <f t="shared" si="86"/>
        <v>49697</v>
      </c>
      <c r="T82" s="24">
        <f t="shared" si="86"/>
        <v>230766</v>
      </c>
      <c r="U82" s="21">
        <f>V82/V83</f>
        <v>0.48757225026062762</v>
      </c>
      <c r="V82" s="24">
        <f>SUM(V66+V68+V72+V74+V76+V78+V70+V80)</f>
        <v>906445</v>
      </c>
      <c r="W82" s="24">
        <f>SUM(W66+W68+W72+W74+W76+W78+W70+W80)</f>
        <v>2247184</v>
      </c>
      <c r="X82" s="24">
        <f>SUM(X66+X68+X72+X74+X76+X78+X70+X80)</f>
        <v>464295</v>
      </c>
      <c r="Y82" s="24">
        <f>SUM(Y66+Y68+Y72+Y74+Y76+Y78+Y70+Y80)</f>
        <v>675</v>
      </c>
      <c r="Z82" s="21">
        <f>AA82/AC82</f>
        <v>0.42604679427665582</v>
      </c>
      <c r="AA82" s="22">
        <f>SUM(AA66+AA68+AA72+AA74+AA76+AA78+AA70+AA80)</f>
        <v>16933629.300000001</v>
      </c>
      <c r="AB82" s="22">
        <f>SUM(AB66+AB68+AB72+AB74+AB76+AB78+AB70+AB80)</f>
        <v>2674268</v>
      </c>
      <c r="AC82" s="22">
        <f>SUM(AC66+AC68+AC72+AC74+AC76+AC78+AC70+AC80)</f>
        <v>39745937.600000001</v>
      </c>
      <c r="AD82" s="22">
        <f>AC82*1000/L82</f>
        <v>2608.2553057171253</v>
      </c>
    </row>
    <row r="83" spans="1:30" s="55" customFormat="1">
      <c r="A83" s="50" t="s">
        <v>129</v>
      </c>
      <c r="B83" s="50" t="s">
        <v>123</v>
      </c>
      <c r="C83" s="115"/>
      <c r="D83" s="26"/>
      <c r="E83" s="26"/>
      <c r="F83" s="23">
        <f>I82/L82/1.95</f>
        <v>0</v>
      </c>
      <c r="G83" s="23">
        <f>J82/L82/0.35</f>
        <v>0</v>
      </c>
      <c r="H83" s="23">
        <f>K82/L82/0.075</f>
        <v>0</v>
      </c>
      <c r="I83" s="19"/>
      <c r="J83" s="19"/>
      <c r="K83" s="19"/>
      <c r="L83" s="19"/>
      <c r="M83" s="19"/>
      <c r="N83" s="26"/>
      <c r="O83" s="23">
        <f>O82/L82</f>
        <v>0.35729196709784383</v>
      </c>
      <c r="P83" s="23">
        <f>P82/M82</f>
        <v>0.24230097137118453</v>
      </c>
      <c r="Q83" s="26"/>
      <c r="R83" s="26"/>
      <c r="S83" s="23">
        <f>S82/R82</f>
        <v>0.59688926255104491</v>
      </c>
      <c r="T83" s="28"/>
      <c r="U83" s="28"/>
      <c r="V83" s="24">
        <f>SUM(V67+V69+V73+V75+V77+V79+V71+V81)</f>
        <v>1859098.83</v>
      </c>
      <c r="W83" s="26"/>
      <c r="X83" s="26"/>
      <c r="Y83" s="24">
        <f>SUM(Y67+Y69+Y73+Y75+Y77+Y79+Y71+Y81)</f>
        <v>230091</v>
      </c>
      <c r="Z83" s="29"/>
      <c r="AA83" s="30"/>
      <c r="AB83" s="26"/>
      <c r="AC83" s="30"/>
      <c r="AD83" s="30"/>
    </row>
    <row r="84" spans="1:30">
      <c r="B84" s="47" t="s">
        <v>124</v>
      </c>
      <c r="C84" s="102" t="s">
        <v>38</v>
      </c>
      <c r="D84" s="8">
        <v>3589</v>
      </c>
      <c r="E84" s="8">
        <v>12</v>
      </c>
      <c r="F84" s="8">
        <v>2113</v>
      </c>
      <c r="G84" s="8">
        <v>902</v>
      </c>
      <c r="H84" s="8">
        <v>21</v>
      </c>
      <c r="I84" s="9"/>
      <c r="J84" s="9"/>
      <c r="K84" s="9"/>
      <c r="L84" s="57">
        <v>2803846</v>
      </c>
      <c r="M84" s="57">
        <v>1454256</v>
      </c>
      <c r="N84" s="8">
        <v>6688</v>
      </c>
      <c r="O84" s="8">
        <v>1146152</v>
      </c>
      <c r="P84" s="8">
        <v>286951</v>
      </c>
      <c r="Q84" s="8">
        <v>30829</v>
      </c>
      <c r="R84" s="8">
        <v>2557</v>
      </c>
      <c r="S84" s="8">
        <v>524</v>
      </c>
      <c r="T84" s="10">
        <f>Y84+Y85</f>
        <v>20490</v>
      </c>
      <c r="U84" s="11">
        <f>V84/V85</f>
        <v>0.2737048431005828</v>
      </c>
      <c r="V84" s="8">
        <v>93626</v>
      </c>
      <c r="W84" s="8">
        <v>541818</v>
      </c>
      <c r="X84" s="8">
        <v>102417</v>
      </c>
      <c r="Y84" s="8">
        <v>131</v>
      </c>
      <c r="Z84" s="11">
        <f>AA84/AC84</f>
        <v>1.7212030924471287E-2</v>
      </c>
      <c r="AA84" s="12">
        <f>44306</f>
        <v>44306</v>
      </c>
      <c r="AB84" s="8">
        <f>1146541</f>
        <v>1146541</v>
      </c>
      <c r="AC84" s="12">
        <f>2574129.7</f>
        <v>2574129.7000000002</v>
      </c>
      <c r="AD84" s="12">
        <f>AC84*1000/L84</f>
        <v>918.07099961980794</v>
      </c>
    </row>
    <row r="85" spans="1:30">
      <c r="B85" s="47" t="s">
        <v>124</v>
      </c>
      <c r="C85" s="103"/>
      <c r="D85" s="13"/>
      <c r="E85" s="13"/>
      <c r="F85" s="14">
        <f>I84/L84/1.95</f>
        <v>0</v>
      </c>
      <c r="G85" s="14">
        <f>J84/L84/0.35</f>
        <v>0</v>
      </c>
      <c r="H85" s="14">
        <f>K84/L84/0.075</f>
        <v>0</v>
      </c>
      <c r="I85" s="15"/>
      <c r="J85" s="15"/>
      <c r="K85" s="15"/>
      <c r="L85" s="15"/>
      <c r="M85" s="15"/>
      <c r="N85" s="13"/>
      <c r="O85" s="14">
        <f>O84/L84</f>
        <v>0.40877851351322436</v>
      </c>
      <c r="P85" s="14">
        <f>P84/M84</f>
        <v>0.19731807879768073</v>
      </c>
      <c r="Q85" s="13"/>
      <c r="R85" s="13"/>
      <c r="S85" s="14">
        <f>S84/R84</f>
        <v>0.20492764958936252</v>
      </c>
      <c r="T85" s="16"/>
      <c r="U85" s="16"/>
      <c r="V85" s="13">
        <f>0.122*L84</f>
        <v>342069.212</v>
      </c>
      <c r="W85" s="13"/>
      <c r="X85" s="13"/>
      <c r="Y85" s="13">
        <f>20359</f>
        <v>20359</v>
      </c>
      <c r="Z85" s="17"/>
      <c r="AA85" s="18"/>
      <c r="AB85" s="13"/>
      <c r="AC85" s="18"/>
      <c r="AD85" s="18"/>
    </row>
    <row r="86" spans="1:30">
      <c r="B86" s="47" t="s">
        <v>124</v>
      </c>
      <c r="C86" s="102" t="s">
        <v>39</v>
      </c>
      <c r="D86" s="8">
        <v>322</v>
      </c>
      <c r="E86" s="8">
        <v>4</v>
      </c>
      <c r="F86" s="8">
        <v>173</v>
      </c>
      <c r="G86" s="8">
        <v>137</v>
      </c>
      <c r="H86" s="8">
        <v>5</v>
      </c>
      <c r="I86" s="9"/>
      <c r="J86" s="9"/>
      <c r="K86" s="9"/>
      <c r="L86" s="57">
        <v>439743</v>
      </c>
      <c r="M86" s="57">
        <v>242483</v>
      </c>
      <c r="N86" s="8">
        <v>1092</v>
      </c>
      <c r="O86" s="8">
        <v>70046</v>
      </c>
      <c r="P86" s="8">
        <v>2800</v>
      </c>
      <c r="Q86" s="8">
        <v>21007</v>
      </c>
      <c r="R86" s="8">
        <v>1778</v>
      </c>
      <c r="S86" s="8">
        <v>773</v>
      </c>
      <c r="T86" s="10">
        <f t="shared" ref="T86" si="87">Y86+Y87</f>
        <v>1393</v>
      </c>
      <c r="U86" s="11">
        <f>V86/V87</f>
        <v>0.14895063707665612</v>
      </c>
      <c r="V86" s="8">
        <v>7991</v>
      </c>
      <c r="W86" s="8">
        <v>4563</v>
      </c>
      <c r="X86" s="8">
        <v>19475</v>
      </c>
      <c r="Y86" s="8">
        <v>9</v>
      </c>
      <c r="Z86" s="11">
        <f>AA86/AC86</f>
        <v>0.32750176649146151</v>
      </c>
      <c r="AA86" s="12">
        <f>298998.6</f>
        <v>298998.59999999998</v>
      </c>
      <c r="AB86" s="8">
        <f>70047</f>
        <v>70047</v>
      </c>
      <c r="AC86" s="12">
        <f>912967.9</f>
        <v>912967.9</v>
      </c>
      <c r="AD86" s="12">
        <f>AC86*1000/L86</f>
        <v>2076.1396997791894</v>
      </c>
    </row>
    <row r="87" spans="1:30">
      <c r="B87" s="47" t="s">
        <v>124</v>
      </c>
      <c r="C87" s="103"/>
      <c r="D87" s="13"/>
      <c r="E87" s="13"/>
      <c r="F87" s="14">
        <f>I86/L86/1.95</f>
        <v>0</v>
      </c>
      <c r="G87" s="14">
        <f>J86/L86/0.35</f>
        <v>0</v>
      </c>
      <c r="H87" s="14">
        <f>K86/L86/0.075</f>
        <v>0</v>
      </c>
      <c r="I87" s="15"/>
      <c r="J87" s="15"/>
      <c r="K87" s="15"/>
      <c r="L87" s="15"/>
      <c r="M87" s="15"/>
      <c r="N87" s="13"/>
      <c r="O87" s="14">
        <f>O86/L86</f>
        <v>0.15928849350643445</v>
      </c>
      <c r="P87" s="14">
        <f>P86/M86</f>
        <v>1.1547201247097735E-2</v>
      </c>
      <c r="Q87" s="13"/>
      <c r="R87" s="13"/>
      <c r="S87" s="14">
        <f>S86/R86</f>
        <v>0.43475815523059619</v>
      </c>
      <c r="T87" s="16"/>
      <c r="U87" s="16"/>
      <c r="V87" s="13">
        <f t="shared" ref="V87" si="88">0.122*L86</f>
        <v>53648.646000000001</v>
      </c>
      <c r="W87" s="13"/>
      <c r="X87" s="13"/>
      <c r="Y87" s="13">
        <v>1384</v>
      </c>
      <c r="Z87" s="17"/>
      <c r="AA87" s="18"/>
      <c r="AB87" s="13"/>
      <c r="AC87" s="18"/>
      <c r="AD87" s="18"/>
    </row>
    <row r="88" spans="1:30">
      <c r="B88" s="47" t="s">
        <v>124</v>
      </c>
      <c r="C88" s="102" t="s">
        <v>40</v>
      </c>
      <c r="D88" s="8">
        <v>1518</v>
      </c>
      <c r="E88" s="8">
        <v>12</v>
      </c>
      <c r="F88" s="8">
        <v>939</v>
      </c>
      <c r="G88" s="8">
        <v>499</v>
      </c>
      <c r="H88" s="8">
        <v>16</v>
      </c>
      <c r="I88" s="9"/>
      <c r="J88" s="9"/>
      <c r="K88" s="9"/>
      <c r="L88" s="57">
        <v>804188</v>
      </c>
      <c r="M88" s="57">
        <v>427105</v>
      </c>
      <c r="N88" s="8">
        <v>1915</v>
      </c>
      <c r="O88" s="8">
        <v>262848</v>
      </c>
      <c r="P88" s="8">
        <v>87820</v>
      </c>
      <c r="Q88" s="8">
        <v>1818</v>
      </c>
      <c r="R88" s="8">
        <v>2894</v>
      </c>
      <c r="S88" s="8">
        <v>1297</v>
      </c>
      <c r="T88" s="10">
        <f t="shared" ref="T88" si="89">Y88+Y89</f>
        <v>6471</v>
      </c>
      <c r="U88" s="11">
        <f>V88/V89</f>
        <v>0.55068274957645902</v>
      </c>
      <c r="V88" s="8">
        <v>54028</v>
      </c>
      <c r="W88" s="8">
        <v>43312</v>
      </c>
      <c r="X88" s="8">
        <v>39435</v>
      </c>
      <c r="Y88" s="8">
        <v>35</v>
      </c>
      <c r="Z88" s="11">
        <f>AA88/AC88</f>
        <v>8.6006671165104517E-3</v>
      </c>
      <c r="AA88" s="12">
        <f>3148.3</f>
        <v>3148.3</v>
      </c>
      <c r="AB88" s="8">
        <f>93031</f>
        <v>93031</v>
      </c>
      <c r="AC88" s="12">
        <f>366053</f>
        <v>366053</v>
      </c>
      <c r="AD88" s="12">
        <f>AC88*1000/L88</f>
        <v>455.18336508378638</v>
      </c>
    </row>
    <row r="89" spans="1:30">
      <c r="B89" s="47" t="s">
        <v>124</v>
      </c>
      <c r="C89" s="103"/>
      <c r="D89" s="13"/>
      <c r="E89" s="13"/>
      <c r="F89" s="14">
        <f>I88/L88/1.95</f>
        <v>0</v>
      </c>
      <c r="G89" s="14">
        <f>J88/L88/0.35</f>
        <v>0</v>
      </c>
      <c r="H89" s="14">
        <f>K88/L88/0.075</f>
        <v>0</v>
      </c>
      <c r="I89" s="15"/>
      <c r="J89" s="15"/>
      <c r="K89" s="15"/>
      <c r="L89" s="15"/>
      <c r="M89" s="15"/>
      <c r="N89" s="13"/>
      <c r="O89" s="14">
        <f>O88/L88</f>
        <v>0.32684894576889983</v>
      </c>
      <c r="P89" s="14">
        <f>P88/M88</f>
        <v>0.20561688577750201</v>
      </c>
      <c r="Q89" s="13"/>
      <c r="R89" s="13"/>
      <c r="S89" s="14">
        <f>S88/R88</f>
        <v>0.44816862474084312</v>
      </c>
      <c r="T89" s="16"/>
      <c r="U89" s="16"/>
      <c r="V89" s="13">
        <f t="shared" ref="V89" si="90">0.122*L88</f>
        <v>98110.936000000002</v>
      </c>
      <c r="W89" s="13"/>
      <c r="X89" s="13"/>
      <c r="Y89" s="13">
        <f>6436</f>
        <v>6436</v>
      </c>
      <c r="Z89" s="17"/>
      <c r="AA89" s="18"/>
      <c r="AB89" s="13"/>
      <c r="AC89" s="18"/>
      <c r="AD89" s="18"/>
    </row>
    <row r="90" spans="1:30">
      <c r="B90" s="47" t="s">
        <v>124</v>
      </c>
      <c r="C90" s="102" t="s">
        <v>41</v>
      </c>
      <c r="D90" s="8">
        <v>597</v>
      </c>
      <c r="E90" s="8">
        <v>4</v>
      </c>
      <c r="F90" s="8">
        <v>309</v>
      </c>
      <c r="G90" s="8">
        <v>239</v>
      </c>
      <c r="H90" s="8">
        <v>13</v>
      </c>
      <c r="I90" s="9"/>
      <c r="J90" s="9"/>
      <c r="K90" s="9"/>
      <c r="L90" s="57">
        <v>436937</v>
      </c>
      <c r="M90" s="57">
        <v>234240</v>
      </c>
      <c r="N90" s="8">
        <v>1053</v>
      </c>
      <c r="O90" s="8">
        <v>159498</v>
      </c>
      <c r="P90" s="8">
        <v>37982</v>
      </c>
      <c r="Q90" s="8">
        <v>2923</v>
      </c>
      <c r="R90" s="8">
        <v>1715</v>
      </c>
      <c r="S90" s="8">
        <v>1043</v>
      </c>
      <c r="T90" s="10">
        <f t="shared" ref="T90" si="91">Y90+Y91</f>
        <v>2887</v>
      </c>
      <c r="U90" s="11">
        <f>V90/V91</f>
        <v>0.22997275707339285</v>
      </c>
      <c r="V90" s="8">
        <v>12259</v>
      </c>
      <c r="W90" s="8">
        <v>16089</v>
      </c>
      <c r="X90" s="8">
        <v>18319</v>
      </c>
      <c r="Y90" s="8">
        <v>27</v>
      </c>
      <c r="Z90" s="11">
        <f>AA90/AC90</f>
        <v>4.8869877716743683E-4</v>
      </c>
      <c r="AA90" s="12">
        <f>288.1</f>
        <v>288.10000000000002</v>
      </c>
      <c r="AB90" s="8">
        <f>159649</f>
        <v>159649</v>
      </c>
      <c r="AC90" s="12">
        <f>589524.7</f>
        <v>589524.69999999995</v>
      </c>
      <c r="AD90" s="53">
        <f>AC90*1000/L90</f>
        <v>1349.2212836175468</v>
      </c>
    </row>
    <row r="91" spans="1:30">
      <c r="B91" s="47" t="s">
        <v>124</v>
      </c>
      <c r="C91" s="103"/>
      <c r="D91" s="13"/>
      <c r="E91" s="13"/>
      <c r="F91" s="14">
        <f>I90/L90/1.95</f>
        <v>0</v>
      </c>
      <c r="G91" s="14">
        <f>J90/L90/0.35</f>
        <v>0</v>
      </c>
      <c r="H91" s="14">
        <f>K90/L90/0.075</f>
        <v>0</v>
      </c>
      <c r="I91" s="15"/>
      <c r="J91" s="15"/>
      <c r="K91" s="15"/>
      <c r="L91" s="15"/>
      <c r="M91" s="15"/>
      <c r="N91" s="13"/>
      <c r="O91" s="14">
        <f>O90/L90</f>
        <v>0.36503660710811858</v>
      </c>
      <c r="P91" s="14">
        <f>P90/M90</f>
        <v>0.16214993169398906</v>
      </c>
      <c r="Q91" s="13"/>
      <c r="R91" s="13"/>
      <c r="S91" s="14">
        <f>S90/R90</f>
        <v>0.60816326530612241</v>
      </c>
      <c r="T91" s="16"/>
      <c r="U91" s="16"/>
      <c r="V91" s="13">
        <f t="shared" ref="V91" si="92">0.122*L90</f>
        <v>53306.313999999998</v>
      </c>
      <c r="W91" s="13"/>
      <c r="X91" s="13"/>
      <c r="Y91" s="13">
        <f>2860</f>
        <v>2860</v>
      </c>
      <c r="Z91" s="17"/>
      <c r="AA91" s="18"/>
      <c r="AB91" s="13"/>
      <c r="AC91" s="18"/>
      <c r="AD91" s="18"/>
    </row>
    <row r="92" spans="1:30">
      <c r="B92" s="47" t="s">
        <v>124</v>
      </c>
      <c r="C92" s="102" t="s">
        <v>42</v>
      </c>
      <c r="D92" s="8">
        <v>1051</v>
      </c>
      <c r="E92" s="8">
        <v>15</v>
      </c>
      <c r="F92" s="8">
        <v>571</v>
      </c>
      <c r="G92" s="8">
        <v>436</v>
      </c>
      <c r="H92" s="8">
        <v>18</v>
      </c>
      <c r="I92" s="9"/>
      <c r="J92" s="9"/>
      <c r="K92" s="9"/>
      <c r="L92" s="57">
        <v>649145</v>
      </c>
      <c r="M92" s="57">
        <v>346866</v>
      </c>
      <c r="N92" s="8">
        <v>1977</v>
      </c>
      <c r="O92" s="8">
        <v>203438</v>
      </c>
      <c r="P92" s="8">
        <v>65543</v>
      </c>
      <c r="Q92" s="8">
        <v>9633</v>
      </c>
      <c r="R92" s="8">
        <v>4904</v>
      </c>
      <c r="S92" s="8">
        <v>2098</v>
      </c>
      <c r="T92" s="10">
        <f t="shared" ref="T92" si="93">Y92+Y93</f>
        <v>6032</v>
      </c>
      <c r="U92" s="11">
        <f>V92/V93</f>
        <v>0.34419802390761417</v>
      </c>
      <c r="V92" s="8">
        <v>27259</v>
      </c>
      <c r="W92" s="8">
        <v>11527</v>
      </c>
      <c r="X92" s="8">
        <v>28111</v>
      </c>
      <c r="Y92" s="8">
        <v>106</v>
      </c>
      <c r="Z92" s="11">
        <f>AA92/AC92</f>
        <v>2.1079604107336208E-2</v>
      </c>
      <c r="AA92" s="12">
        <f>21214.6</f>
        <v>21214.6</v>
      </c>
      <c r="AB92" s="8">
        <f>102913</f>
        <v>102913</v>
      </c>
      <c r="AC92" s="12">
        <f>1006404.1</f>
        <v>1006404.1</v>
      </c>
      <c r="AD92" s="12">
        <f>AC92*1000/L92</f>
        <v>1550.3533108935601</v>
      </c>
    </row>
    <row r="93" spans="1:30">
      <c r="B93" s="47" t="s">
        <v>124</v>
      </c>
      <c r="C93" s="103"/>
      <c r="D93" s="13"/>
      <c r="E93" s="13"/>
      <c r="F93" s="14">
        <f>I92/L92/1.95</f>
        <v>0</v>
      </c>
      <c r="G93" s="14">
        <f>J92/L92/0.35</f>
        <v>0</v>
      </c>
      <c r="H93" s="14">
        <f>K92/L92/0.075</f>
        <v>0</v>
      </c>
      <c r="I93" s="15"/>
      <c r="J93" s="15"/>
      <c r="K93" s="15"/>
      <c r="L93" s="15"/>
      <c r="M93" s="15"/>
      <c r="N93" s="13"/>
      <c r="O93" s="14">
        <f>O92/L92</f>
        <v>0.31339377180753142</v>
      </c>
      <c r="P93" s="14">
        <f>P92/M92</f>
        <v>0.18895769547894575</v>
      </c>
      <c r="Q93" s="13"/>
      <c r="R93" s="13"/>
      <c r="S93" s="14">
        <f>S92/R92</f>
        <v>0.42781402936378465</v>
      </c>
      <c r="T93" s="16"/>
      <c r="U93" s="16"/>
      <c r="V93" s="13">
        <f t="shared" ref="V93" si="94">0.122*L92</f>
        <v>79195.69</v>
      </c>
      <c r="W93" s="13"/>
      <c r="X93" s="13"/>
      <c r="Y93" s="13">
        <f>5926</f>
        <v>5926</v>
      </c>
      <c r="Z93" s="17"/>
      <c r="AA93" s="18"/>
      <c r="AB93" s="13"/>
      <c r="AC93" s="18"/>
      <c r="AD93" s="18"/>
    </row>
    <row r="94" spans="1:30">
      <c r="B94" s="47" t="s">
        <v>124</v>
      </c>
      <c r="C94" s="102" t="s">
        <v>43</v>
      </c>
      <c r="D94" s="8">
        <v>1288</v>
      </c>
      <c r="E94" s="8">
        <v>13</v>
      </c>
      <c r="F94" s="8">
        <v>724</v>
      </c>
      <c r="G94" s="8">
        <v>503</v>
      </c>
      <c r="H94" s="8">
        <v>9</v>
      </c>
      <c r="I94" s="9"/>
      <c r="J94" s="9"/>
      <c r="K94" s="9"/>
      <c r="L94" s="57">
        <v>1286316</v>
      </c>
      <c r="M94" s="57">
        <v>653914</v>
      </c>
      <c r="N94" s="8">
        <v>5190</v>
      </c>
      <c r="O94" s="8">
        <v>461036</v>
      </c>
      <c r="P94" s="8">
        <v>165782</v>
      </c>
      <c r="Q94" s="8">
        <v>3417</v>
      </c>
      <c r="R94" s="8">
        <v>1494</v>
      </c>
      <c r="S94" s="8">
        <v>207</v>
      </c>
      <c r="T94" s="10">
        <f t="shared" ref="T94" si="95">Y94+Y95</f>
        <v>6660</v>
      </c>
      <c r="U94" s="11">
        <f>V94/V95</f>
        <v>0.20644800892562973</v>
      </c>
      <c r="V94" s="8">
        <v>32398</v>
      </c>
      <c r="W94" s="8">
        <v>18564</v>
      </c>
      <c r="X94" s="8">
        <v>67785</v>
      </c>
      <c r="Y94" s="8">
        <v>40</v>
      </c>
      <c r="Z94" s="11">
        <f>AA94/AC94</f>
        <v>0.1104859988833215</v>
      </c>
      <c r="AA94" s="12">
        <f>310063.3</f>
        <v>310063.3</v>
      </c>
      <c r="AB94" s="8">
        <f>115726</f>
        <v>115726</v>
      </c>
      <c r="AC94" s="12">
        <f>2806358.3</f>
        <v>2806358.3</v>
      </c>
      <c r="AD94" s="12">
        <f>AC94*1000/L94</f>
        <v>2181.7020856461399</v>
      </c>
    </row>
    <row r="95" spans="1:30">
      <c r="B95" s="47" t="s">
        <v>124</v>
      </c>
      <c r="C95" s="103"/>
      <c r="D95" s="13"/>
      <c r="E95" s="13"/>
      <c r="F95" s="14">
        <f>I94/L94/1.95</f>
        <v>0</v>
      </c>
      <c r="G95" s="14">
        <f>J94/L94/0.35</f>
        <v>0</v>
      </c>
      <c r="H95" s="14">
        <f>K94/L94/0.075</f>
        <v>0</v>
      </c>
      <c r="I95" s="15"/>
      <c r="J95" s="15"/>
      <c r="K95" s="15"/>
      <c r="L95" s="15"/>
      <c r="M95" s="15"/>
      <c r="N95" s="13"/>
      <c r="O95" s="14">
        <f>O94/L94</f>
        <v>0.35841581695322144</v>
      </c>
      <c r="P95" s="14">
        <f>P94/M94</f>
        <v>0.25352263447486978</v>
      </c>
      <c r="Q95" s="13"/>
      <c r="R95" s="13"/>
      <c r="S95" s="14">
        <f>S94/R94</f>
        <v>0.13855421686746988</v>
      </c>
      <c r="T95" s="16"/>
      <c r="U95" s="16"/>
      <c r="V95" s="13">
        <f t="shared" ref="V95" si="96">0.122*L94</f>
        <v>156930.552</v>
      </c>
      <c r="W95" s="13"/>
      <c r="X95" s="13"/>
      <c r="Y95" s="13">
        <f>6620</f>
        <v>6620</v>
      </c>
      <c r="Z95" s="17"/>
      <c r="AA95" s="18"/>
      <c r="AB95" s="13"/>
      <c r="AC95" s="18"/>
      <c r="AD95" s="18"/>
    </row>
    <row r="96" spans="1:30">
      <c r="B96" s="47" t="s">
        <v>124</v>
      </c>
      <c r="C96" s="102" t="s">
        <v>44</v>
      </c>
      <c r="D96" s="8">
        <v>4552</v>
      </c>
      <c r="E96" s="8">
        <v>40</v>
      </c>
      <c r="F96" s="8">
        <v>2757</v>
      </c>
      <c r="G96" s="8">
        <v>1118</v>
      </c>
      <c r="H96" s="8">
        <v>79</v>
      </c>
      <c r="I96" s="9"/>
      <c r="J96" s="9"/>
      <c r="K96" s="9"/>
      <c r="L96" s="57">
        <v>2612798</v>
      </c>
      <c r="M96" s="57">
        <v>1385479</v>
      </c>
      <c r="N96" s="8">
        <v>5170</v>
      </c>
      <c r="O96" s="56">
        <v>837046</v>
      </c>
      <c r="P96" s="56">
        <v>331442</v>
      </c>
      <c r="Q96" s="8">
        <v>73896</v>
      </c>
      <c r="R96" s="8">
        <v>8909</v>
      </c>
      <c r="S96" s="8">
        <v>5154</v>
      </c>
      <c r="T96" s="10">
        <f t="shared" ref="T96" si="97">Y96+Y97</f>
        <v>17695</v>
      </c>
      <c r="U96" s="11">
        <f>V96/V97</f>
        <v>0.47091341900302375</v>
      </c>
      <c r="V96" s="8">
        <v>150109</v>
      </c>
      <c r="W96" s="56">
        <v>362674</v>
      </c>
      <c r="X96" s="8">
        <v>55874</v>
      </c>
      <c r="Y96" s="8">
        <v>85</v>
      </c>
      <c r="Z96" s="11">
        <f>AA96/AC96</f>
        <v>0.15075901776172554</v>
      </c>
      <c r="AA96" s="12">
        <f>380341.8</f>
        <v>380341.8</v>
      </c>
      <c r="AB96" s="8">
        <f>467136</f>
        <v>467136</v>
      </c>
      <c r="AC96" s="12">
        <f>2522846.1</f>
        <v>2522846.1</v>
      </c>
      <c r="AD96" s="12">
        <f>AC96*1000/L96</f>
        <v>965.572577749983</v>
      </c>
    </row>
    <row r="97" spans="1:30">
      <c r="B97" s="47" t="s">
        <v>124</v>
      </c>
      <c r="C97" s="103"/>
      <c r="D97" s="13"/>
      <c r="E97" s="13"/>
      <c r="F97" s="14">
        <f>I96/L96/1.95</f>
        <v>0</v>
      </c>
      <c r="G97" s="14">
        <f>J96/L96/0.35</f>
        <v>0</v>
      </c>
      <c r="H97" s="14">
        <f>K96/L96/0.075</f>
        <v>0</v>
      </c>
      <c r="I97" s="15"/>
      <c r="J97" s="15"/>
      <c r="K97" s="15"/>
      <c r="L97" s="15"/>
      <c r="M97" s="15"/>
      <c r="N97" s="13"/>
      <c r="O97" s="14">
        <f>O96/L96</f>
        <v>0.32036383983759936</v>
      </c>
      <c r="P97" s="14">
        <f>P96/M96</f>
        <v>0.23922556747521975</v>
      </c>
      <c r="Q97" s="13"/>
      <c r="R97" s="13"/>
      <c r="S97" s="14">
        <f>S96/R96</f>
        <v>0.57851610730721748</v>
      </c>
      <c r="T97" s="16"/>
      <c r="U97" s="16"/>
      <c r="V97" s="13">
        <f t="shared" ref="V97" si="98">0.122*L96</f>
        <v>318761.35599999997</v>
      </c>
      <c r="W97" s="13"/>
      <c r="X97" s="13"/>
      <c r="Y97" s="13">
        <f>17610</f>
        <v>17610</v>
      </c>
      <c r="Z97" s="17"/>
      <c r="AA97" s="18"/>
      <c r="AB97" s="13"/>
      <c r="AC97" s="18"/>
      <c r="AD97" s="18"/>
    </row>
    <row r="98" spans="1:30" s="20" customFormat="1">
      <c r="A98" s="49" t="s">
        <v>129</v>
      </c>
      <c r="B98" s="50" t="s">
        <v>124</v>
      </c>
      <c r="C98" s="104" t="s">
        <v>45</v>
      </c>
      <c r="D98" s="24">
        <f t="shared" ref="D98:T98" si="99">SUM(D96,D94,D92,D90,D88,D86,D84)</f>
        <v>12917</v>
      </c>
      <c r="E98" s="24">
        <f t="shared" si="99"/>
        <v>100</v>
      </c>
      <c r="F98" s="24">
        <f t="shared" si="99"/>
        <v>7586</v>
      </c>
      <c r="G98" s="24">
        <f t="shared" si="99"/>
        <v>3834</v>
      </c>
      <c r="H98" s="24">
        <f t="shared" si="99"/>
        <v>161</v>
      </c>
      <c r="I98" s="19">
        <f t="shared" si="99"/>
        <v>0</v>
      </c>
      <c r="J98" s="19">
        <f t="shared" si="99"/>
        <v>0</v>
      </c>
      <c r="K98" s="19">
        <f t="shared" si="99"/>
        <v>0</v>
      </c>
      <c r="L98" s="19">
        <f t="shared" si="99"/>
        <v>9032973</v>
      </c>
      <c r="M98" s="19">
        <f t="shared" si="99"/>
        <v>4744343</v>
      </c>
      <c r="N98" s="24">
        <f t="shared" si="99"/>
        <v>23085</v>
      </c>
      <c r="O98" s="24">
        <f t="shared" si="99"/>
        <v>3140064</v>
      </c>
      <c r="P98" s="24">
        <f t="shared" si="99"/>
        <v>978320</v>
      </c>
      <c r="Q98" s="24">
        <f t="shared" si="99"/>
        <v>143523</v>
      </c>
      <c r="R98" s="24">
        <f t="shared" si="99"/>
        <v>24251</v>
      </c>
      <c r="S98" s="24">
        <f t="shared" si="99"/>
        <v>11096</v>
      </c>
      <c r="T98" s="24">
        <f t="shared" si="99"/>
        <v>61628</v>
      </c>
      <c r="U98" s="21">
        <f>V98/V99</f>
        <v>0.34270618739864694</v>
      </c>
      <c r="V98" s="24">
        <f>SUM(V96,V94,V92,V90,V88,V86,V84)</f>
        <v>377670</v>
      </c>
      <c r="W98" s="24">
        <f>SUM(W96,W94,W92,W90,W88,W86,W84)</f>
        <v>998547</v>
      </c>
      <c r="X98" s="24">
        <f>SUM(X96,X94,X92,X90,X88,X86,X84)</f>
        <v>331416</v>
      </c>
      <c r="Y98" s="24">
        <f>SUM(Y96,Y94,Y92,Y90,Y88,Y86,Y84)</f>
        <v>433</v>
      </c>
      <c r="Z98" s="21">
        <f>AA98/AC98</f>
        <v>9.8193805214147362E-2</v>
      </c>
      <c r="AA98" s="22">
        <f>SUM(AA84:AA96)</f>
        <v>1058360.7</v>
      </c>
      <c r="AB98" s="24">
        <f>SUM(AB96,AB94,AB92,AB90,AB88,AB86,AB84)</f>
        <v>2155043</v>
      </c>
      <c r="AC98" s="22">
        <f>SUM(AC84:AC96)</f>
        <v>10778283.799999999</v>
      </c>
      <c r="AD98" s="22">
        <f>AC98*1000/L98</f>
        <v>1193.2155448709964</v>
      </c>
    </row>
    <row r="99" spans="1:30" s="20" customFormat="1">
      <c r="A99" s="49" t="s">
        <v>129</v>
      </c>
      <c r="B99" s="50" t="s">
        <v>124</v>
      </c>
      <c r="C99" s="105"/>
      <c r="D99" s="26"/>
      <c r="E99" s="26"/>
      <c r="F99" s="23">
        <f>I98/L98/1.95</f>
        <v>0</v>
      </c>
      <c r="G99" s="23">
        <f>J98/L98/0.35</f>
        <v>0</v>
      </c>
      <c r="H99" s="23">
        <f>K98/L98/0.075</f>
        <v>0</v>
      </c>
      <c r="I99" s="19"/>
      <c r="J99" s="19"/>
      <c r="K99" s="19"/>
      <c r="L99" s="19"/>
      <c r="M99" s="19"/>
      <c r="N99" s="26"/>
      <c r="O99" s="23">
        <f>O98/L98</f>
        <v>0.34762242730051335</v>
      </c>
      <c r="P99" s="23">
        <f>P98/M98</f>
        <v>0.20620768776625131</v>
      </c>
      <c r="Q99" s="26"/>
      <c r="R99" s="26"/>
      <c r="S99" s="23">
        <f>S98/R98</f>
        <v>0.45754814234464558</v>
      </c>
      <c r="T99" s="28"/>
      <c r="U99" s="28"/>
      <c r="V99" s="26">
        <f>SUM(V97,V95,V93,V91,V89,V87,V85)</f>
        <v>1102022.706</v>
      </c>
      <c r="W99" s="26"/>
      <c r="X99" s="26"/>
      <c r="Y99" s="26">
        <f>SUM(Y97,Y95,Y93,Y91,Y89,Y87,Y85)</f>
        <v>61195</v>
      </c>
      <c r="Z99" s="29"/>
      <c r="AA99" s="30"/>
      <c r="AB99" s="26"/>
      <c r="AC99" s="30"/>
      <c r="AD99" s="30"/>
    </row>
    <row r="100" spans="1:30">
      <c r="B100" s="47" t="s">
        <v>125</v>
      </c>
      <c r="C100" s="102" t="s">
        <v>46</v>
      </c>
      <c r="D100" s="8">
        <v>11239</v>
      </c>
      <c r="E100" s="8">
        <v>30</v>
      </c>
      <c r="F100" s="8">
        <v>6387</v>
      </c>
      <c r="G100" s="8">
        <v>2539</v>
      </c>
      <c r="H100" s="8">
        <v>195</v>
      </c>
      <c r="I100" s="9"/>
      <c r="J100" s="9"/>
      <c r="K100" s="9"/>
      <c r="L100" s="57">
        <v>3765916</v>
      </c>
      <c r="M100" s="57">
        <v>1981615</v>
      </c>
      <c r="N100" s="8">
        <v>8027</v>
      </c>
      <c r="O100" s="56">
        <v>1293115</v>
      </c>
      <c r="P100" s="56">
        <v>485825</v>
      </c>
      <c r="Q100" s="8">
        <v>78828</v>
      </c>
      <c r="R100" s="8">
        <v>21300</v>
      </c>
      <c r="S100" s="8">
        <v>11669</v>
      </c>
      <c r="T100" s="10">
        <f>Y100+Y101</f>
        <v>35436</v>
      </c>
      <c r="U100" s="11">
        <f>V100/V101</f>
        <v>0.60822291135612772</v>
      </c>
      <c r="V100" s="56">
        <v>279443</v>
      </c>
      <c r="W100" s="56">
        <v>524886</v>
      </c>
      <c r="X100" s="8">
        <v>83604</v>
      </c>
      <c r="Y100" s="8">
        <v>243</v>
      </c>
      <c r="Z100" s="11">
        <f>AA100/AC100</f>
        <v>0.10697800984124062</v>
      </c>
      <c r="AA100" s="12">
        <f>434373.8</f>
        <v>434373.8</v>
      </c>
      <c r="AB100" s="8">
        <f>695403</f>
        <v>695403</v>
      </c>
      <c r="AC100" s="12">
        <f>4060402.7</f>
        <v>4060402.7</v>
      </c>
      <c r="AD100" s="12">
        <f>AC100*1000/L100</f>
        <v>1078.1978939519629</v>
      </c>
    </row>
    <row r="101" spans="1:30">
      <c r="B101" s="47" t="s">
        <v>125</v>
      </c>
      <c r="C101" s="103"/>
      <c r="D101" s="13"/>
      <c r="E101" s="13"/>
      <c r="F101" s="14">
        <f>I100/L100/1.95</f>
        <v>0</v>
      </c>
      <c r="G101" s="14">
        <f>J100/L100/0.35</f>
        <v>0</v>
      </c>
      <c r="H101" s="14">
        <f>K100/L100/0.075</f>
        <v>0</v>
      </c>
      <c r="I101" s="15"/>
      <c r="J101" s="15"/>
      <c r="K101" s="15"/>
      <c r="L101" s="15"/>
      <c r="M101" s="15"/>
      <c r="N101" s="13"/>
      <c r="O101" s="14">
        <f>O100/L100</f>
        <v>0.34337329882026046</v>
      </c>
      <c r="P101" s="14">
        <f>P100/M100</f>
        <v>0.24516619020344518</v>
      </c>
      <c r="Q101" s="13"/>
      <c r="R101" s="13"/>
      <c r="S101" s="14">
        <f>S100/R100</f>
        <v>0.5478403755868545</v>
      </c>
      <c r="T101" s="16"/>
      <c r="U101" s="16"/>
      <c r="V101" s="13">
        <f>0.122*L100</f>
        <v>459441.75199999998</v>
      </c>
      <c r="W101" s="13"/>
      <c r="X101" s="13"/>
      <c r="Y101" s="13">
        <f>35193</f>
        <v>35193</v>
      </c>
      <c r="Z101" s="17"/>
      <c r="AA101" s="18"/>
      <c r="AB101" s="13"/>
      <c r="AC101" s="18"/>
      <c r="AD101" s="18"/>
    </row>
    <row r="102" spans="1:30">
      <c r="B102" s="47" t="s">
        <v>125</v>
      </c>
      <c r="C102" s="102" t="s">
        <v>47</v>
      </c>
      <c r="D102" s="8">
        <v>1677</v>
      </c>
      <c r="E102" s="8">
        <v>6</v>
      </c>
      <c r="F102" s="8">
        <v>1003</v>
      </c>
      <c r="G102" s="8">
        <v>388</v>
      </c>
      <c r="H102" s="8">
        <v>36</v>
      </c>
      <c r="I102" s="9"/>
      <c r="J102" s="9"/>
      <c r="K102" s="9"/>
      <c r="L102" s="57">
        <v>635859</v>
      </c>
      <c r="M102" s="57">
        <v>335759</v>
      </c>
      <c r="N102" s="8">
        <v>1267</v>
      </c>
      <c r="O102" s="56">
        <v>247855</v>
      </c>
      <c r="P102" s="56">
        <v>115567</v>
      </c>
      <c r="Q102" s="8">
        <v>8197</v>
      </c>
      <c r="R102" s="8">
        <v>6076</v>
      </c>
      <c r="S102" s="8">
        <v>5748</v>
      </c>
      <c r="T102" s="10">
        <f t="shared" ref="T102" si="100">Y102+Y103</f>
        <v>49728</v>
      </c>
      <c r="U102" s="11">
        <f>V102/V103</f>
        <v>0.57150003793757864</v>
      </c>
      <c r="V102" s="56">
        <v>44334</v>
      </c>
      <c r="W102" s="56">
        <v>114729</v>
      </c>
      <c r="X102" s="8">
        <v>15785</v>
      </c>
      <c r="Y102" s="8">
        <v>23</v>
      </c>
      <c r="Z102" s="11">
        <f>AA102/AC102</f>
        <v>0.35128873240756414</v>
      </c>
      <c r="AA102" s="12">
        <f>281164.3</f>
        <v>281164.3</v>
      </c>
      <c r="AB102" s="8">
        <f>182149</f>
        <v>182149</v>
      </c>
      <c r="AC102" s="12">
        <f>800379.5</f>
        <v>800379.5</v>
      </c>
      <c r="AD102" s="12">
        <f>AC102*1000/L102</f>
        <v>1258.7373930383937</v>
      </c>
    </row>
    <row r="103" spans="1:30">
      <c r="B103" s="47" t="s">
        <v>125</v>
      </c>
      <c r="C103" s="103"/>
      <c r="D103" s="13"/>
      <c r="E103" s="13"/>
      <c r="F103" s="14">
        <f>I102/L102/1.95</f>
        <v>0</v>
      </c>
      <c r="G103" s="14">
        <f>J102/L102/0.35</f>
        <v>0</v>
      </c>
      <c r="H103" s="14">
        <f>K102/L102/0.075</f>
        <v>0</v>
      </c>
      <c r="I103" s="15"/>
      <c r="J103" s="15"/>
      <c r="K103" s="15"/>
      <c r="L103" s="15"/>
      <c r="M103" s="15"/>
      <c r="N103" s="13"/>
      <c r="O103" s="14">
        <f>O102/L102</f>
        <v>0.38979553643181902</v>
      </c>
      <c r="P103" s="14">
        <f>P102/M102</f>
        <v>0.34419628364392318</v>
      </c>
      <c r="Q103" s="13"/>
      <c r="R103" s="13"/>
      <c r="S103" s="14">
        <f>S102/R102</f>
        <v>0.94601711652402898</v>
      </c>
      <c r="T103" s="16"/>
      <c r="U103" s="16"/>
      <c r="V103" s="13">
        <f t="shared" ref="V103" si="101">0.122*L102</f>
        <v>77574.797999999995</v>
      </c>
      <c r="W103" s="13"/>
      <c r="X103" s="13"/>
      <c r="Y103" s="13">
        <f>49705</f>
        <v>49705</v>
      </c>
      <c r="Z103" s="17"/>
      <c r="AA103" s="18"/>
      <c r="AB103" s="13"/>
      <c r="AC103" s="18"/>
      <c r="AD103" s="18"/>
    </row>
    <row r="104" spans="1:30">
      <c r="B104" s="47" t="s">
        <v>125</v>
      </c>
      <c r="C104" s="102" t="s">
        <v>48</v>
      </c>
      <c r="D104" s="8">
        <v>2113</v>
      </c>
      <c r="E104" s="8">
        <v>6</v>
      </c>
      <c r="F104" s="8">
        <v>1267</v>
      </c>
      <c r="G104" s="8">
        <v>549</v>
      </c>
      <c r="H104" s="8">
        <v>29</v>
      </c>
      <c r="I104" s="9"/>
      <c r="J104" s="9"/>
      <c r="K104" s="9"/>
      <c r="L104" s="57">
        <v>754913</v>
      </c>
      <c r="M104" s="57">
        <v>398205</v>
      </c>
      <c r="N104" s="8">
        <v>2658</v>
      </c>
      <c r="O104" s="56">
        <v>298956</v>
      </c>
      <c r="P104" s="56">
        <v>131820</v>
      </c>
      <c r="Q104" s="8">
        <v>28283</v>
      </c>
      <c r="R104" s="8">
        <v>5635</v>
      </c>
      <c r="S104" s="8">
        <v>2984</v>
      </c>
      <c r="T104" s="10">
        <f t="shared" ref="T104" si="102">Y104+Y105</f>
        <v>33850</v>
      </c>
      <c r="U104" s="11">
        <f>V104/V105</f>
        <v>0.87744341748380383</v>
      </c>
      <c r="V104" s="56">
        <v>80812</v>
      </c>
      <c r="W104" s="56">
        <v>117680</v>
      </c>
      <c r="X104" s="8">
        <v>22570</v>
      </c>
      <c r="Y104" s="8">
        <v>28</v>
      </c>
      <c r="Z104" s="11">
        <f>AA104/AC104</f>
        <v>9.5777932007749256E-2</v>
      </c>
      <c r="AA104" s="12">
        <f>248057.9</f>
        <v>248057.9</v>
      </c>
      <c r="AB104" s="8">
        <f>179680</f>
        <v>179680</v>
      </c>
      <c r="AC104" s="12">
        <f>2589927.5</f>
        <v>2589927.5</v>
      </c>
      <c r="AD104" s="12">
        <f>AC104*1000/L104</f>
        <v>3430.7628826103141</v>
      </c>
    </row>
    <row r="105" spans="1:30">
      <c r="B105" s="47" t="s">
        <v>125</v>
      </c>
      <c r="C105" s="103"/>
      <c r="D105" s="13"/>
      <c r="E105" s="13"/>
      <c r="F105" s="14">
        <f>I104/L104/1.95</f>
        <v>0</v>
      </c>
      <c r="G105" s="14">
        <f>J104/L104/0.35</f>
        <v>0</v>
      </c>
      <c r="H105" s="14">
        <f>K104/L104/0.075</f>
        <v>0</v>
      </c>
      <c r="I105" s="15"/>
      <c r="J105" s="15"/>
      <c r="K105" s="15"/>
      <c r="L105" s="15"/>
      <c r="M105" s="15"/>
      <c r="N105" s="13"/>
      <c r="O105" s="14">
        <f>O104/L104</f>
        <v>0.39601384530402839</v>
      </c>
      <c r="P105" s="14">
        <f>P104/M104</f>
        <v>0.33103552190454666</v>
      </c>
      <c r="Q105" s="13"/>
      <c r="R105" s="13"/>
      <c r="S105" s="14">
        <f>S104/R104</f>
        <v>0.52954747116237799</v>
      </c>
      <c r="T105" s="16"/>
      <c r="U105" s="16"/>
      <c r="V105" s="13">
        <f t="shared" ref="V105" si="103">0.122*L104</f>
        <v>92099.385999999999</v>
      </c>
      <c r="W105" s="13"/>
      <c r="X105" s="13"/>
      <c r="Y105" s="13">
        <f>33822</f>
        <v>33822</v>
      </c>
      <c r="Z105" s="17"/>
      <c r="AA105" s="18"/>
      <c r="AB105" s="13"/>
      <c r="AC105" s="18"/>
      <c r="AD105" s="18"/>
    </row>
    <row r="106" spans="1:30">
      <c r="B106" s="47" t="s">
        <v>125</v>
      </c>
      <c r="C106" s="102" t="s">
        <v>49</v>
      </c>
      <c r="D106" s="8">
        <v>10588</v>
      </c>
      <c r="E106" s="8">
        <v>43</v>
      </c>
      <c r="F106" s="8">
        <v>5583</v>
      </c>
      <c r="G106" s="8">
        <v>1975</v>
      </c>
      <c r="H106" s="8">
        <v>198</v>
      </c>
      <c r="I106" s="9"/>
      <c r="J106" s="9"/>
      <c r="K106" s="9"/>
      <c r="L106" s="57">
        <v>3574472</v>
      </c>
      <c r="M106" s="57">
        <v>1901823</v>
      </c>
      <c r="N106" s="8">
        <v>9137</v>
      </c>
      <c r="O106" s="56">
        <v>1483100</v>
      </c>
      <c r="P106" s="56">
        <v>599214</v>
      </c>
      <c r="Q106" s="8">
        <v>57553</v>
      </c>
      <c r="R106" s="8">
        <v>160823</v>
      </c>
      <c r="S106" s="8">
        <v>23763</v>
      </c>
      <c r="T106" s="10">
        <f t="shared" ref="T106" si="104">Y106+Y107</f>
        <v>17719</v>
      </c>
      <c r="U106" s="11">
        <f>V106/V107</f>
        <v>0.62503327328518155</v>
      </c>
      <c r="V106" s="56">
        <v>272568</v>
      </c>
      <c r="W106" s="56">
        <v>591673</v>
      </c>
      <c r="X106" s="8">
        <v>109604</v>
      </c>
      <c r="Y106" s="8">
        <v>57</v>
      </c>
      <c r="Z106" s="11">
        <f>AA106/AC106</f>
        <v>0.75941337879691251</v>
      </c>
      <c r="AA106" s="12">
        <f>18626802.2</f>
        <v>18626802.199999999</v>
      </c>
      <c r="AB106" s="8">
        <f>411893</f>
        <v>411893</v>
      </c>
      <c r="AC106" s="12">
        <f>24527882.6</f>
        <v>24527882.600000001</v>
      </c>
      <c r="AD106" s="12">
        <f>AC106*1000/L106</f>
        <v>6861.9596404727745</v>
      </c>
    </row>
    <row r="107" spans="1:30">
      <c r="B107" s="47" t="s">
        <v>125</v>
      </c>
      <c r="C107" s="103"/>
      <c r="D107" s="13"/>
      <c r="E107" s="13"/>
      <c r="F107" s="14">
        <f>I106/L106/1.95</f>
        <v>0</v>
      </c>
      <c r="G107" s="14">
        <f>J106/L106/0.35</f>
        <v>0</v>
      </c>
      <c r="H107" s="14">
        <f>K106/L106/0.075</f>
        <v>0</v>
      </c>
      <c r="I107" s="15"/>
      <c r="J107" s="15"/>
      <c r="K107" s="15"/>
      <c r="L107" s="15"/>
      <c r="M107" s="15"/>
      <c r="N107" s="13"/>
      <c r="O107" s="14">
        <f>O106/L106</f>
        <v>0.41491442652229477</v>
      </c>
      <c r="P107" s="14">
        <f>P106/M106</f>
        <v>0.31507348475646785</v>
      </c>
      <c r="Q107" s="13"/>
      <c r="R107" s="13"/>
      <c r="S107" s="14">
        <f>S106/R106</f>
        <v>0.14775871610403984</v>
      </c>
      <c r="T107" s="16"/>
      <c r="U107" s="16"/>
      <c r="V107" s="13">
        <f t="shared" ref="V107" si="105">0.122*L106</f>
        <v>436085.58399999997</v>
      </c>
      <c r="W107" s="13"/>
      <c r="X107" s="13"/>
      <c r="Y107" s="13">
        <f>17662</f>
        <v>17662</v>
      </c>
      <c r="Z107" s="17"/>
      <c r="AA107" s="18"/>
      <c r="AB107" s="13"/>
      <c r="AC107" s="18"/>
      <c r="AD107" s="18"/>
    </row>
    <row r="108" spans="1:30">
      <c r="B108" s="47" t="s">
        <v>125</v>
      </c>
      <c r="C108" s="102" t="s">
        <v>50</v>
      </c>
      <c r="D108" s="8">
        <v>3190</v>
      </c>
      <c r="E108" s="8">
        <v>32</v>
      </c>
      <c r="F108" s="8">
        <v>1375</v>
      </c>
      <c r="G108" s="8">
        <v>808</v>
      </c>
      <c r="H108" s="8">
        <v>68</v>
      </c>
      <c r="I108" s="9"/>
      <c r="J108" s="9"/>
      <c r="K108" s="9"/>
      <c r="L108" s="57">
        <v>1409639</v>
      </c>
      <c r="M108" s="57">
        <v>753128</v>
      </c>
      <c r="N108" s="8">
        <v>3614</v>
      </c>
      <c r="O108" s="56">
        <v>471605</v>
      </c>
      <c r="P108" s="56">
        <v>205377</v>
      </c>
      <c r="Q108" s="8">
        <v>883</v>
      </c>
      <c r="R108" s="8">
        <v>7483</v>
      </c>
      <c r="S108" s="8">
        <v>5364</v>
      </c>
      <c r="T108" s="10">
        <f t="shared" ref="T108" si="106">Y108+Y109</f>
        <v>22116</v>
      </c>
      <c r="U108" s="11">
        <f>V108/V109</f>
        <v>0.50740231957306503</v>
      </c>
      <c r="V108" s="56">
        <v>87261</v>
      </c>
      <c r="W108" s="56">
        <v>95764</v>
      </c>
      <c r="X108" s="8">
        <v>63062</v>
      </c>
      <c r="Y108" s="8">
        <v>68</v>
      </c>
      <c r="Z108" s="11">
        <f>AA108/AC108</f>
        <v>0.21627676290333081</v>
      </c>
      <c r="AA108" s="12">
        <f>747826.5</f>
        <v>747826.5</v>
      </c>
      <c r="AB108" s="8">
        <f>180206</f>
        <v>180206</v>
      </c>
      <c r="AC108" s="12">
        <f>3457729.3</f>
        <v>3457729.3</v>
      </c>
      <c r="AD108" s="12">
        <f>AC108*1000/L108</f>
        <v>2452.9183003591702</v>
      </c>
    </row>
    <row r="109" spans="1:30">
      <c r="B109" s="47" t="s">
        <v>125</v>
      </c>
      <c r="C109" s="103"/>
      <c r="D109" s="13"/>
      <c r="E109" s="13"/>
      <c r="F109" s="14">
        <f>I108/L108/1.95</f>
        <v>0</v>
      </c>
      <c r="G109" s="14">
        <f>J108/L108/0.35</f>
        <v>0</v>
      </c>
      <c r="H109" s="14">
        <f>K108/L108/0.075</f>
        <v>0</v>
      </c>
      <c r="I109" s="15"/>
      <c r="J109" s="15"/>
      <c r="K109" s="15"/>
      <c r="L109" s="15"/>
      <c r="M109" s="15"/>
      <c r="N109" s="13"/>
      <c r="O109" s="14">
        <f>O108/L108</f>
        <v>0.33455728736222534</v>
      </c>
      <c r="P109" s="14">
        <f>P108/M108</f>
        <v>0.27269866476880422</v>
      </c>
      <c r="Q109" s="13"/>
      <c r="R109" s="13"/>
      <c r="S109" s="14">
        <f>S108/R108</f>
        <v>0.71682480288654282</v>
      </c>
      <c r="T109" s="16"/>
      <c r="U109" s="16"/>
      <c r="V109" s="13">
        <f t="shared" ref="V109" si="107">0.122*L108</f>
        <v>171975.95799999998</v>
      </c>
      <c r="W109" s="13"/>
      <c r="X109" s="13"/>
      <c r="Y109" s="13">
        <f>22048</f>
        <v>22048</v>
      </c>
      <c r="Z109" s="17"/>
      <c r="AA109" s="18"/>
      <c r="AB109" s="13"/>
      <c r="AC109" s="18"/>
      <c r="AD109" s="18"/>
    </row>
    <row r="110" spans="1:30">
      <c r="B110" s="47" t="s">
        <v>125</v>
      </c>
      <c r="C110" s="102" t="s">
        <v>51</v>
      </c>
      <c r="D110" s="8">
        <v>3976</v>
      </c>
      <c r="E110" s="8">
        <v>11</v>
      </c>
      <c r="F110" s="8">
        <v>2283</v>
      </c>
      <c r="G110" s="8">
        <v>753</v>
      </c>
      <c r="H110" s="8">
        <v>73</v>
      </c>
      <c r="I110" s="9"/>
      <c r="J110" s="9"/>
      <c r="K110" s="9"/>
      <c r="L110" s="57">
        <v>1144149</v>
      </c>
      <c r="M110" s="57">
        <v>602454</v>
      </c>
      <c r="N110" s="8">
        <v>2382</v>
      </c>
      <c r="O110" s="56">
        <v>463935</v>
      </c>
      <c r="P110" s="56">
        <v>203644</v>
      </c>
      <c r="Q110" s="8">
        <v>121508</v>
      </c>
      <c r="R110" s="8">
        <v>7168</v>
      </c>
      <c r="S110" s="8">
        <v>6381</v>
      </c>
      <c r="T110" s="10">
        <f t="shared" ref="T110" si="108">Y110+Y111</f>
        <v>52571</v>
      </c>
      <c r="U110" s="11">
        <f>V110/V111</f>
        <v>0.72406166174991915</v>
      </c>
      <c r="V110" s="56">
        <v>101069</v>
      </c>
      <c r="W110" s="56">
        <v>200286</v>
      </c>
      <c r="X110" s="8">
        <v>38363</v>
      </c>
      <c r="Y110" s="8">
        <v>34</v>
      </c>
      <c r="Z110" s="11">
        <f>AA110/AC110</f>
        <v>8.3687752392204315E-2</v>
      </c>
      <c r="AA110" s="12">
        <f>189312.5</f>
        <v>189312.5</v>
      </c>
      <c r="AB110" s="8">
        <f>313744</f>
        <v>313744</v>
      </c>
      <c r="AC110" s="12">
        <f>2262129.1</f>
        <v>2262129.1</v>
      </c>
      <c r="AD110" s="12">
        <f>AC110*1000/L110</f>
        <v>1977.1280663619862</v>
      </c>
    </row>
    <row r="111" spans="1:30">
      <c r="B111" s="47" t="s">
        <v>125</v>
      </c>
      <c r="C111" s="103"/>
      <c r="D111" s="13"/>
      <c r="E111" s="13"/>
      <c r="F111" s="14">
        <f>I110/L110/1.95</f>
        <v>0</v>
      </c>
      <c r="G111" s="14">
        <f>J110/L110/0.35</f>
        <v>0</v>
      </c>
      <c r="H111" s="14">
        <f>K110/L110/0.075</f>
        <v>0</v>
      </c>
      <c r="I111" s="15"/>
      <c r="J111" s="15"/>
      <c r="K111" s="15"/>
      <c r="L111" s="15"/>
      <c r="M111" s="15"/>
      <c r="N111" s="13"/>
      <c r="O111" s="14">
        <f>O110/L110</f>
        <v>0.40548477514729286</v>
      </c>
      <c r="P111" s="14">
        <f>P110/M110</f>
        <v>0.33802414790174851</v>
      </c>
      <c r="Q111" s="13"/>
      <c r="R111" s="13"/>
      <c r="S111" s="14">
        <f>S110/R110</f>
        <v>0.8902064732142857</v>
      </c>
      <c r="T111" s="16"/>
      <c r="U111" s="16"/>
      <c r="V111" s="13">
        <f t="shared" ref="V111" si="109">0.122*L110</f>
        <v>139586.17799999999</v>
      </c>
      <c r="W111" s="13"/>
      <c r="X111" s="13"/>
      <c r="Y111" s="13">
        <f>52537</f>
        <v>52537</v>
      </c>
      <c r="Z111" s="17"/>
      <c r="AA111" s="18"/>
      <c r="AB111" s="13"/>
      <c r="AC111" s="18"/>
      <c r="AD111" s="18"/>
    </row>
    <row r="112" spans="1:30">
      <c r="B112" s="47" t="s">
        <v>125</v>
      </c>
      <c r="C112" s="102" t="s">
        <v>52</v>
      </c>
      <c r="D112" s="8">
        <v>5155</v>
      </c>
      <c r="E112" s="8">
        <v>27</v>
      </c>
      <c r="F112" s="8">
        <v>2337</v>
      </c>
      <c r="G112" s="8">
        <v>1146</v>
      </c>
      <c r="H112" s="8">
        <v>66</v>
      </c>
      <c r="I112" s="9"/>
      <c r="J112" s="9"/>
      <c r="K112" s="9"/>
      <c r="L112" s="57">
        <v>2443599</v>
      </c>
      <c r="M112" s="57">
        <v>1308563</v>
      </c>
      <c r="N112" s="8">
        <v>6664</v>
      </c>
      <c r="O112" s="56">
        <v>781308</v>
      </c>
      <c r="P112" s="56">
        <v>332804</v>
      </c>
      <c r="Q112" s="8">
        <v>22342</v>
      </c>
      <c r="R112" s="8">
        <v>14044</v>
      </c>
      <c r="S112" s="8">
        <v>7290</v>
      </c>
      <c r="T112" s="10">
        <f t="shared" ref="T112" si="110">Y112+Y113</f>
        <v>10799</v>
      </c>
      <c r="U112" s="11">
        <f>V112/V113</f>
        <v>0.55024992395823791</v>
      </c>
      <c r="V112" s="56">
        <v>164040</v>
      </c>
      <c r="W112" s="56">
        <v>242958</v>
      </c>
      <c r="X112" s="8">
        <v>83391</v>
      </c>
      <c r="Y112" s="8">
        <v>167</v>
      </c>
      <c r="Z112" s="11">
        <f>AA112/AC112</f>
        <v>0.2288928078551675</v>
      </c>
      <c r="AA112" s="12">
        <f>1817750.7</f>
        <v>1817750.7</v>
      </c>
      <c r="AB112" s="8">
        <f>323195</f>
        <v>323195</v>
      </c>
      <c r="AC112" s="12">
        <f>7941493.3</f>
        <v>7941493.2999999998</v>
      </c>
      <c r="AD112" s="12">
        <f>AC112*1000/L112</f>
        <v>3249.9167416585128</v>
      </c>
    </row>
    <row r="113" spans="1:30">
      <c r="B113" s="47" t="s">
        <v>125</v>
      </c>
      <c r="C113" s="103"/>
      <c r="D113" s="13"/>
      <c r="E113" s="13"/>
      <c r="F113" s="14">
        <f>I112/L112/1.95</f>
        <v>0</v>
      </c>
      <c r="G113" s="14">
        <f>J112/L112/0.35</f>
        <v>0</v>
      </c>
      <c r="H113" s="14">
        <f>K112/L112/0.075</f>
        <v>0</v>
      </c>
      <c r="I113" s="15"/>
      <c r="J113" s="15"/>
      <c r="K113" s="15"/>
      <c r="L113" s="15"/>
      <c r="M113" s="15"/>
      <c r="N113" s="13"/>
      <c r="O113" s="14">
        <f>O112/L112</f>
        <v>0.31973658525805582</v>
      </c>
      <c r="P113" s="14">
        <f>P112/M112</f>
        <v>0.25432783901119016</v>
      </c>
      <c r="Q113" s="13"/>
      <c r="R113" s="13"/>
      <c r="S113" s="14">
        <f>S112/R112</f>
        <v>0.51908288236969524</v>
      </c>
      <c r="T113" s="16"/>
      <c r="U113" s="16"/>
      <c r="V113" s="13">
        <f t="shared" ref="V113" si="111">0.122*L112</f>
        <v>298119.07799999998</v>
      </c>
      <c r="W113" s="13"/>
      <c r="X113" s="13"/>
      <c r="Y113" s="13">
        <f>10632</f>
        <v>10632</v>
      </c>
      <c r="Z113" s="17"/>
      <c r="AA113" s="18"/>
      <c r="AB113" s="13"/>
      <c r="AC113" s="18"/>
      <c r="AD113" s="18"/>
    </row>
    <row r="114" spans="1:30">
      <c r="B114" s="47" t="s">
        <v>125</v>
      </c>
      <c r="C114" s="102" t="s">
        <v>53</v>
      </c>
      <c r="D114" s="8">
        <v>2710</v>
      </c>
      <c r="E114" s="8">
        <v>28</v>
      </c>
      <c r="F114" s="8">
        <v>1103</v>
      </c>
      <c r="G114" s="8">
        <v>832</v>
      </c>
      <c r="H114" s="8">
        <v>31</v>
      </c>
      <c r="I114" s="9"/>
      <c r="J114" s="9"/>
      <c r="K114" s="9"/>
      <c r="L114" s="57">
        <v>1197398</v>
      </c>
      <c r="M114" s="57">
        <v>636054</v>
      </c>
      <c r="N114" s="8">
        <v>2759</v>
      </c>
      <c r="O114" s="56">
        <v>388085</v>
      </c>
      <c r="P114" s="56">
        <v>147282</v>
      </c>
      <c r="Q114" s="8">
        <v>41964</v>
      </c>
      <c r="R114" s="8">
        <v>4043</v>
      </c>
      <c r="S114" s="8">
        <v>2825</v>
      </c>
      <c r="T114" s="10">
        <f t="shared" ref="T114" si="112">Y114+Y115</f>
        <v>15708</v>
      </c>
      <c r="U114" s="11">
        <f>V114/V115</f>
        <v>0.4702409506033014</v>
      </c>
      <c r="V114" s="56">
        <v>68694</v>
      </c>
      <c r="W114" s="56">
        <v>96587</v>
      </c>
      <c r="X114" s="8">
        <v>34385</v>
      </c>
      <c r="Y114" s="8">
        <v>62</v>
      </c>
      <c r="Z114" s="11">
        <f>AA114/AC114</f>
        <v>5.6451484571597384E-2</v>
      </c>
      <c r="AA114" s="12">
        <f>241583.4</f>
        <v>241583.4</v>
      </c>
      <c r="AB114" s="8">
        <f>210394</f>
        <v>210394</v>
      </c>
      <c r="AC114" s="12">
        <f>4279487.1</f>
        <v>4279487.0999999996</v>
      </c>
      <c r="AD114" s="12">
        <f>AC114*1000/L114</f>
        <v>3573.988849154583</v>
      </c>
    </row>
    <row r="115" spans="1:30">
      <c r="B115" s="47" t="s">
        <v>125</v>
      </c>
      <c r="C115" s="103"/>
      <c r="D115" s="13"/>
      <c r="E115" s="13"/>
      <c r="F115" s="14">
        <f>I114/L114/1.95</f>
        <v>0</v>
      </c>
      <c r="G115" s="14">
        <f>J114/L114/0.35</f>
        <v>0</v>
      </c>
      <c r="H115" s="14">
        <f>K114/L114/0.075</f>
        <v>0</v>
      </c>
      <c r="I115" s="15"/>
      <c r="J115" s="15"/>
      <c r="K115" s="15"/>
      <c r="L115" s="15"/>
      <c r="M115" s="15"/>
      <c r="N115" s="13"/>
      <c r="O115" s="14">
        <f>O114/L114</f>
        <v>0.3241069385450786</v>
      </c>
      <c r="P115" s="14">
        <f>P114/M114</f>
        <v>0.23155581129904065</v>
      </c>
      <c r="Q115" s="13"/>
      <c r="R115" s="13"/>
      <c r="S115" s="14">
        <f>S114/R114</f>
        <v>0.69873856047489491</v>
      </c>
      <c r="T115" s="16"/>
      <c r="U115" s="16"/>
      <c r="V115" s="13">
        <f t="shared" ref="V115" si="113">0.122*L114</f>
        <v>146082.55599999998</v>
      </c>
      <c r="W115" s="13"/>
      <c r="X115" s="13"/>
      <c r="Y115" s="13">
        <f>15646</f>
        <v>15646</v>
      </c>
      <c r="Z115" s="17"/>
      <c r="AA115" s="18"/>
      <c r="AB115" s="13"/>
      <c r="AC115" s="18"/>
      <c r="AD115" s="18"/>
    </row>
    <row r="116" spans="1:30">
      <c r="B116" s="47" t="s">
        <v>125</v>
      </c>
      <c r="C116" s="102" t="s">
        <v>54</v>
      </c>
      <c r="D116" s="8">
        <v>6004</v>
      </c>
      <c r="E116" s="8">
        <v>51</v>
      </c>
      <c r="F116" s="8">
        <v>2922</v>
      </c>
      <c r="G116" s="8">
        <v>1749</v>
      </c>
      <c r="H116" s="8">
        <v>211</v>
      </c>
      <c r="I116" s="9"/>
      <c r="J116" s="9"/>
      <c r="K116" s="9"/>
      <c r="L116" s="57">
        <v>3019372</v>
      </c>
      <c r="M116" s="57">
        <v>1627674</v>
      </c>
      <c r="N116" s="8">
        <v>7583</v>
      </c>
      <c r="O116" s="56">
        <v>1097450</v>
      </c>
      <c r="P116" s="56">
        <v>409515</v>
      </c>
      <c r="Q116" s="8">
        <v>34707</v>
      </c>
      <c r="R116" s="8">
        <v>12615</v>
      </c>
      <c r="S116" s="8">
        <v>5065</v>
      </c>
      <c r="T116" s="10">
        <f t="shared" ref="T116" si="114">Y116+Y117</f>
        <v>20753</v>
      </c>
      <c r="U116" s="11">
        <f>V116/V117</f>
        <v>0.45092972650072077</v>
      </c>
      <c r="V116" s="56">
        <v>166106</v>
      </c>
      <c r="W116" s="56">
        <v>306542</v>
      </c>
      <c r="X116" s="8">
        <v>80682</v>
      </c>
      <c r="Y116" s="8">
        <v>108</v>
      </c>
      <c r="Z116" s="11">
        <f>AA116/AC116</f>
        <v>0.35667300999962215</v>
      </c>
      <c r="AA116" s="12">
        <f>5718276.5</f>
        <v>5718276.5</v>
      </c>
      <c r="AB116" s="8">
        <f>359143</f>
        <v>359143</v>
      </c>
      <c r="AC116" s="12">
        <f>16032265.8</f>
        <v>16032265.800000001</v>
      </c>
      <c r="AD116" s="12">
        <f>AC116*1000/L116</f>
        <v>5309.8014421541966</v>
      </c>
    </row>
    <row r="117" spans="1:30">
      <c r="B117" s="47" t="s">
        <v>125</v>
      </c>
      <c r="C117" s="103"/>
      <c r="D117" s="13"/>
      <c r="E117" s="13"/>
      <c r="F117" s="14">
        <f>I116/L116/1.95</f>
        <v>0</v>
      </c>
      <c r="G117" s="14">
        <f>J116/L116/0.35</f>
        <v>0</v>
      </c>
      <c r="H117" s="14">
        <f>K116/L116/0.075</f>
        <v>0</v>
      </c>
      <c r="I117" s="15"/>
      <c r="J117" s="15"/>
      <c r="K117" s="15"/>
      <c r="L117" s="15"/>
      <c r="M117" s="15"/>
      <c r="N117" s="13"/>
      <c r="O117" s="14">
        <f>O116/L116</f>
        <v>0.36346962215983986</v>
      </c>
      <c r="P117" s="14">
        <f>P116/M116</f>
        <v>0.25159522115607919</v>
      </c>
      <c r="Q117" s="13"/>
      <c r="R117" s="13"/>
      <c r="S117" s="14">
        <f>S116/R116</f>
        <v>0.40150614347998415</v>
      </c>
      <c r="T117" s="16"/>
      <c r="U117" s="16"/>
      <c r="V117" s="13">
        <f t="shared" ref="V117" si="115">0.122*L116</f>
        <v>368363.38400000002</v>
      </c>
      <c r="W117" s="13"/>
      <c r="X117" s="13"/>
      <c r="Y117" s="13">
        <f>20645</f>
        <v>20645</v>
      </c>
      <c r="Z117" s="17"/>
      <c r="AA117" s="18"/>
      <c r="AB117" s="13"/>
      <c r="AC117" s="18"/>
      <c r="AD117" s="18"/>
    </row>
    <row r="118" spans="1:30">
      <c r="B118" s="47" t="s">
        <v>125</v>
      </c>
      <c r="C118" s="102" t="s">
        <v>55</v>
      </c>
      <c r="D118" s="8">
        <v>4738</v>
      </c>
      <c r="E118" s="8">
        <v>33</v>
      </c>
      <c r="F118" s="8">
        <v>2587</v>
      </c>
      <c r="G118" s="8">
        <v>1183</v>
      </c>
      <c r="H118" s="8">
        <v>58</v>
      </c>
      <c r="I118" s="9"/>
      <c r="J118" s="9"/>
      <c r="K118" s="9"/>
      <c r="L118" s="57">
        <v>1852260</v>
      </c>
      <c r="M118" s="57">
        <v>981688</v>
      </c>
      <c r="N118" s="8">
        <v>4112</v>
      </c>
      <c r="O118" s="56">
        <v>632522</v>
      </c>
      <c r="P118" s="56">
        <v>213186</v>
      </c>
      <c r="Q118" s="8">
        <v>68754</v>
      </c>
      <c r="R118" s="8">
        <v>10234</v>
      </c>
      <c r="S118" s="8">
        <v>5917</v>
      </c>
      <c r="T118" s="10">
        <f t="shared" ref="T118" si="116">Y118+Y119</f>
        <v>33435</v>
      </c>
      <c r="U118" s="11">
        <f>V118/V119</f>
        <v>0.55590043036481973</v>
      </c>
      <c r="V118" s="56">
        <v>125620</v>
      </c>
      <c r="W118" s="56">
        <v>204387</v>
      </c>
      <c r="X118" s="8">
        <v>68552</v>
      </c>
      <c r="Y118" s="8">
        <v>66</v>
      </c>
      <c r="Z118" s="11">
        <f>AA118/AC118</f>
        <v>0.19610640191158157</v>
      </c>
      <c r="AA118" s="12">
        <f>675451.3</f>
        <v>675451.3</v>
      </c>
      <c r="AB118" s="8">
        <f>431545</f>
        <v>431545</v>
      </c>
      <c r="AC118" s="12">
        <f>3444310.3</f>
        <v>3444310.3</v>
      </c>
      <c r="AD118" s="12">
        <f>AC118*1000/L118</f>
        <v>1859.5177242935656</v>
      </c>
    </row>
    <row r="119" spans="1:30">
      <c r="B119" s="47" t="s">
        <v>125</v>
      </c>
      <c r="C119" s="103"/>
      <c r="D119" s="13"/>
      <c r="E119" s="13"/>
      <c r="F119" s="14">
        <f>I118/L118/1.95</f>
        <v>0</v>
      </c>
      <c r="G119" s="14">
        <f>J118/L118/0.35</f>
        <v>0</v>
      </c>
      <c r="H119" s="14">
        <f>K118/L118/0.075</f>
        <v>0</v>
      </c>
      <c r="I119" s="15"/>
      <c r="J119" s="15"/>
      <c r="K119" s="15"/>
      <c r="L119" s="15"/>
      <c r="M119" s="15"/>
      <c r="N119" s="13"/>
      <c r="O119" s="14">
        <f>O118/L118</f>
        <v>0.34148661634975652</v>
      </c>
      <c r="P119" s="14">
        <f>P118/M118</f>
        <v>0.21716268305204911</v>
      </c>
      <c r="Q119" s="13"/>
      <c r="R119" s="13"/>
      <c r="S119" s="14">
        <f>S118/R118</f>
        <v>0.57817080320500291</v>
      </c>
      <c r="T119" s="16"/>
      <c r="U119" s="16"/>
      <c r="V119" s="13">
        <f t="shared" ref="V119" si="117">0.122*L118</f>
        <v>225975.72</v>
      </c>
      <c r="W119" s="13"/>
      <c r="X119" s="13"/>
      <c r="Y119" s="13">
        <f>33369</f>
        <v>33369</v>
      </c>
      <c r="Z119" s="17"/>
      <c r="AA119" s="18"/>
      <c r="AB119" s="13"/>
      <c r="AC119" s="18"/>
      <c r="AD119" s="18"/>
    </row>
    <row r="120" spans="1:30">
      <c r="B120" s="47" t="s">
        <v>125</v>
      </c>
      <c r="C120" s="102" t="s">
        <v>56</v>
      </c>
      <c r="D120" s="8">
        <v>3858</v>
      </c>
      <c r="E120" s="8">
        <v>26</v>
      </c>
      <c r="F120" s="8">
        <v>2267</v>
      </c>
      <c r="G120" s="8">
        <v>882</v>
      </c>
      <c r="H120" s="8">
        <v>73</v>
      </c>
      <c r="I120" s="9"/>
      <c r="J120" s="9"/>
      <c r="K120" s="9"/>
      <c r="L120" s="57">
        <v>1256766</v>
      </c>
      <c r="M120" s="57">
        <v>673376</v>
      </c>
      <c r="N120" s="8">
        <v>3226</v>
      </c>
      <c r="O120" s="56">
        <v>495364</v>
      </c>
      <c r="P120" s="56">
        <v>207181</v>
      </c>
      <c r="Q120" s="8">
        <v>24455</v>
      </c>
      <c r="R120" s="8">
        <v>6233</v>
      </c>
      <c r="S120" s="8">
        <v>3697</v>
      </c>
      <c r="T120" s="10">
        <f t="shared" ref="T120" si="118">Y120+Y121</f>
        <v>25977</v>
      </c>
      <c r="U120" s="11">
        <f>V120/V121</f>
        <v>0.67093883408215882</v>
      </c>
      <c r="V120" s="56">
        <v>102872</v>
      </c>
      <c r="W120" s="56">
        <v>157504</v>
      </c>
      <c r="X120" s="8">
        <v>45485</v>
      </c>
      <c r="Y120" s="8">
        <v>35</v>
      </c>
      <c r="Z120" s="11">
        <f>AA120/AC120</f>
        <v>0.61728460444701727</v>
      </c>
      <c r="AA120" s="12">
        <f>1512900.8</f>
        <v>1512900.8</v>
      </c>
      <c r="AB120" s="8">
        <f>295359</f>
        <v>295359</v>
      </c>
      <c r="AC120" s="12">
        <f>2450896.7</f>
        <v>2450896.7000000002</v>
      </c>
      <c r="AD120" s="12">
        <f>AC120*1000/L120</f>
        <v>1950.161525693725</v>
      </c>
    </row>
    <row r="121" spans="1:30">
      <c r="B121" s="47" t="s">
        <v>125</v>
      </c>
      <c r="C121" s="103"/>
      <c r="D121" s="13"/>
      <c r="E121" s="13"/>
      <c r="F121" s="14">
        <f>I120/L120/1.95</f>
        <v>0</v>
      </c>
      <c r="G121" s="14">
        <f>J120/L120/0.35</f>
        <v>0</v>
      </c>
      <c r="H121" s="14">
        <f>K120/L120/0.075</f>
        <v>0</v>
      </c>
      <c r="I121" s="15"/>
      <c r="J121" s="15"/>
      <c r="K121" s="15"/>
      <c r="L121" s="15"/>
      <c r="M121" s="15"/>
      <c r="N121" s="13"/>
      <c r="O121" s="14">
        <f>O120/L120</f>
        <v>0.39415770318420451</v>
      </c>
      <c r="P121" s="14">
        <f>P120/M120</f>
        <v>0.30767505821413299</v>
      </c>
      <c r="Q121" s="13"/>
      <c r="R121" s="13"/>
      <c r="S121" s="14">
        <f>S120/R120</f>
        <v>0.59313332263757423</v>
      </c>
      <c r="T121" s="16"/>
      <c r="U121" s="16"/>
      <c r="V121" s="13">
        <f t="shared" ref="V121" si="119">0.122*L120</f>
        <v>153325.45199999999</v>
      </c>
      <c r="W121" s="13"/>
      <c r="X121" s="13"/>
      <c r="Y121" s="13">
        <f>25942</f>
        <v>25942</v>
      </c>
      <c r="Z121" s="17"/>
      <c r="AA121" s="18"/>
      <c r="AB121" s="13"/>
      <c r="AC121" s="18"/>
      <c r="AD121" s="18"/>
    </row>
    <row r="122" spans="1:30">
      <c r="B122" s="47" t="s">
        <v>125</v>
      </c>
      <c r="C122" s="102" t="s">
        <v>57</v>
      </c>
      <c r="D122" s="8">
        <v>4681</v>
      </c>
      <c r="E122" s="8">
        <v>40</v>
      </c>
      <c r="F122" s="8">
        <v>2357</v>
      </c>
      <c r="G122" s="8">
        <v>1477</v>
      </c>
      <c r="H122" s="8">
        <v>107</v>
      </c>
      <c r="I122" s="9"/>
      <c r="J122" s="9"/>
      <c r="K122" s="9"/>
      <c r="L122" s="57">
        <v>2988365</v>
      </c>
      <c r="M122" s="57">
        <v>1608846</v>
      </c>
      <c r="N122" s="8">
        <v>7462</v>
      </c>
      <c r="O122" s="56">
        <v>964971</v>
      </c>
      <c r="P122" s="56">
        <v>368137</v>
      </c>
      <c r="Q122" s="8">
        <v>30695</v>
      </c>
      <c r="R122" s="8">
        <v>18336</v>
      </c>
      <c r="S122" s="8">
        <v>10864</v>
      </c>
      <c r="T122" s="10">
        <f t="shared" ref="T122" si="120">Y122+Y123</f>
        <v>9025</v>
      </c>
      <c r="U122" s="11">
        <f>V122/V123</f>
        <v>0.35632182552370534</v>
      </c>
      <c r="V122" s="56">
        <v>129908</v>
      </c>
      <c r="W122" s="56">
        <v>236322</v>
      </c>
      <c r="X122" s="8">
        <v>70452</v>
      </c>
      <c r="Y122" s="8">
        <v>135</v>
      </c>
      <c r="Z122" s="11">
        <f>AA122/AC122</f>
        <v>6.2452685819979252E-2</v>
      </c>
      <c r="AA122" s="12">
        <f>1118845.1</f>
        <v>1118845.1000000001</v>
      </c>
      <c r="AB122" s="8">
        <f>460308</f>
        <v>460308</v>
      </c>
      <c r="AC122" s="12">
        <f>17915083.8</f>
        <v>17915083.800000001</v>
      </c>
      <c r="AD122" s="12">
        <f>AC122*1000/L122</f>
        <v>5994.9449950056305</v>
      </c>
    </row>
    <row r="123" spans="1:30">
      <c r="B123" s="47" t="s">
        <v>125</v>
      </c>
      <c r="C123" s="103"/>
      <c r="D123" s="13"/>
      <c r="E123" s="13"/>
      <c r="F123" s="14">
        <f>I122/L122/1.95</f>
        <v>0</v>
      </c>
      <c r="G123" s="14">
        <f>J122/L122/0.35</f>
        <v>0</v>
      </c>
      <c r="H123" s="14">
        <f>K122/L122/0.075</f>
        <v>0</v>
      </c>
      <c r="I123" s="15"/>
      <c r="J123" s="15"/>
      <c r="K123" s="15"/>
      <c r="L123" s="15"/>
      <c r="M123" s="15"/>
      <c r="N123" s="13"/>
      <c r="O123" s="14">
        <f>O122/L122</f>
        <v>0.32290935009612282</v>
      </c>
      <c r="P123" s="14">
        <f>P122/M122</f>
        <v>0.22882053347554707</v>
      </c>
      <c r="Q123" s="13"/>
      <c r="R123" s="13"/>
      <c r="S123" s="14">
        <f>S122/R122</f>
        <v>0.5924956369982548</v>
      </c>
      <c r="T123" s="16"/>
      <c r="U123" s="16"/>
      <c r="V123" s="13">
        <f t="shared" ref="V123" si="121">0.122*L122</f>
        <v>364580.52999999997</v>
      </c>
      <c r="W123" s="13"/>
      <c r="X123" s="13"/>
      <c r="Y123" s="13">
        <f>8890</f>
        <v>8890</v>
      </c>
      <c r="Z123" s="17"/>
      <c r="AA123" s="18"/>
      <c r="AB123" s="13"/>
      <c r="AC123" s="18"/>
      <c r="AD123" s="18"/>
    </row>
    <row r="124" spans="1:30">
      <c r="B124" s="47" t="s">
        <v>125</v>
      </c>
      <c r="C124" s="102" t="s">
        <v>58</v>
      </c>
      <c r="D124" s="8">
        <v>3510</v>
      </c>
      <c r="E124" s="8">
        <v>26</v>
      </c>
      <c r="F124" s="8">
        <v>1644</v>
      </c>
      <c r="G124" s="8">
        <v>1347</v>
      </c>
      <c r="H124" s="8">
        <v>66</v>
      </c>
      <c r="I124" s="9"/>
      <c r="J124" s="9"/>
      <c r="K124" s="9"/>
      <c r="L124" s="57">
        <v>2323198</v>
      </c>
      <c r="M124" s="57">
        <v>1248921</v>
      </c>
      <c r="N124" s="8">
        <v>5591</v>
      </c>
      <c r="O124" s="56">
        <v>717727</v>
      </c>
      <c r="P124" s="56">
        <v>262861</v>
      </c>
      <c r="Q124" s="8">
        <v>22054</v>
      </c>
      <c r="R124" s="8">
        <v>18951</v>
      </c>
      <c r="S124" s="8">
        <v>14441</v>
      </c>
      <c r="T124" s="10">
        <f t="shared" ref="T124" si="122">Y124+Y125</f>
        <v>16733</v>
      </c>
      <c r="U124" s="11">
        <f>V124/V125</f>
        <v>0.49921999125597627</v>
      </c>
      <c r="V124" s="56">
        <v>141494</v>
      </c>
      <c r="W124" s="56">
        <v>160825</v>
      </c>
      <c r="X124" s="8">
        <v>61965</v>
      </c>
      <c r="Y124" s="8">
        <v>64</v>
      </c>
      <c r="Z124" s="11">
        <f>AA124/AC124</f>
        <v>0.32474624496371557</v>
      </c>
      <c r="AA124" s="12">
        <f>392167.3</f>
        <v>392167.3</v>
      </c>
      <c r="AB124" s="8">
        <f>264590</f>
        <v>264590</v>
      </c>
      <c r="AC124" s="12">
        <f>1207611.5</f>
        <v>1207611.5</v>
      </c>
      <c r="AD124" s="12">
        <f>AC124*1000/L124</f>
        <v>519.80567304207386</v>
      </c>
    </row>
    <row r="125" spans="1:30">
      <c r="B125" s="47" t="s">
        <v>125</v>
      </c>
      <c r="C125" s="103"/>
      <c r="D125" s="13"/>
      <c r="E125" s="13"/>
      <c r="F125" s="14">
        <f>I124/L124/1.95</f>
        <v>0</v>
      </c>
      <c r="G125" s="14">
        <f>J124/L124/0.35</f>
        <v>0</v>
      </c>
      <c r="H125" s="14">
        <f>K124/L124/0.075</f>
        <v>0</v>
      </c>
      <c r="I125" s="15"/>
      <c r="J125" s="15"/>
      <c r="K125" s="15"/>
      <c r="L125" s="15"/>
      <c r="M125" s="15"/>
      <c r="N125" s="13"/>
      <c r="O125" s="14">
        <f>O124/L124</f>
        <v>0.30893922945870306</v>
      </c>
      <c r="P125" s="14">
        <f>P124/M124</f>
        <v>0.21047047811671035</v>
      </c>
      <c r="Q125" s="13"/>
      <c r="R125" s="13"/>
      <c r="S125" s="14">
        <f>S124/R124</f>
        <v>0.76201783547042368</v>
      </c>
      <c r="T125" s="16"/>
      <c r="U125" s="16"/>
      <c r="V125" s="13">
        <f t="shared" ref="V125" si="123">0.122*L124</f>
        <v>283430.15600000002</v>
      </c>
      <c r="W125" s="13"/>
      <c r="X125" s="13"/>
      <c r="Y125" s="13">
        <f>16669</f>
        <v>16669</v>
      </c>
      <c r="Z125" s="17"/>
      <c r="AA125" s="18"/>
      <c r="AB125" s="13"/>
      <c r="AC125" s="18"/>
      <c r="AD125" s="18"/>
    </row>
    <row r="126" spans="1:30">
      <c r="B126" s="47" t="s">
        <v>125</v>
      </c>
      <c r="C126" s="102" t="s">
        <v>59</v>
      </c>
      <c r="D126" s="8">
        <v>2506</v>
      </c>
      <c r="E126" s="8">
        <v>16</v>
      </c>
      <c r="F126" s="8">
        <v>1315</v>
      </c>
      <c r="G126" s="8">
        <v>717</v>
      </c>
      <c r="H126" s="8">
        <v>42</v>
      </c>
      <c r="I126" s="9"/>
      <c r="J126" s="9"/>
      <c r="K126" s="9"/>
      <c r="L126" s="57">
        <v>1171393</v>
      </c>
      <c r="M126" s="57">
        <v>625913</v>
      </c>
      <c r="N126" s="8">
        <v>2398</v>
      </c>
      <c r="O126" s="56">
        <v>429008</v>
      </c>
      <c r="P126" s="56">
        <v>159854</v>
      </c>
      <c r="Q126" s="8">
        <v>18290</v>
      </c>
      <c r="R126" s="8">
        <v>7480</v>
      </c>
      <c r="S126" s="8">
        <v>4754</v>
      </c>
      <c r="T126" s="10">
        <f t="shared" ref="T126" si="124">Y126+Y127</f>
        <v>21956</v>
      </c>
      <c r="U126" s="11">
        <f>V126/V127</f>
        <v>0.41383403783526729</v>
      </c>
      <c r="V126" s="56">
        <v>59141</v>
      </c>
      <c r="W126" s="56">
        <v>209402</v>
      </c>
      <c r="X126" s="8">
        <v>38047</v>
      </c>
      <c r="Y126" s="8">
        <v>42</v>
      </c>
      <c r="Z126" s="11">
        <f>AA126/AC126</f>
        <v>6.7249952470187668E-2</v>
      </c>
      <c r="AA126" s="12">
        <f>168054.8</f>
        <v>168054.8</v>
      </c>
      <c r="AB126" s="8">
        <f>117839</f>
        <v>117839</v>
      </c>
      <c r="AC126" s="12">
        <f>2498957.9</f>
        <v>2498957.9</v>
      </c>
      <c r="AD126" s="12">
        <f>AC126*1000/L126</f>
        <v>2133.3215240316445</v>
      </c>
    </row>
    <row r="127" spans="1:30">
      <c r="B127" s="47" t="s">
        <v>125</v>
      </c>
      <c r="C127" s="103"/>
      <c r="D127" s="13"/>
      <c r="E127" s="13"/>
      <c r="F127" s="14">
        <f>I126/L126/1.95</f>
        <v>0</v>
      </c>
      <c r="G127" s="14">
        <f>J126/L126/0.35</f>
        <v>0</v>
      </c>
      <c r="H127" s="14">
        <f>K126/L126/0.075</f>
        <v>0</v>
      </c>
      <c r="I127" s="15"/>
      <c r="J127" s="15"/>
      <c r="K127" s="15"/>
      <c r="L127" s="15"/>
      <c r="M127" s="15"/>
      <c r="N127" s="13"/>
      <c r="O127" s="14">
        <f>O126/L126</f>
        <v>0.3662374625766075</v>
      </c>
      <c r="P127" s="14">
        <f>P126/M126</f>
        <v>0.25539332143604621</v>
      </c>
      <c r="Q127" s="13"/>
      <c r="R127" s="13"/>
      <c r="S127" s="14">
        <f>S126/R126</f>
        <v>0.63556149732620326</v>
      </c>
      <c r="T127" s="16"/>
      <c r="U127" s="16"/>
      <c r="V127" s="13">
        <f t="shared" ref="V127" si="125">0.122*L126</f>
        <v>142909.946</v>
      </c>
      <c r="W127" s="13"/>
      <c r="X127" s="13"/>
      <c r="Y127" s="13">
        <f>21914</f>
        <v>21914</v>
      </c>
      <c r="Z127" s="17"/>
      <c r="AA127" s="18"/>
      <c r="AB127" s="13"/>
      <c r="AC127" s="18"/>
      <c r="AD127" s="18"/>
    </row>
    <row r="128" spans="1:30" s="20" customFormat="1">
      <c r="A128" s="49" t="s">
        <v>129</v>
      </c>
      <c r="B128" s="50" t="s">
        <v>125</v>
      </c>
      <c r="C128" s="104" t="s">
        <v>60</v>
      </c>
      <c r="D128" s="24">
        <f t="shared" ref="D128:T128" si="126">SUM(D126,D124,D122,D120,D118,D116,D114,D112,D110,D108,D106,D104,D102,D100)</f>
        <v>65945</v>
      </c>
      <c r="E128" s="24">
        <f t="shared" si="126"/>
        <v>375</v>
      </c>
      <c r="F128" s="24">
        <f t="shared" si="126"/>
        <v>34430</v>
      </c>
      <c r="G128" s="24">
        <f t="shared" si="126"/>
        <v>16345</v>
      </c>
      <c r="H128" s="24">
        <f t="shared" si="126"/>
        <v>1253</v>
      </c>
      <c r="I128" s="19">
        <f t="shared" si="126"/>
        <v>0</v>
      </c>
      <c r="J128" s="19">
        <f t="shared" si="126"/>
        <v>0</v>
      </c>
      <c r="K128" s="19">
        <f t="shared" si="126"/>
        <v>0</v>
      </c>
      <c r="L128" s="19">
        <f t="shared" si="126"/>
        <v>27537299</v>
      </c>
      <c r="M128" s="19">
        <f t="shared" si="126"/>
        <v>14684019</v>
      </c>
      <c r="N128" s="24">
        <f t="shared" si="126"/>
        <v>66880</v>
      </c>
      <c r="O128" s="24">
        <f t="shared" si="126"/>
        <v>9765001</v>
      </c>
      <c r="P128" s="24">
        <f t="shared" si="126"/>
        <v>3842267</v>
      </c>
      <c r="Q128" s="24">
        <f t="shared" si="126"/>
        <v>558513</v>
      </c>
      <c r="R128" s="24">
        <f t="shared" si="126"/>
        <v>300421</v>
      </c>
      <c r="S128" s="24">
        <f t="shared" si="126"/>
        <v>110762</v>
      </c>
      <c r="T128" s="24">
        <f t="shared" si="126"/>
        <v>365806</v>
      </c>
      <c r="U128" s="21">
        <f>V128/V129</f>
        <v>0.54273987306941129</v>
      </c>
      <c r="V128" s="24">
        <f>SUM(V126,V124,V122,V120,V118,V116,V114,V112,V110,V108,V106,V104,V102,V100)</f>
        <v>1823362</v>
      </c>
      <c r="W128" s="24">
        <f>SUM(W126,W124,W122,W120,W118,W116,W114,W112,W110,W108,W106,W104,W102,W100)</f>
        <v>3259545</v>
      </c>
      <c r="X128" s="24">
        <f>SUM(X126,X124,X122,X120,X118,X116,X114,X112,X110,X108,X106,X104,X102,X100)</f>
        <v>815947</v>
      </c>
      <c r="Y128" s="24">
        <f>SUM(Y126,Y124,Y122,Y120,Y118,Y116,Y114,Y112,Y110,Y108,Y106,Y104,Y102,Y100)</f>
        <v>1132</v>
      </c>
      <c r="Z128" s="21">
        <f>AA128/AC128</f>
        <v>0.34420737944610891</v>
      </c>
      <c r="AA128" s="22">
        <f>SUM(AA100:AA126)</f>
        <v>32172567.100000001</v>
      </c>
      <c r="AB128" s="24">
        <f>SUM(AB126,AB124,AB122,AB120,AB118,AB116,AB114,AB112,AB110,AB108,AB106,AB104,AB102,AB100)</f>
        <v>4425448</v>
      </c>
      <c r="AC128" s="22">
        <f>SUM(AC100:AC127)</f>
        <v>93468557.100000009</v>
      </c>
      <c r="AD128" s="22">
        <f>AC128*1000/L128</f>
        <v>3394.2529040339073</v>
      </c>
    </row>
    <row r="129" spans="1:30" s="20" customFormat="1">
      <c r="A129" s="49" t="s">
        <v>129</v>
      </c>
      <c r="B129" s="50" t="s">
        <v>125</v>
      </c>
      <c r="C129" s="105"/>
      <c r="D129" s="26"/>
      <c r="E129" s="26"/>
      <c r="F129" s="23">
        <f>I128/L128/1.95</f>
        <v>0</v>
      </c>
      <c r="G129" s="23">
        <f>J128/L128/0.35</f>
        <v>0</v>
      </c>
      <c r="H129" s="23">
        <f>K128/L128/0.075</f>
        <v>0</v>
      </c>
      <c r="I129" s="19"/>
      <c r="J129" s="19"/>
      <c r="K129" s="19"/>
      <c r="L129" s="19"/>
      <c r="M129" s="19"/>
      <c r="N129" s="26"/>
      <c r="O129" s="23">
        <f>O128/L128</f>
        <v>0.35460997826983687</v>
      </c>
      <c r="P129" s="23">
        <f>P128/M128</f>
        <v>0.26166317273220635</v>
      </c>
      <c r="Q129" s="26"/>
      <c r="R129" s="26"/>
      <c r="S129" s="23">
        <f>S128/R128</f>
        <v>0.36868927272061541</v>
      </c>
      <c r="T129" s="28"/>
      <c r="U129" s="28"/>
      <c r="V129" s="26">
        <f>SUM(V127,V125,V123,V121,V119,V117,V115,V113,V111,V109,V107,V105,V103,V101)</f>
        <v>3359550.4779999997</v>
      </c>
      <c r="W129" s="26"/>
      <c r="X129" s="26"/>
      <c r="Y129" s="26">
        <f>SUM(Y127,Y125,Y123,Y121,Y119,Y117,Y115,Y113,Y111,Y109,Y107,Y105,Y103,Y101)</f>
        <v>364674</v>
      </c>
      <c r="Z129" s="29"/>
      <c r="AA129" s="30"/>
      <c r="AB129" s="26"/>
      <c r="AC129" s="30"/>
      <c r="AD129" s="30"/>
    </row>
    <row r="130" spans="1:30">
      <c r="B130" s="47" t="s">
        <v>126</v>
      </c>
      <c r="C130" s="102" t="s">
        <v>61</v>
      </c>
      <c r="D130" s="8">
        <v>2535</v>
      </c>
      <c r="E130" s="8">
        <v>19</v>
      </c>
      <c r="F130" s="8">
        <v>1352</v>
      </c>
      <c r="G130" s="8">
        <v>744</v>
      </c>
      <c r="H130" s="8">
        <v>10</v>
      </c>
      <c r="I130" s="9"/>
      <c r="J130" s="9"/>
      <c r="K130" s="9"/>
      <c r="L130" s="57">
        <v>795815</v>
      </c>
      <c r="M130" s="57">
        <v>424657</v>
      </c>
      <c r="N130" s="8">
        <v>2446</v>
      </c>
      <c r="O130" s="56">
        <v>296604</v>
      </c>
      <c r="P130" s="8">
        <v>132457</v>
      </c>
      <c r="Q130" s="8">
        <v>21539</v>
      </c>
      <c r="R130" s="8">
        <v>5256</v>
      </c>
      <c r="S130" s="8">
        <v>3765</v>
      </c>
      <c r="T130" s="10">
        <f>Y130+Y131</f>
        <v>28780</v>
      </c>
      <c r="U130" s="11">
        <f>V130/V131</f>
        <v>0.62346642677786868</v>
      </c>
      <c r="V130" s="8">
        <v>60532</v>
      </c>
      <c r="W130" s="56">
        <v>92007</v>
      </c>
      <c r="X130" s="8">
        <v>29153</v>
      </c>
      <c r="Y130" s="8">
        <v>25</v>
      </c>
      <c r="Z130" s="11">
        <f>AA130/AC130</f>
        <v>1.5153452401743554E-3</v>
      </c>
      <c r="AA130" s="12">
        <f>1502.8</f>
        <v>1502.8</v>
      </c>
      <c r="AB130" s="8">
        <f>198505</f>
        <v>198505</v>
      </c>
      <c r="AC130" s="12">
        <f>991721.2</f>
        <v>991721.2</v>
      </c>
      <c r="AD130" s="12">
        <f>AC130*1000/L130</f>
        <v>1246.1705295828804</v>
      </c>
    </row>
    <row r="131" spans="1:30">
      <c r="B131" s="47" t="s">
        <v>126</v>
      </c>
      <c r="C131" s="103"/>
      <c r="D131" s="13"/>
      <c r="E131" s="13"/>
      <c r="F131" s="14">
        <f>I130/L130/1.95</f>
        <v>0</v>
      </c>
      <c r="G131" s="14">
        <f>J130/L130/0.35</f>
        <v>0</v>
      </c>
      <c r="H131" s="14">
        <f>K130/L130/0.075</f>
        <v>0</v>
      </c>
      <c r="I131" s="15"/>
      <c r="J131" s="15"/>
      <c r="K131" s="15"/>
      <c r="L131" s="15"/>
      <c r="M131" s="15"/>
      <c r="N131" s="13"/>
      <c r="O131" s="14">
        <f>O130/L130</f>
        <v>0.37270471152215023</v>
      </c>
      <c r="P131" s="14">
        <f>P130/M130</f>
        <v>0.31191526337726683</v>
      </c>
      <c r="Q131" s="13"/>
      <c r="R131" s="13"/>
      <c r="S131" s="14">
        <f>S130/R130</f>
        <v>0.716324200913242</v>
      </c>
      <c r="T131" s="16"/>
      <c r="U131" s="16"/>
      <c r="V131" s="13">
        <f>0.122*L130</f>
        <v>97089.43</v>
      </c>
      <c r="W131" s="13"/>
      <c r="X131" s="13"/>
      <c r="Y131" s="13">
        <f>28755</f>
        <v>28755</v>
      </c>
      <c r="Z131" s="17"/>
      <c r="AA131" s="18"/>
      <c r="AB131" s="13"/>
      <c r="AC131" s="18"/>
      <c r="AD131" s="18"/>
    </row>
    <row r="132" spans="1:30">
      <c r="B132" s="47" t="s">
        <v>126</v>
      </c>
      <c r="C132" s="102" t="s">
        <v>62</v>
      </c>
      <c r="D132" s="8">
        <v>8594</v>
      </c>
      <c r="E132" s="8">
        <v>60</v>
      </c>
      <c r="F132" s="8">
        <v>4110</v>
      </c>
      <c r="G132" s="8">
        <v>2491</v>
      </c>
      <c r="H132" s="8">
        <v>267</v>
      </c>
      <c r="I132" s="9"/>
      <c r="J132" s="9"/>
      <c r="K132" s="9"/>
      <c r="L132" s="57">
        <v>4011736</v>
      </c>
      <c r="M132" s="57">
        <v>2149399</v>
      </c>
      <c r="N132" s="8">
        <v>12122</v>
      </c>
      <c r="O132" s="56">
        <v>1332546</v>
      </c>
      <c r="P132" s="56">
        <v>493047</v>
      </c>
      <c r="Q132" s="8">
        <v>45492</v>
      </c>
      <c r="R132" s="8">
        <v>21305</v>
      </c>
      <c r="S132" s="8">
        <v>12300</v>
      </c>
      <c r="T132" s="10">
        <f t="shared" ref="T132" si="127">Y132+Y133</f>
        <v>29508</v>
      </c>
      <c r="U132" s="11">
        <f>V132/V133</f>
        <v>0.45800253204638575</v>
      </c>
      <c r="V132" s="8">
        <v>224161</v>
      </c>
      <c r="W132" s="56">
        <v>350436</v>
      </c>
      <c r="X132" s="8">
        <v>123215</v>
      </c>
      <c r="Y132" s="8">
        <v>186</v>
      </c>
      <c r="Z132" s="11">
        <f>AA132/AC132</f>
        <v>0.16692773848775208</v>
      </c>
      <c r="AA132" s="12">
        <f>1218301.2</f>
        <v>1218301.2</v>
      </c>
      <c r="AB132" s="8">
        <f>643998</f>
        <v>643998</v>
      </c>
      <c r="AC132" s="12">
        <f>7298374.8</f>
        <v>7298374.7999999998</v>
      </c>
      <c r="AD132" s="12">
        <f>AC132*1000/L132</f>
        <v>1819.256002887528</v>
      </c>
    </row>
    <row r="133" spans="1:30">
      <c r="B133" s="47" t="s">
        <v>126</v>
      </c>
      <c r="C133" s="103"/>
      <c r="D133" s="13"/>
      <c r="E133" s="13"/>
      <c r="F133" s="14">
        <f>I132/L132/1.95</f>
        <v>0</v>
      </c>
      <c r="G133" s="14">
        <f>J132/L132/0.35</f>
        <v>0</v>
      </c>
      <c r="H133" s="14">
        <f>K132/L132/0.075</f>
        <v>0</v>
      </c>
      <c r="I133" s="15"/>
      <c r="J133" s="15"/>
      <c r="K133" s="15"/>
      <c r="L133" s="15"/>
      <c r="M133" s="15"/>
      <c r="N133" s="13"/>
      <c r="O133" s="14">
        <f>O132/L132</f>
        <v>0.3321619368772023</v>
      </c>
      <c r="P133" s="14">
        <f>P132/M132</f>
        <v>0.22938830808053787</v>
      </c>
      <c r="Q133" s="13"/>
      <c r="R133" s="13"/>
      <c r="S133" s="14">
        <f>S132/R132</f>
        <v>0.57732926543065011</v>
      </c>
      <c r="T133" s="16"/>
      <c r="U133" s="16"/>
      <c r="V133" s="13">
        <f t="shared" ref="V133" si="128">0.122*L132</f>
        <v>489431.79200000002</v>
      </c>
      <c r="W133" s="13"/>
      <c r="X133" s="13"/>
      <c r="Y133" s="13">
        <f>29322</f>
        <v>29322</v>
      </c>
      <c r="Z133" s="17"/>
      <c r="AA133" s="18"/>
      <c r="AB133" s="13"/>
      <c r="AC133" s="18"/>
      <c r="AD133" s="18"/>
    </row>
    <row r="134" spans="1:30">
      <c r="B134" s="47" t="s">
        <v>126</v>
      </c>
      <c r="C134" s="102" t="s">
        <v>63</v>
      </c>
      <c r="D134" s="8">
        <v>3493</v>
      </c>
      <c r="E134" s="8">
        <v>18</v>
      </c>
      <c r="F134" s="8">
        <v>1797</v>
      </c>
      <c r="G134" s="8">
        <v>1076</v>
      </c>
      <c r="H134" s="8">
        <v>65</v>
      </c>
      <c r="I134" s="9"/>
      <c r="J134" s="9"/>
      <c r="K134" s="9"/>
      <c r="L134" s="57">
        <v>1349465</v>
      </c>
      <c r="M134" s="57">
        <v>705676</v>
      </c>
      <c r="N134" s="8">
        <v>4721</v>
      </c>
      <c r="O134" s="8">
        <v>511371</v>
      </c>
      <c r="P134" s="8">
        <v>191512</v>
      </c>
      <c r="Q134" s="8">
        <v>26431</v>
      </c>
      <c r="R134" s="8">
        <v>4474</v>
      </c>
      <c r="S134" s="8">
        <v>3630</v>
      </c>
      <c r="T134" s="10">
        <f t="shared" ref="T134" si="129">Y134+Y135</f>
        <v>29109</v>
      </c>
      <c r="U134" s="11">
        <f>V134/V135</f>
        <v>0.55046101147673998</v>
      </c>
      <c r="V134" s="8">
        <v>90625</v>
      </c>
      <c r="W134" s="56">
        <v>153634</v>
      </c>
      <c r="X134" s="8">
        <v>61246</v>
      </c>
      <c r="Y134" s="8">
        <v>75</v>
      </c>
      <c r="Z134" s="11">
        <f>AA134/AC134</f>
        <v>0.22822312190481434</v>
      </c>
      <c r="AA134" s="12">
        <f>1060044.8</f>
        <v>1060044.8</v>
      </c>
      <c r="AB134" s="8">
        <f>388511</f>
        <v>388511</v>
      </c>
      <c r="AC134" s="12">
        <f>4644773.9</f>
        <v>4644773.9000000004</v>
      </c>
      <c r="AD134" s="12">
        <f>AC134*1000/L134</f>
        <v>3441.9372862578875</v>
      </c>
    </row>
    <row r="135" spans="1:30">
      <c r="B135" s="47" t="s">
        <v>126</v>
      </c>
      <c r="C135" s="103"/>
      <c r="D135" s="13"/>
      <c r="E135" s="13"/>
      <c r="F135" s="14">
        <f>I134/L134/1.95</f>
        <v>0</v>
      </c>
      <c r="G135" s="14">
        <f>J134/L134/0.35</f>
        <v>0</v>
      </c>
      <c r="H135" s="14">
        <f>K134/L134/0.075</f>
        <v>0</v>
      </c>
      <c r="I135" s="15"/>
      <c r="J135" s="15"/>
      <c r="K135" s="15"/>
      <c r="L135" s="15"/>
      <c r="M135" s="15"/>
      <c r="N135" s="13"/>
      <c r="O135" s="14">
        <f>O134/L134</f>
        <v>0.37894350724175879</v>
      </c>
      <c r="P135" s="14">
        <f>P134/M134</f>
        <v>0.27138800242604255</v>
      </c>
      <c r="Q135" s="13"/>
      <c r="R135" s="13"/>
      <c r="S135" s="14">
        <f>S134/R134</f>
        <v>0.81135449262405002</v>
      </c>
      <c r="T135" s="16"/>
      <c r="U135" s="16"/>
      <c r="V135" s="13">
        <f t="shared" ref="V135" si="130">0.122*L134</f>
        <v>164634.73000000001</v>
      </c>
      <c r="W135" s="13"/>
      <c r="X135" s="13"/>
      <c r="Y135" s="13">
        <f>29034</f>
        <v>29034</v>
      </c>
      <c r="Z135" s="17"/>
      <c r="AA135" s="18"/>
      <c r="AB135" s="13"/>
      <c r="AC135" s="18"/>
      <c r="AD135" s="75"/>
    </row>
    <row r="136" spans="1:30">
      <c r="B136" s="47" t="s">
        <v>126</v>
      </c>
      <c r="C136" s="102" t="s">
        <v>64</v>
      </c>
      <c r="D136" s="8">
        <v>2891</v>
      </c>
      <c r="E136" s="8">
        <v>5</v>
      </c>
      <c r="F136" s="8">
        <v>936</v>
      </c>
      <c r="G136" s="8">
        <v>923</v>
      </c>
      <c r="H136" s="8">
        <v>121</v>
      </c>
      <c r="I136" s="9"/>
      <c r="J136" s="9"/>
      <c r="K136" s="9"/>
      <c r="L136" s="57">
        <v>1532834</v>
      </c>
      <c r="M136" s="57">
        <v>785216</v>
      </c>
      <c r="N136" s="8">
        <v>6183</v>
      </c>
      <c r="O136" s="8">
        <v>518942</v>
      </c>
      <c r="P136" s="8">
        <v>194036</v>
      </c>
      <c r="Q136" s="8">
        <v>54334</v>
      </c>
      <c r="R136" s="8">
        <v>5522</v>
      </c>
      <c r="S136" s="8">
        <v>3435</v>
      </c>
      <c r="T136" s="10">
        <f t="shared" ref="T136" si="131">Y136+Y137</f>
        <v>16497</v>
      </c>
      <c r="U136" s="11">
        <f>V136/V137</f>
        <v>0.38938375305982575</v>
      </c>
      <c r="V136" s="8">
        <v>72817</v>
      </c>
      <c r="W136" s="56">
        <v>170048</v>
      </c>
      <c r="X136" s="8">
        <v>63158</v>
      </c>
      <c r="Y136" s="8">
        <v>46</v>
      </c>
      <c r="Z136" s="11">
        <f>AA136/AC136</f>
        <v>4.6141707836786554E-2</v>
      </c>
      <c r="AA136" s="12">
        <f>511541.6</f>
        <v>511541.6</v>
      </c>
      <c r="AB136" s="8">
        <f>307830</f>
        <v>307830</v>
      </c>
      <c r="AC136" s="12">
        <f>11086317</f>
        <v>11086317</v>
      </c>
      <c r="AD136" s="53">
        <f>AC136*1000/L136</f>
        <v>7232.5620386812925</v>
      </c>
    </row>
    <row r="137" spans="1:30">
      <c r="B137" s="47" t="s">
        <v>126</v>
      </c>
      <c r="C137" s="103"/>
      <c r="D137" s="13"/>
      <c r="E137" s="13"/>
      <c r="F137" s="14">
        <f>I136/L136/1.95</f>
        <v>0</v>
      </c>
      <c r="G137" s="14">
        <f>J136/L136/0.35</f>
        <v>0</v>
      </c>
      <c r="H137" s="14">
        <f>K136/L136/0.075</f>
        <v>0</v>
      </c>
      <c r="I137" s="15"/>
      <c r="J137" s="15"/>
      <c r="K137" s="15"/>
      <c r="L137" s="15"/>
      <c r="M137" s="15"/>
      <c r="N137" s="13"/>
      <c r="O137" s="14">
        <f>O136/L136</f>
        <v>0.33855068454901183</v>
      </c>
      <c r="P137" s="14">
        <f>P136/M136</f>
        <v>0.24711162278914336</v>
      </c>
      <c r="Q137" s="13"/>
      <c r="R137" s="13"/>
      <c r="S137" s="14">
        <f>S136/R136</f>
        <v>0.62205722564288302</v>
      </c>
      <c r="T137" s="16"/>
      <c r="U137" s="16"/>
      <c r="V137" s="13">
        <f t="shared" ref="V137" si="132">0.122*L136</f>
        <v>187005.74799999999</v>
      </c>
      <c r="W137" s="13"/>
      <c r="X137" s="13"/>
      <c r="Y137" s="13">
        <f>16451</f>
        <v>16451</v>
      </c>
      <c r="Z137" s="17"/>
      <c r="AA137" s="18"/>
      <c r="AB137" s="13"/>
      <c r="AC137" s="18"/>
      <c r="AD137" s="75"/>
    </row>
    <row r="138" spans="1:30" s="6" customFormat="1">
      <c r="A138" s="48"/>
      <c r="B138" s="47" t="s">
        <v>126</v>
      </c>
      <c r="C138" s="108" t="s">
        <v>65</v>
      </c>
      <c r="D138" s="8">
        <v>1085</v>
      </c>
      <c r="E138" s="8">
        <v>0</v>
      </c>
      <c r="F138" s="8">
        <v>259</v>
      </c>
      <c r="G138" s="8">
        <v>434</v>
      </c>
      <c r="H138" s="8">
        <v>46</v>
      </c>
      <c r="I138" s="9"/>
      <c r="J138" s="9"/>
      <c r="K138" s="9"/>
      <c r="L138" s="57">
        <v>504902</v>
      </c>
      <c r="M138" s="57">
        <v>254405</v>
      </c>
      <c r="N138" s="8">
        <v>2617</v>
      </c>
      <c r="O138" s="56">
        <v>204885</v>
      </c>
      <c r="P138" s="8">
        <v>75701</v>
      </c>
      <c r="Q138" s="8">
        <v>2914</v>
      </c>
      <c r="R138" s="8">
        <v>1911</v>
      </c>
      <c r="S138" s="8">
        <v>1504</v>
      </c>
      <c r="T138" s="10">
        <f t="shared" ref="T138" si="133">Y138+Y139</f>
        <v>12433</v>
      </c>
      <c r="U138" s="11">
        <f>V138/V139</f>
        <v>0.51087661160149822</v>
      </c>
      <c r="V138" s="8">
        <v>31469</v>
      </c>
      <c r="W138" s="56">
        <v>79202</v>
      </c>
      <c r="X138" s="8">
        <v>23937</v>
      </c>
      <c r="Y138" s="8">
        <v>15</v>
      </c>
      <c r="Z138" s="11">
        <f>AA138/AC138</f>
        <v>0.35890179605089906</v>
      </c>
      <c r="AA138" s="12">
        <f>2311453.9</f>
        <v>2311453.9</v>
      </c>
      <c r="AB138" s="8">
        <f>108680</f>
        <v>108680</v>
      </c>
      <c r="AC138" s="53">
        <f>6440352</f>
        <v>6440352</v>
      </c>
      <c r="AD138" s="53">
        <f>AC138*1000/L138</f>
        <v>12755.64763062931</v>
      </c>
    </row>
    <row r="139" spans="1:30" s="6" customFormat="1">
      <c r="A139" s="48"/>
      <c r="B139" s="47" t="s">
        <v>126</v>
      </c>
      <c r="C139" s="109"/>
      <c r="D139" s="13"/>
      <c r="E139" s="13"/>
      <c r="F139" s="14">
        <f>I138/L138/1.95</f>
        <v>0</v>
      </c>
      <c r="G139" s="14">
        <f>J138/L138/0.35</f>
        <v>0</v>
      </c>
      <c r="H139" s="14">
        <f>K138/L138/0.075</f>
        <v>0</v>
      </c>
      <c r="I139" s="15"/>
      <c r="J139" s="15"/>
      <c r="K139" s="15"/>
      <c r="L139" s="15"/>
      <c r="M139" s="15"/>
      <c r="N139" s="13"/>
      <c r="O139" s="14">
        <f>O138/L138</f>
        <v>0.40579161896764127</v>
      </c>
      <c r="P139" s="14">
        <f>P138/M138</f>
        <v>0.29756097560975608</v>
      </c>
      <c r="Q139" s="13"/>
      <c r="R139" s="13"/>
      <c r="S139" s="14">
        <f>S138/R138</f>
        <v>0.78702250130821561</v>
      </c>
      <c r="T139" s="16"/>
      <c r="U139" s="16"/>
      <c r="V139" s="13">
        <f t="shared" ref="V139" si="134">0.122*L138</f>
        <v>61598.044000000002</v>
      </c>
      <c r="W139" s="13"/>
      <c r="X139" s="13"/>
      <c r="Y139" s="13">
        <f>12418</f>
        <v>12418</v>
      </c>
      <c r="Z139" s="17"/>
      <c r="AA139" s="18"/>
      <c r="AB139" s="13"/>
      <c r="AC139" s="18"/>
      <c r="AD139" s="75"/>
    </row>
    <row r="140" spans="1:30">
      <c r="B140" s="47" t="s">
        <v>126</v>
      </c>
      <c r="C140" s="102" t="s">
        <v>66</v>
      </c>
      <c r="D140" s="8">
        <v>7308</v>
      </c>
      <c r="E140" s="8">
        <v>38</v>
      </c>
      <c r="F140" s="8">
        <v>3533</v>
      </c>
      <c r="G140" s="8">
        <v>1824</v>
      </c>
      <c r="H140" s="8">
        <v>98</v>
      </c>
      <c r="I140" s="9"/>
      <c r="J140" s="9"/>
      <c r="K140" s="9"/>
      <c r="L140" s="57">
        <v>3248824</v>
      </c>
      <c r="M140" s="57">
        <v>1745216</v>
      </c>
      <c r="N140" s="8">
        <v>10094</v>
      </c>
      <c r="O140" s="56">
        <v>1075065</v>
      </c>
      <c r="P140" s="56">
        <v>426207</v>
      </c>
      <c r="Q140" s="8">
        <v>84731</v>
      </c>
      <c r="R140" s="8">
        <v>35142</v>
      </c>
      <c r="S140" s="8">
        <v>10289</v>
      </c>
      <c r="T140" s="10">
        <f t="shared" ref="T140" si="135">Y140+Y141</f>
        <v>33820</v>
      </c>
      <c r="U140" s="11">
        <f>V140/V141</f>
        <v>0.46248008308317812</v>
      </c>
      <c r="V140" s="8">
        <v>183307</v>
      </c>
      <c r="W140" s="56">
        <v>306887</v>
      </c>
      <c r="X140" s="8">
        <v>108406</v>
      </c>
      <c r="Y140" s="8">
        <v>143</v>
      </c>
      <c r="Z140" s="11">
        <f>AA140/AC140</f>
        <v>0.33099180279258783</v>
      </c>
      <c r="AA140" s="12">
        <f>3398420.9</f>
        <v>3398420.9</v>
      </c>
      <c r="AB140" s="8">
        <v>586946</v>
      </c>
      <c r="AC140" s="12">
        <f>10267386.9</f>
        <v>10267386.9</v>
      </c>
      <c r="AD140" s="53">
        <f>AC140*1000/L140</f>
        <v>3160.3395259330759</v>
      </c>
    </row>
    <row r="141" spans="1:30">
      <c r="B141" s="47" t="s">
        <v>126</v>
      </c>
      <c r="C141" s="103"/>
      <c r="D141" s="13"/>
      <c r="E141" s="13"/>
      <c r="F141" s="14">
        <f>I140/L140/1.95</f>
        <v>0</v>
      </c>
      <c r="G141" s="14">
        <f>J140/L140/0.35</f>
        <v>0</v>
      </c>
      <c r="H141" s="14">
        <f>K140/L140/0.075</f>
        <v>0</v>
      </c>
      <c r="I141" s="15"/>
      <c r="J141" s="15"/>
      <c r="K141" s="15"/>
      <c r="L141" s="15"/>
      <c r="M141" s="15"/>
      <c r="N141" s="13"/>
      <c r="O141" s="14">
        <f>O140/L140</f>
        <v>0.33090896890690291</v>
      </c>
      <c r="P141" s="14">
        <f>P140/M140</f>
        <v>0.24421446972752942</v>
      </c>
      <c r="Q141" s="13"/>
      <c r="R141" s="13"/>
      <c r="S141" s="14">
        <f>S140/R140</f>
        <v>0.29278356382676002</v>
      </c>
      <c r="T141" s="16"/>
      <c r="U141" s="16"/>
      <c r="V141" s="13">
        <f t="shared" ref="V141" si="136">0.122*L140</f>
        <v>396356.52799999999</v>
      </c>
      <c r="W141" s="13"/>
      <c r="X141" s="13"/>
      <c r="Y141" s="13">
        <v>33677</v>
      </c>
      <c r="Z141" s="17"/>
      <c r="AA141" s="18"/>
      <c r="AB141" s="13"/>
      <c r="AC141" s="18"/>
      <c r="AD141" s="75"/>
    </row>
    <row r="142" spans="1:30" s="20" customFormat="1">
      <c r="A142" s="49" t="s">
        <v>129</v>
      </c>
      <c r="B142" s="50" t="s">
        <v>126</v>
      </c>
      <c r="C142" s="104" t="s">
        <v>67</v>
      </c>
      <c r="D142" s="24">
        <f t="shared" ref="D142:T142" si="137">SUM(D140,D138,D136,D134,D132,D130)</f>
        <v>25906</v>
      </c>
      <c r="E142" s="24">
        <f t="shared" si="137"/>
        <v>140</v>
      </c>
      <c r="F142" s="24">
        <f t="shared" si="137"/>
        <v>11987</v>
      </c>
      <c r="G142" s="24">
        <f t="shared" si="137"/>
        <v>7492</v>
      </c>
      <c r="H142" s="24">
        <f t="shared" si="137"/>
        <v>607</v>
      </c>
      <c r="I142" s="19">
        <f t="shared" si="137"/>
        <v>0</v>
      </c>
      <c r="J142" s="19">
        <f t="shared" si="137"/>
        <v>0</v>
      </c>
      <c r="K142" s="19">
        <f t="shared" si="137"/>
        <v>0</v>
      </c>
      <c r="L142" s="19">
        <f t="shared" si="137"/>
        <v>11443576</v>
      </c>
      <c r="M142" s="19">
        <f t="shared" si="137"/>
        <v>6064569</v>
      </c>
      <c r="N142" s="24">
        <f t="shared" si="137"/>
        <v>38183</v>
      </c>
      <c r="O142" s="24">
        <f t="shared" si="137"/>
        <v>3939413</v>
      </c>
      <c r="P142" s="24">
        <f t="shared" si="137"/>
        <v>1512960</v>
      </c>
      <c r="Q142" s="24">
        <f t="shared" si="137"/>
        <v>235441</v>
      </c>
      <c r="R142" s="24">
        <f t="shared" si="137"/>
        <v>73610</v>
      </c>
      <c r="S142" s="24">
        <f t="shared" si="137"/>
        <v>34923</v>
      </c>
      <c r="T142" s="24">
        <f t="shared" si="137"/>
        <v>150147</v>
      </c>
      <c r="U142" s="21">
        <f>V142/V143</f>
        <v>0.47482506528653945</v>
      </c>
      <c r="V142" s="24">
        <f>SUM(V140,V138,V136,V134,V132,V130)</f>
        <v>662911</v>
      </c>
      <c r="W142" s="24">
        <f>SUM(W140,W138,W136,W134,W132,W130)</f>
        <v>1152214</v>
      </c>
      <c r="X142" s="24">
        <f>SUM(X140,X138,X136,X134,X132,X130)</f>
        <v>409115</v>
      </c>
      <c r="Y142" s="24">
        <f>SUM(Y140,Y138,Y136,Y134,Y132,Y130)</f>
        <v>490</v>
      </c>
      <c r="Z142" s="21">
        <f>AA142/AC142</f>
        <v>0.20872795029619956</v>
      </c>
      <c r="AA142" s="22">
        <f>SUM(AA130:AA140)</f>
        <v>8501265.1999999993</v>
      </c>
      <c r="AB142" s="24">
        <f>SUM(AB140,AB138,AB136,AB134,AB132,AB130)</f>
        <v>2234470</v>
      </c>
      <c r="AC142" s="22">
        <f>SUM(AC130:AC140)</f>
        <v>40728925.799999997</v>
      </c>
      <c r="AD142" s="76">
        <f>AC142*1000/L142</f>
        <v>3559.108254272965</v>
      </c>
    </row>
    <row r="143" spans="1:30" s="20" customFormat="1">
      <c r="A143" s="49" t="s">
        <v>129</v>
      </c>
      <c r="B143" s="50" t="s">
        <v>126</v>
      </c>
      <c r="C143" s="105"/>
      <c r="D143" s="26"/>
      <c r="E143" s="26"/>
      <c r="F143" s="23">
        <f>I142/L142/1.95</f>
        <v>0</v>
      </c>
      <c r="G143" s="23">
        <f>J142/L142/0.35</f>
        <v>0</v>
      </c>
      <c r="H143" s="23">
        <f>K142/L142/0.075</f>
        <v>0</v>
      </c>
      <c r="I143" s="19"/>
      <c r="J143" s="19"/>
      <c r="K143" s="19"/>
      <c r="L143" s="19"/>
      <c r="M143" s="19"/>
      <c r="N143" s="26"/>
      <c r="O143" s="23">
        <f>O142/L142</f>
        <v>0.34424667603902837</v>
      </c>
      <c r="P143" s="23">
        <f>P142/M142</f>
        <v>0.24947527186185861</v>
      </c>
      <c r="Q143" s="26"/>
      <c r="R143" s="26"/>
      <c r="S143" s="23">
        <f>S142/R142</f>
        <v>0.47443282162749628</v>
      </c>
      <c r="T143" s="28"/>
      <c r="U143" s="28"/>
      <c r="V143" s="26">
        <f>SUM(V141,V139,V137,V135,V133,V131)</f>
        <v>1396116.2719999999</v>
      </c>
      <c r="W143" s="26"/>
      <c r="X143" s="26"/>
      <c r="Y143" s="26">
        <f>SUM(Y141,Y139,Y137,Y135,Y133,Y131)</f>
        <v>149657</v>
      </c>
      <c r="Z143" s="29"/>
      <c r="AA143" s="30"/>
      <c r="AB143" s="26"/>
      <c r="AC143" s="30"/>
      <c r="AD143" s="77"/>
    </row>
    <row r="144" spans="1:30">
      <c r="B144" s="47" t="s">
        <v>127</v>
      </c>
      <c r="C144" s="108" t="s">
        <v>68</v>
      </c>
      <c r="D144" s="8">
        <v>345</v>
      </c>
      <c r="E144" s="8">
        <v>7</v>
      </c>
      <c r="F144" s="8">
        <v>175</v>
      </c>
      <c r="G144" s="8">
        <v>135</v>
      </c>
      <c r="H144" s="8">
        <v>1</v>
      </c>
      <c r="I144" s="9"/>
      <c r="J144" s="9"/>
      <c r="K144" s="9"/>
      <c r="L144" s="57">
        <v>198342</v>
      </c>
      <c r="M144" s="57">
        <v>103956</v>
      </c>
      <c r="N144" s="8">
        <v>683</v>
      </c>
      <c r="O144" s="8">
        <v>49514</v>
      </c>
      <c r="P144" s="8">
        <v>13751</v>
      </c>
      <c r="Q144" s="8">
        <v>1705</v>
      </c>
      <c r="R144" s="8">
        <v>2033</v>
      </c>
      <c r="S144" s="8">
        <v>1933</v>
      </c>
      <c r="T144" s="10">
        <f>Y144+Y145</f>
        <v>894</v>
      </c>
      <c r="U144" s="11">
        <f>V144/V145</f>
        <v>0.53281870642048823</v>
      </c>
      <c r="V144" s="8">
        <v>12893</v>
      </c>
      <c r="W144" s="56">
        <v>6500</v>
      </c>
      <c r="X144" s="8">
        <v>7768</v>
      </c>
      <c r="Y144" s="8">
        <v>20</v>
      </c>
      <c r="Z144" s="11">
        <f>AA144/AC144</f>
        <v>1.9897540372341422E-3</v>
      </c>
      <c r="AA144" s="12">
        <f>180.1</f>
        <v>180.1</v>
      </c>
      <c r="AB144" s="8">
        <f>33103</f>
        <v>33103</v>
      </c>
      <c r="AC144" s="12">
        <f>90513.7</f>
        <v>90513.7</v>
      </c>
      <c r="AD144" s="53">
        <f>AC144*1000/L144</f>
        <v>456.35165522178863</v>
      </c>
    </row>
    <row r="145" spans="2:30">
      <c r="B145" s="47" t="s">
        <v>127</v>
      </c>
      <c r="C145" s="109"/>
      <c r="D145" s="13"/>
      <c r="E145" s="13"/>
      <c r="F145" s="14">
        <f>I144/L144/1.95</f>
        <v>0</v>
      </c>
      <c r="G145" s="14">
        <f>J144/L144/0.35</f>
        <v>0</v>
      </c>
      <c r="H145" s="14">
        <f>K144/L144/0.075</f>
        <v>0</v>
      </c>
      <c r="I145" s="15"/>
      <c r="J145" s="15"/>
      <c r="K145" s="15"/>
      <c r="L145" s="15"/>
      <c r="M145" s="15"/>
      <c r="N145" s="13"/>
      <c r="O145" s="14">
        <f>O144/L144</f>
        <v>0.24963951155075575</v>
      </c>
      <c r="P145" s="14">
        <f>P144/M144</f>
        <v>0.13227711724191005</v>
      </c>
      <c r="Q145" s="13"/>
      <c r="R145" s="13"/>
      <c r="S145" s="14">
        <f>S144/R144</f>
        <v>0.95081160846040336</v>
      </c>
      <c r="T145" s="16"/>
      <c r="U145" s="16"/>
      <c r="V145" s="13">
        <f>0.122*L144</f>
        <v>24197.723999999998</v>
      </c>
      <c r="W145" s="13"/>
      <c r="X145" s="13"/>
      <c r="Y145" s="13">
        <f>874</f>
        <v>874</v>
      </c>
      <c r="Z145" s="17"/>
      <c r="AA145" s="18"/>
      <c r="AB145" s="13"/>
      <c r="AC145" s="18"/>
      <c r="AD145" s="75"/>
    </row>
    <row r="146" spans="2:30">
      <c r="B146" s="47" t="s">
        <v>127</v>
      </c>
      <c r="C146" s="102" t="s">
        <v>69</v>
      </c>
      <c r="D146" s="8">
        <v>1767</v>
      </c>
      <c r="E146" s="8">
        <v>16</v>
      </c>
      <c r="F146" s="8">
        <v>1005</v>
      </c>
      <c r="G146" s="8">
        <v>523</v>
      </c>
      <c r="H146" s="8">
        <v>15</v>
      </c>
      <c r="I146" s="9"/>
      <c r="J146" s="9"/>
      <c r="K146" s="9"/>
      <c r="L146" s="57">
        <v>911087</v>
      </c>
      <c r="M146" s="57">
        <v>474653</v>
      </c>
      <c r="N146" s="8">
        <v>2367</v>
      </c>
      <c r="O146" s="8">
        <v>291741</v>
      </c>
      <c r="P146" s="8">
        <v>112142</v>
      </c>
      <c r="Q146" s="8">
        <v>17913</v>
      </c>
      <c r="R146" s="8">
        <v>6653</v>
      </c>
      <c r="S146" s="8">
        <v>3009</v>
      </c>
      <c r="T146" s="10">
        <f t="shared" ref="T146" si="138">Y146+Y147</f>
        <v>22949</v>
      </c>
      <c r="U146" s="11">
        <f>V146/V147</f>
        <v>0.47567932140579255</v>
      </c>
      <c r="V146" s="8">
        <v>52873</v>
      </c>
      <c r="W146" s="8">
        <v>26883</v>
      </c>
      <c r="X146" s="8">
        <v>31096</v>
      </c>
      <c r="Y146" s="8">
        <v>46</v>
      </c>
      <c r="Z146" s="11">
        <f>AA146/AC146</f>
        <v>1.7971255543095237E-2</v>
      </c>
      <c r="AA146" s="12">
        <f>15502.9</f>
        <v>15502.9</v>
      </c>
      <c r="AB146" s="8">
        <f>178077</f>
        <v>178077</v>
      </c>
      <c r="AC146" s="12">
        <f>862649.8</f>
        <v>862649.8</v>
      </c>
      <c r="AD146" s="53">
        <f>AC146*1000/L146</f>
        <v>946.83581260626045</v>
      </c>
    </row>
    <row r="147" spans="2:30">
      <c r="B147" s="47" t="s">
        <v>127</v>
      </c>
      <c r="C147" s="103"/>
      <c r="D147" s="13"/>
      <c r="E147" s="13"/>
      <c r="F147" s="14">
        <f>I146/L146/1.95</f>
        <v>0</v>
      </c>
      <c r="G147" s="14">
        <f>J146/L146/0.35</f>
        <v>0</v>
      </c>
      <c r="H147" s="14">
        <f>K146/L146/0.075</f>
        <v>0</v>
      </c>
      <c r="I147" s="15"/>
      <c r="J147" s="15"/>
      <c r="K147" s="15"/>
      <c r="L147" s="15"/>
      <c r="M147" s="15"/>
      <c r="N147" s="13"/>
      <c r="O147" s="14">
        <f>O146/L146</f>
        <v>0.32021201048857023</v>
      </c>
      <c r="P147" s="14">
        <f>P146/M146</f>
        <v>0.2362610159421725</v>
      </c>
      <c r="Q147" s="13"/>
      <c r="R147" s="13"/>
      <c r="S147" s="14">
        <f>S146/R146</f>
        <v>0.45227716819479935</v>
      </c>
      <c r="T147" s="16"/>
      <c r="U147" s="16"/>
      <c r="V147" s="13">
        <f t="shared" ref="V147" si="139">0.122*L146</f>
        <v>111152.614</v>
      </c>
      <c r="W147" s="13"/>
      <c r="X147" s="13"/>
      <c r="Y147" s="13">
        <f>22903</f>
        <v>22903</v>
      </c>
      <c r="Z147" s="17"/>
      <c r="AA147" s="18"/>
      <c r="AB147" s="13"/>
      <c r="AC147" s="18"/>
      <c r="AD147" s="75"/>
    </row>
    <row r="148" spans="2:30">
      <c r="B148" s="47" t="s">
        <v>127</v>
      </c>
      <c r="C148" s="108" t="s">
        <v>70</v>
      </c>
      <c r="D148" s="8">
        <v>712</v>
      </c>
      <c r="E148" s="8">
        <v>10</v>
      </c>
      <c r="F148" s="8">
        <v>473</v>
      </c>
      <c r="G148" s="8">
        <v>188</v>
      </c>
      <c r="H148" s="8">
        <v>3</v>
      </c>
      <c r="I148" s="9"/>
      <c r="J148" s="9"/>
      <c r="K148" s="9"/>
      <c r="L148" s="57">
        <v>290471</v>
      </c>
      <c r="M148" s="57">
        <v>152014</v>
      </c>
      <c r="N148" s="8">
        <v>1204</v>
      </c>
      <c r="O148" s="8">
        <v>135645</v>
      </c>
      <c r="P148" s="8">
        <v>48444</v>
      </c>
      <c r="Q148" s="8">
        <v>3863</v>
      </c>
      <c r="R148" s="8">
        <v>368</v>
      </c>
      <c r="S148" s="8">
        <v>172</v>
      </c>
      <c r="T148" s="10">
        <f t="shared" ref="T148" si="140">Y148+Y149</f>
        <v>1757</v>
      </c>
      <c r="U148" s="11">
        <f>V148/V149</f>
        <v>0.80431832279636728</v>
      </c>
      <c r="V148" s="8">
        <v>28503</v>
      </c>
      <c r="W148" s="8">
        <v>19651</v>
      </c>
      <c r="X148" s="8">
        <v>18869</v>
      </c>
      <c r="Y148" s="8">
        <v>34</v>
      </c>
      <c r="Z148" s="11">
        <f>AA148/AC148</f>
        <v>2.0551050109858648E-3</v>
      </c>
      <c r="AA148" s="12">
        <f>758</f>
        <v>758</v>
      </c>
      <c r="AB148" s="8">
        <f>66958</f>
        <v>66958</v>
      </c>
      <c r="AC148" s="12">
        <f>368837.6</f>
        <v>368837.6</v>
      </c>
      <c r="AD148" s="53">
        <f>AC148*1000/L148</f>
        <v>1269.791476601795</v>
      </c>
    </row>
    <row r="149" spans="2:30">
      <c r="B149" s="47" t="s">
        <v>127</v>
      </c>
      <c r="C149" s="109"/>
      <c r="D149" s="13"/>
      <c r="E149" s="13"/>
      <c r="F149" s="14">
        <f>I148/L148/1.95</f>
        <v>0</v>
      </c>
      <c r="G149" s="14">
        <f>J148/L148/0.35</f>
        <v>0</v>
      </c>
      <c r="H149" s="14">
        <f>K148/L148/0.075</f>
        <v>0</v>
      </c>
      <c r="I149" s="15"/>
      <c r="J149" s="15"/>
      <c r="K149" s="15"/>
      <c r="L149" s="15"/>
      <c r="M149" s="15"/>
      <c r="N149" s="13"/>
      <c r="O149" s="14">
        <f>O148/L148</f>
        <v>0.46698293461309393</v>
      </c>
      <c r="P149" s="14">
        <f>P148/M148</f>
        <v>0.31868117410238533</v>
      </c>
      <c r="Q149" s="13"/>
      <c r="R149" s="13"/>
      <c r="S149" s="14">
        <f>S148/R148</f>
        <v>0.46739130434782611</v>
      </c>
      <c r="T149" s="16"/>
      <c r="U149" s="16"/>
      <c r="V149" s="13">
        <f t="shared" ref="V149" si="141">0.122*L148</f>
        <v>35437.462</v>
      </c>
      <c r="W149" s="13"/>
      <c r="X149" s="13"/>
      <c r="Y149" s="13">
        <f>1723</f>
        <v>1723</v>
      </c>
      <c r="Z149" s="17"/>
      <c r="AA149" s="18"/>
      <c r="AB149" s="13"/>
      <c r="AC149" s="18"/>
      <c r="AD149" s="75"/>
    </row>
    <row r="150" spans="2:30">
      <c r="B150" s="47" t="s">
        <v>127</v>
      </c>
      <c r="C150" s="102" t="s">
        <v>71</v>
      </c>
      <c r="D150" s="8">
        <v>1072</v>
      </c>
      <c r="E150" s="8">
        <v>22</v>
      </c>
      <c r="F150" s="8">
        <v>575</v>
      </c>
      <c r="G150" s="8">
        <v>269</v>
      </c>
      <c r="H150" s="8">
        <v>28</v>
      </c>
      <c r="I150" s="9"/>
      <c r="J150" s="9"/>
      <c r="K150" s="9"/>
      <c r="L150" s="57">
        <v>499402</v>
      </c>
      <c r="M150" s="57">
        <v>265512</v>
      </c>
      <c r="N150" s="8">
        <v>1428</v>
      </c>
      <c r="O150" s="8">
        <v>173700</v>
      </c>
      <c r="P150" s="8">
        <v>66131</v>
      </c>
      <c r="Q150" s="8">
        <v>5851</v>
      </c>
      <c r="R150" s="8">
        <v>1499</v>
      </c>
      <c r="S150" s="8">
        <v>759</v>
      </c>
      <c r="T150" s="10">
        <f t="shared" ref="T150" si="142">Y150+Y151</f>
        <v>8801</v>
      </c>
      <c r="U150" s="11">
        <f>V150/V151</f>
        <v>0.54018704731514633</v>
      </c>
      <c r="V150" s="8">
        <v>32912</v>
      </c>
      <c r="W150" s="8">
        <v>54466</v>
      </c>
      <c r="X150" s="8">
        <v>14463</v>
      </c>
      <c r="Y150" s="8">
        <v>9</v>
      </c>
      <c r="Z150" s="11">
        <f>AA150/AC150</f>
        <v>0.10176611896476548</v>
      </c>
      <c r="AA150" s="12">
        <f>110491.2</f>
        <v>110491.2</v>
      </c>
      <c r="AB150" s="8">
        <f>96250</f>
        <v>96250</v>
      </c>
      <c r="AC150" s="12">
        <f>1085736.6</f>
        <v>1085736.6000000001</v>
      </c>
      <c r="AD150" s="53">
        <f>AC150*1000/L150</f>
        <v>2174.0733917765647</v>
      </c>
    </row>
    <row r="151" spans="2:30">
      <c r="B151" s="47" t="s">
        <v>127</v>
      </c>
      <c r="C151" s="103"/>
      <c r="D151" s="13"/>
      <c r="E151" s="13"/>
      <c r="F151" s="14">
        <f>I150/L150/1.95</f>
        <v>0</v>
      </c>
      <c r="G151" s="14">
        <f>J150/L150/0.35</f>
        <v>0</v>
      </c>
      <c r="H151" s="14">
        <f>K150/L150/0.075</f>
        <v>0</v>
      </c>
      <c r="I151" s="15"/>
      <c r="J151" s="15"/>
      <c r="K151" s="15"/>
      <c r="L151" s="15"/>
      <c r="M151" s="15"/>
      <c r="N151" s="13"/>
      <c r="O151" s="14">
        <f>O150/L150</f>
        <v>0.34781598792155416</v>
      </c>
      <c r="P151" s="14">
        <f>P150/M150</f>
        <v>0.24906972189580887</v>
      </c>
      <c r="Q151" s="13"/>
      <c r="R151" s="13"/>
      <c r="S151" s="14">
        <f>S150/R150</f>
        <v>0.50633755837224814</v>
      </c>
      <c r="T151" s="16"/>
      <c r="U151" s="16"/>
      <c r="V151" s="13">
        <f t="shared" ref="V151" si="143">0.122*L150</f>
        <v>60927.044000000002</v>
      </c>
      <c r="W151" s="13"/>
      <c r="X151" s="13"/>
      <c r="Y151" s="13">
        <f>8792</f>
        <v>8792</v>
      </c>
      <c r="Z151" s="17"/>
      <c r="AA151" s="18"/>
      <c r="AB151" s="13"/>
      <c r="AC151" s="18"/>
      <c r="AD151" s="18"/>
    </row>
    <row r="152" spans="2:30">
      <c r="B152" s="47" t="s">
        <v>127</v>
      </c>
      <c r="C152" s="102" t="s">
        <v>72</v>
      </c>
      <c r="D152" s="8">
        <v>5110</v>
      </c>
      <c r="E152" s="8">
        <v>77</v>
      </c>
      <c r="F152" s="8">
        <v>2897</v>
      </c>
      <c r="G152" s="8">
        <v>1548</v>
      </c>
      <c r="H152" s="8">
        <v>63</v>
      </c>
      <c r="I152" s="9"/>
      <c r="J152" s="9"/>
      <c r="K152" s="9"/>
      <c r="L152" s="57">
        <v>2208541</v>
      </c>
      <c r="M152" s="57">
        <v>1175958</v>
      </c>
      <c r="N152" s="8">
        <v>5252</v>
      </c>
      <c r="O152" s="8">
        <v>741932</v>
      </c>
      <c r="P152" s="8">
        <v>300489</v>
      </c>
      <c r="Q152" s="8">
        <v>52507</v>
      </c>
      <c r="R152" s="8">
        <v>16559</v>
      </c>
      <c r="S152" s="8">
        <v>6630</v>
      </c>
      <c r="T152" s="10">
        <f t="shared" ref="T152" si="144">Y152+Y153</f>
        <v>32341</v>
      </c>
      <c r="U152" s="11">
        <f>V152/V153</f>
        <v>0.42974740070406697</v>
      </c>
      <c r="V152" s="8">
        <v>115792</v>
      </c>
      <c r="W152" s="8">
        <v>263740</v>
      </c>
      <c r="X152" s="8">
        <v>70398</v>
      </c>
      <c r="Y152" s="8">
        <v>72</v>
      </c>
      <c r="Z152" s="11">
        <f>AA152/AC152</f>
        <v>0.11060261609859146</v>
      </c>
      <c r="AA152" s="12">
        <f>197709.1</f>
        <v>197709.1</v>
      </c>
      <c r="AB152" s="8">
        <f>729767</f>
        <v>729767</v>
      </c>
      <c r="AC152" s="12">
        <f>1787562.6</f>
        <v>1787562.6</v>
      </c>
      <c r="AD152" s="12">
        <f>AC152*1000/L152</f>
        <v>809.38619658860762</v>
      </c>
    </row>
    <row r="153" spans="2:30">
      <c r="B153" s="47" t="s">
        <v>127</v>
      </c>
      <c r="C153" s="103"/>
      <c r="D153" s="13"/>
      <c r="E153" s="13"/>
      <c r="F153" s="14">
        <f>I152/L152/1.95</f>
        <v>0</v>
      </c>
      <c r="G153" s="14">
        <f>J152/L152/0.35</f>
        <v>0</v>
      </c>
      <c r="H153" s="14">
        <f>K152/L152/0.075</f>
        <v>0</v>
      </c>
      <c r="I153" s="15"/>
      <c r="J153" s="15"/>
      <c r="K153" s="15"/>
      <c r="L153" s="15"/>
      <c r="M153" s="15"/>
      <c r="N153" s="13"/>
      <c r="O153" s="14">
        <f>O152/L152</f>
        <v>0.33593761673430561</v>
      </c>
      <c r="P153" s="14">
        <f>P152/M152</f>
        <v>0.25552698310653954</v>
      </c>
      <c r="Q153" s="13"/>
      <c r="R153" s="13"/>
      <c r="S153" s="14">
        <f>S152/R152</f>
        <v>0.40038649676912857</v>
      </c>
      <c r="T153" s="16"/>
      <c r="U153" s="16"/>
      <c r="V153" s="13">
        <f t="shared" ref="V153" si="145">0.122*L152</f>
        <v>269442.00199999998</v>
      </c>
      <c r="W153" s="13"/>
      <c r="X153" s="13"/>
      <c r="Y153" s="13">
        <f>32269</f>
        <v>32269</v>
      </c>
      <c r="Z153" s="17"/>
      <c r="AA153" s="18"/>
      <c r="AB153" s="13"/>
      <c r="AC153" s="18"/>
      <c r="AD153" s="18"/>
    </row>
    <row r="154" spans="2:30">
      <c r="B154" s="47" t="s">
        <v>127</v>
      </c>
      <c r="C154" s="102" t="s">
        <v>73</v>
      </c>
      <c r="D154" s="8">
        <v>2616</v>
      </c>
      <c r="E154" s="8">
        <v>15</v>
      </c>
      <c r="F154" s="8">
        <v>1428</v>
      </c>
      <c r="G154" s="8">
        <v>730</v>
      </c>
      <c r="H154" s="8">
        <v>31</v>
      </c>
      <c r="I154" s="9"/>
      <c r="J154" s="9"/>
      <c r="K154" s="9"/>
      <c r="L154" s="57">
        <v>1010552</v>
      </c>
      <c r="M154" s="57">
        <v>523348</v>
      </c>
      <c r="N154" s="8">
        <v>2823</v>
      </c>
      <c r="O154" s="8">
        <v>286305</v>
      </c>
      <c r="P154" s="8">
        <v>113054</v>
      </c>
      <c r="Q154" s="8">
        <v>24498</v>
      </c>
      <c r="R154" s="8">
        <v>4883</v>
      </c>
      <c r="S154" s="8">
        <v>3165</v>
      </c>
      <c r="T154" s="10">
        <f t="shared" ref="T154" si="146">Y154+Y155</f>
        <v>7145</v>
      </c>
      <c r="U154" s="11">
        <f>V154/V155</f>
        <v>0.55512591787199184</v>
      </c>
      <c r="V154" s="8">
        <v>68440</v>
      </c>
      <c r="W154" s="8">
        <v>70762</v>
      </c>
      <c r="X154" s="8">
        <v>25935</v>
      </c>
      <c r="Y154" s="8">
        <v>21</v>
      </c>
      <c r="Z154" s="11">
        <f>AA154/AC154</f>
        <v>0.13297403138276215</v>
      </c>
      <c r="AA154" s="12">
        <f>173404.4</f>
        <v>173404.4</v>
      </c>
      <c r="AB154" s="8">
        <f>150743</f>
        <v>150743</v>
      </c>
      <c r="AC154" s="12">
        <f>1304047.1</f>
        <v>1304047.1000000001</v>
      </c>
      <c r="AD154" s="53">
        <f>AC154*1000/L154</f>
        <v>1290.430477600361</v>
      </c>
    </row>
    <row r="155" spans="2:30">
      <c r="B155" s="47" t="s">
        <v>127</v>
      </c>
      <c r="C155" s="103"/>
      <c r="D155" s="13"/>
      <c r="E155" s="13"/>
      <c r="F155" s="14">
        <f>I154/L154/1.95</f>
        <v>0</v>
      </c>
      <c r="G155" s="14">
        <f>J154/L154/0.35</f>
        <v>0</v>
      </c>
      <c r="H155" s="14">
        <f>K154/L154/0.075</f>
        <v>0</v>
      </c>
      <c r="I155" s="15"/>
      <c r="J155" s="15"/>
      <c r="K155" s="15"/>
      <c r="L155" s="15"/>
      <c r="M155" s="15"/>
      <c r="N155" s="13"/>
      <c r="O155" s="14">
        <f>O154/L154</f>
        <v>0.28331545531551072</v>
      </c>
      <c r="P155" s="14">
        <f>P154/M154</f>
        <v>0.2160206975091144</v>
      </c>
      <c r="Q155" s="13"/>
      <c r="R155" s="13"/>
      <c r="S155" s="14">
        <f>S154/R154</f>
        <v>0.64816711038296126</v>
      </c>
      <c r="T155" s="16"/>
      <c r="U155" s="16"/>
      <c r="V155" s="13">
        <f t="shared" ref="V155" si="147">0.122*L154</f>
        <v>123287.344</v>
      </c>
      <c r="W155" s="13"/>
      <c r="X155" s="13"/>
      <c r="Y155" s="13">
        <f>7124</f>
        <v>7124</v>
      </c>
      <c r="Z155" s="17"/>
      <c r="AA155" s="18"/>
      <c r="AB155" s="13"/>
      <c r="AC155" s="18"/>
      <c r="AD155" s="18"/>
    </row>
    <row r="156" spans="2:30">
      <c r="B156" s="47" t="s">
        <v>127</v>
      </c>
      <c r="C156" s="110" t="s">
        <v>74</v>
      </c>
      <c r="D156" s="8">
        <v>6064</v>
      </c>
      <c r="E156" s="8">
        <v>21</v>
      </c>
      <c r="F156" s="8">
        <v>2883</v>
      </c>
      <c r="G156" s="8">
        <v>1748</v>
      </c>
      <c r="H156" s="8">
        <v>94</v>
      </c>
      <c r="I156" s="9"/>
      <c r="J156" s="9"/>
      <c r="K156" s="9"/>
      <c r="L156" s="57">
        <v>2676308</v>
      </c>
      <c r="M156" s="57">
        <v>1416454</v>
      </c>
      <c r="N156" s="8">
        <v>8938</v>
      </c>
      <c r="O156" s="8">
        <v>879708</v>
      </c>
      <c r="P156" s="8">
        <v>337478</v>
      </c>
      <c r="Q156" s="8">
        <v>114127</v>
      </c>
      <c r="R156" s="8">
        <v>16666</v>
      </c>
      <c r="S156" s="8">
        <v>11967</v>
      </c>
      <c r="T156" s="10">
        <f t="shared" ref="T156" si="148">Y156+Y157</f>
        <v>14156</v>
      </c>
      <c r="U156" s="11">
        <f>V156/V157</f>
        <v>0.46092675701493058</v>
      </c>
      <c r="V156" s="8">
        <v>150497</v>
      </c>
      <c r="W156" s="8">
        <v>263356</v>
      </c>
      <c r="X156" s="8">
        <v>75572</v>
      </c>
      <c r="Y156" s="8">
        <v>106</v>
      </c>
      <c r="Z156" s="11">
        <f>AA156/AC156</f>
        <v>8.9151736858048336E-2</v>
      </c>
      <c r="AA156" s="12">
        <f>818681.3</f>
        <v>818681.3</v>
      </c>
      <c r="AB156" s="8">
        <f>375607</f>
        <v>375607</v>
      </c>
      <c r="AC156" s="12">
        <f>9183010.1</f>
        <v>9183010.0999999996</v>
      </c>
      <c r="AD156" s="12">
        <f>AC156*1000/L156</f>
        <v>3431.2232000203267</v>
      </c>
    </row>
    <row r="157" spans="2:30">
      <c r="B157" s="47" t="s">
        <v>127</v>
      </c>
      <c r="C157" s="111"/>
      <c r="D157" s="13"/>
      <c r="E157" s="13"/>
      <c r="F157" s="14">
        <f>I156/L156/1.95</f>
        <v>0</v>
      </c>
      <c r="G157" s="14">
        <f>J156/L156/0.35</f>
        <v>0</v>
      </c>
      <c r="H157" s="14">
        <f>K156/L156/0.075</f>
        <v>0</v>
      </c>
      <c r="I157" s="15"/>
      <c r="J157" s="15"/>
      <c r="K157" s="15"/>
      <c r="L157" s="15"/>
      <c r="M157" s="15"/>
      <c r="N157" s="13"/>
      <c r="O157" s="14">
        <f>O156/L156</f>
        <v>0.32870207763829873</v>
      </c>
      <c r="P157" s="14">
        <f>P156/M156</f>
        <v>0.23825553106560468</v>
      </c>
      <c r="Q157" s="13"/>
      <c r="R157" s="13"/>
      <c r="S157" s="14">
        <f>S156/R156</f>
        <v>0.71804872194887792</v>
      </c>
      <c r="T157" s="16"/>
      <c r="U157" s="16"/>
      <c r="V157" s="13">
        <f t="shared" ref="V157" si="149">0.122*L156</f>
        <v>326509.576</v>
      </c>
      <c r="W157" s="13"/>
      <c r="X157" s="13"/>
      <c r="Y157" s="13">
        <f>14050</f>
        <v>14050</v>
      </c>
      <c r="Z157" s="17"/>
      <c r="AA157" s="18"/>
      <c r="AB157" s="13"/>
      <c r="AC157" s="18"/>
      <c r="AD157" s="18"/>
    </row>
    <row r="158" spans="2:30">
      <c r="B158" s="47" t="s">
        <v>127</v>
      </c>
      <c r="C158" s="102" t="s">
        <v>75</v>
      </c>
      <c r="D158" s="8">
        <v>3794</v>
      </c>
      <c r="E158" s="8">
        <v>25</v>
      </c>
      <c r="F158" s="8">
        <v>1921</v>
      </c>
      <c r="G158" s="8">
        <v>1308</v>
      </c>
      <c r="H158" s="8">
        <v>81</v>
      </c>
      <c r="I158" s="9"/>
      <c r="J158" s="9"/>
      <c r="K158" s="9"/>
      <c r="L158" s="57">
        <v>2246155</v>
      </c>
      <c r="M158" s="57">
        <v>1199842</v>
      </c>
      <c r="N158" s="8">
        <v>5619</v>
      </c>
      <c r="O158" s="8">
        <v>517990</v>
      </c>
      <c r="P158" s="8">
        <v>160729</v>
      </c>
      <c r="Q158" s="8">
        <v>14538</v>
      </c>
      <c r="R158" s="8">
        <v>52946</v>
      </c>
      <c r="S158" s="8">
        <v>17117</v>
      </c>
      <c r="T158" s="10">
        <f t="shared" ref="T158" si="150">Y158+Y159</f>
        <v>13554</v>
      </c>
      <c r="U158" s="11">
        <f>V158/V159</f>
        <v>0.33856764552582774</v>
      </c>
      <c r="V158" s="8">
        <v>92778</v>
      </c>
      <c r="W158" s="8">
        <v>150040</v>
      </c>
      <c r="X158" s="8">
        <v>62361</v>
      </c>
      <c r="Y158" s="8">
        <v>81</v>
      </c>
      <c r="Z158" s="11">
        <f>AA158/AC158</f>
        <v>5.1243909941137408E-2</v>
      </c>
      <c r="AA158" s="12">
        <f>132630.2</f>
        <v>132630.20000000001</v>
      </c>
      <c r="AB158" s="8">
        <f>230449</f>
        <v>230449</v>
      </c>
      <c r="AC158" s="12">
        <f>2588213.9</f>
        <v>2588213.9</v>
      </c>
      <c r="AD158" s="12">
        <f>AC158*1000/L158</f>
        <v>1152.2864183460181</v>
      </c>
    </row>
    <row r="159" spans="2:30">
      <c r="B159" s="47" t="s">
        <v>127</v>
      </c>
      <c r="C159" s="103"/>
      <c r="D159" s="13"/>
      <c r="E159" s="13"/>
      <c r="F159" s="14">
        <f>I158/L158/1.95</f>
        <v>0</v>
      </c>
      <c r="G159" s="14">
        <f>J158/L158/0.35</f>
        <v>0</v>
      </c>
      <c r="H159" s="14">
        <f>K158/L158/0.075</f>
        <v>0</v>
      </c>
      <c r="I159" s="15"/>
      <c r="J159" s="15"/>
      <c r="K159" s="15"/>
      <c r="L159" s="15"/>
      <c r="M159" s="15"/>
      <c r="N159" s="13"/>
      <c r="O159" s="14">
        <f>O158/L158</f>
        <v>0.23061186783636925</v>
      </c>
      <c r="P159" s="14">
        <f>P158/M158</f>
        <v>0.13395847119870782</v>
      </c>
      <c r="Q159" s="13"/>
      <c r="R159" s="13"/>
      <c r="S159" s="14">
        <f>S158/R158</f>
        <v>0.32329165564915197</v>
      </c>
      <c r="T159" s="16"/>
      <c r="U159" s="16"/>
      <c r="V159" s="13">
        <f t="shared" ref="V159" si="151">0.122*L158</f>
        <v>274030.90999999997</v>
      </c>
      <c r="W159" s="13"/>
      <c r="X159" s="13"/>
      <c r="Y159" s="13">
        <f>13473</f>
        <v>13473</v>
      </c>
      <c r="Z159" s="17"/>
      <c r="AA159" s="18"/>
      <c r="AB159" s="13"/>
      <c r="AC159" s="18"/>
      <c r="AD159" s="18"/>
    </row>
    <row r="160" spans="2:30">
      <c r="B160" s="47" t="s">
        <v>127</v>
      </c>
      <c r="C160" s="102" t="s">
        <v>76</v>
      </c>
      <c r="D160" s="8">
        <v>8138</v>
      </c>
      <c r="E160" s="8">
        <v>26</v>
      </c>
      <c r="F160" s="8">
        <v>4553</v>
      </c>
      <c r="G160" s="8">
        <v>1056</v>
      </c>
      <c r="H160" s="8">
        <v>127</v>
      </c>
      <c r="I160" s="9"/>
      <c r="J160" s="9"/>
      <c r="K160" s="9"/>
      <c r="L160" s="57">
        <v>2531917</v>
      </c>
      <c r="M160" s="57">
        <v>1358114</v>
      </c>
      <c r="N160" s="8">
        <v>7064</v>
      </c>
      <c r="O160" s="8">
        <v>1045883</v>
      </c>
      <c r="P160" s="8">
        <v>461130</v>
      </c>
      <c r="Q160" s="8">
        <v>50350</v>
      </c>
      <c r="R160" s="8">
        <v>15733</v>
      </c>
      <c r="S160" s="8">
        <v>8446</v>
      </c>
      <c r="T160" s="10">
        <f t="shared" ref="T160" si="152">Y160+Y161</f>
        <v>17907</v>
      </c>
      <c r="U160" s="11">
        <f>V160/V161</f>
        <v>0.66953415851814524</v>
      </c>
      <c r="V160" s="8">
        <v>206815</v>
      </c>
      <c r="W160" s="8">
        <v>292383</v>
      </c>
      <c r="X160" s="8">
        <v>101380</v>
      </c>
      <c r="Y160" s="8">
        <v>95</v>
      </c>
      <c r="Z160" s="11">
        <f>AA160/AC160</f>
        <v>0.210627740845234</v>
      </c>
      <c r="AA160" s="12">
        <f>829941.1</f>
        <v>829941.1</v>
      </c>
      <c r="AB160" s="8">
        <f>567113</f>
        <v>567113</v>
      </c>
      <c r="AC160" s="12">
        <f>3940321.9</f>
        <v>3940321.9</v>
      </c>
      <c r="AD160" s="12">
        <f>AC160*1000/L160</f>
        <v>1556.2602960523589</v>
      </c>
    </row>
    <row r="161" spans="1:30">
      <c r="B161" s="47" t="s">
        <v>127</v>
      </c>
      <c r="C161" s="103"/>
      <c r="D161" s="13"/>
      <c r="E161" s="13"/>
      <c r="F161" s="14">
        <f>I160/L160/1.95</f>
        <v>0</v>
      </c>
      <c r="G161" s="14">
        <f>J160/L160/0.35</f>
        <v>0</v>
      </c>
      <c r="H161" s="14">
        <f>K160/L160/0.075</f>
        <v>0</v>
      </c>
      <c r="I161" s="15"/>
      <c r="J161" s="15"/>
      <c r="K161" s="15"/>
      <c r="L161" s="15"/>
      <c r="M161" s="15"/>
      <c r="N161" s="13"/>
      <c r="O161" s="14">
        <f>O160/L160</f>
        <v>0.41307949668176325</v>
      </c>
      <c r="P161" s="14">
        <f>P160/M160</f>
        <v>0.33953703444629835</v>
      </c>
      <c r="Q161" s="13"/>
      <c r="R161" s="13"/>
      <c r="S161" s="14">
        <f>S160/R160</f>
        <v>0.53683340748744679</v>
      </c>
      <c r="T161" s="16"/>
      <c r="U161" s="16"/>
      <c r="V161" s="13">
        <f t="shared" ref="V161" si="153">0.122*L160</f>
        <v>308893.87400000001</v>
      </c>
      <c r="W161" s="13"/>
      <c r="X161" s="13"/>
      <c r="Y161" s="13">
        <f>17812</f>
        <v>17812</v>
      </c>
      <c r="Z161" s="17"/>
      <c r="AA161" s="18"/>
      <c r="AB161" s="13"/>
      <c r="AC161" s="18"/>
      <c r="AD161" s="18"/>
    </row>
    <row r="162" spans="1:30">
      <c r="B162" s="47" t="s">
        <v>127</v>
      </c>
      <c r="C162" s="102" t="s">
        <v>77</v>
      </c>
      <c r="D162" s="8">
        <v>4529</v>
      </c>
      <c r="E162" s="8">
        <v>25</v>
      </c>
      <c r="F162" s="8">
        <v>2247</v>
      </c>
      <c r="G162" s="8">
        <v>1307</v>
      </c>
      <c r="H162" s="8">
        <v>86</v>
      </c>
      <c r="I162" s="9"/>
      <c r="J162" s="9"/>
      <c r="K162" s="9"/>
      <c r="L162" s="57">
        <v>2562515</v>
      </c>
      <c r="M162" s="57">
        <v>1356092</v>
      </c>
      <c r="N162" s="8">
        <v>6261</v>
      </c>
      <c r="O162" s="8">
        <v>801232</v>
      </c>
      <c r="P162" s="8">
        <v>339129</v>
      </c>
      <c r="Q162" s="8">
        <v>23604</v>
      </c>
      <c r="R162" s="8">
        <v>17485</v>
      </c>
      <c r="S162" s="8">
        <v>11426</v>
      </c>
      <c r="T162" s="10">
        <f t="shared" ref="T162" si="154">Y162+Y163</f>
        <v>19812</v>
      </c>
      <c r="U162" s="11">
        <f>V162/V163</f>
        <v>0.40374013964188549</v>
      </c>
      <c r="V162" s="8">
        <v>126220</v>
      </c>
      <c r="W162" s="8">
        <v>342161</v>
      </c>
      <c r="X162" s="8">
        <v>69878</v>
      </c>
      <c r="Y162" s="8">
        <v>152</v>
      </c>
      <c r="Z162" s="11">
        <f>AA162/AC162</f>
        <v>1.8254029470009658E-2</v>
      </c>
      <c r="AA162" s="12">
        <f>80913.7</f>
        <v>80913.7</v>
      </c>
      <c r="AB162" s="8">
        <f>278768</f>
        <v>278768</v>
      </c>
      <c r="AC162" s="12">
        <f>4432648.7</f>
        <v>4432648.7</v>
      </c>
      <c r="AD162" s="12">
        <f>AC162*1000/L162</f>
        <v>1729.8040011473104</v>
      </c>
    </row>
    <row r="163" spans="1:30">
      <c r="B163" s="47" t="s">
        <v>127</v>
      </c>
      <c r="C163" s="103"/>
      <c r="D163" s="13"/>
      <c r="E163" s="13"/>
      <c r="F163" s="14">
        <f>I162/L162/1.95</f>
        <v>0</v>
      </c>
      <c r="G163" s="14">
        <f>J162/L162/0.35</f>
        <v>0</v>
      </c>
      <c r="H163" s="14">
        <f>K162/L162/0.075</f>
        <v>0</v>
      </c>
      <c r="I163" s="15"/>
      <c r="J163" s="15"/>
      <c r="K163" s="15"/>
      <c r="L163" s="15"/>
      <c r="M163" s="15"/>
      <c r="N163" s="13"/>
      <c r="O163" s="14">
        <f>O162/L162</f>
        <v>0.31267407215177279</v>
      </c>
      <c r="P163" s="14">
        <f>P162/M162</f>
        <v>0.25007816578816189</v>
      </c>
      <c r="Q163" s="13"/>
      <c r="R163" s="13"/>
      <c r="S163" s="14">
        <f>S162/R162</f>
        <v>0.65347440663425793</v>
      </c>
      <c r="T163" s="16"/>
      <c r="U163" s="16"/>
      <c r="V163" s="13">
        <f t="shared" ref="V163" si="155">0.122*L162</f>
        <v>312626.83</v>
      </c>
      <c r="W163" s="13"/>
      <c r="X163" s="13"/>
      <c r="Y163" s="13">
        <f>19660</f>
        <v>19660</v>
      </c>
      <c r="Z163" s="17"/>
      <c r="AA163" s="18"/>
      <c r="AB163" s="13"/>
      <c r="AC163" s="18"/>
      <c r="AD163" s="18"/>
    </row>
    <row r="164" spans="1:30">
      <c r="B164" s="47" t="s">
        <v>127</v>
      </c>
      <c r="C164" s="102" t="s">
        <v>78</v>
      </c>
      <c r="D164" s="8">
        <v>5125</v>
      </c>
      <c r="E164" s="8">
        <v>40</v>
      </c>
      <c r="F164" s="8">
        <v>2736</v>
      </c>
      <c r="G164" s="8">
        <v>1217</v>
      </c>
      <c r="H164" s="8">
        <v>72</v>
      </c>
      <c r="I164" s="9"/>
      <c r="J164" s="9"/>
      <c r="K164" s="9"/>
      <c r="L164" s="57">
        <v>1834787</v>
      </c>
      <c r="M164" s="57">
        <v>977467</v>
      </c>
      <c r="N164" s="8">
        <v>4768</v>
      </c>
      <c r="O164" s="8">
        <v>651248</v>
      </c>
      <c r="P164" s="8">
        <v>269239</v>
      </c>
      <c r="Q164" s="8">
        <v>55530</v>
      </c>
      <c r="R164" s="8">
        <v>4421</v>
      </c>
      <c r="S164" s="8">
        <v>2853</v>
      </c>
      <c r="T164" s="10">
        <f t="shared" ref="T164" si="156">Y164+Y165</f>
        <v>18056</v>
      </c>
      <c r="U164" s="11">
        <f>V164/V165</f>
        <v>0.60815117441559108</v>
      </c>
      <c r="V164" s="8">
        <v>136131</v>
      </c>
      <c r="W164" s="8">
        <v>302239</v>
      </c>
      <c r="X164" s="8">
        <v>74858</v>
      </c>
      <c r="Y164" s="8">
        <v>115</v>
      </c>
      <c r="Z164" s="11">
        <f>AA164/AC164</f>
        <v>0.10691030431162625</v>
      </c>
      <c r="AA164" s="12">
        <f>191633</f>
        <v>191633</v>
      </c>
      <c r="AB164" s="8">
        <f>295412</f>
        <v>295412</v>
      </c>
      <c r="AC164" s="12">
        <f>1792465.2</f>
        <v>1792465.2</v>
      </c>
      <c r="AD164" s="12">
        <f>AC164*1000/L164</f>
        <v>976.93367131988623</v>
      </c>
    </row>
    <row r="165" spans="1:30">
      <c r="B165" s="47" t="s">
        <v>127</v>
      </c>
      <c r="C165" s="103"/>
      <c r="D165" s="13"/>
      <c r="E165" s="13"/>
      <c r="F165" s="14">
        <f>I164/L164/1.95</f>
        <v>0</v>
      </c>
      <c r="G165" s="14">
        <f>J164/L164/0.35</f>
        <v>0</v>
      </c>
      <c r="H165" s="14">
        <f>K164/L164/0.075</f>
        <v>0</v>
      </c>
      <c r="I165" s="15"/>
      <c r="J165" s="15"/>
      <c r="K165" s="15"/>
      <c r="L165" s="15"/>
      <c r="M165" s="15"/>
      <c r="N165" s="13"/>
      <c r="O165" s="14">
        <f>O164/L164</f>
        <v>0.35494474290476224</v>
      </c>
      <c r="P165" s="14">
        <f>P164/M164</f>
        <v>0.27544561606683399</v>
      </c>
      <c r="Q165" s="13"/>
      <c r="R165" s="13"/>
      <c r="S165" s="14">
        <f>S164/R164</f>
        <v>0.64532911106084601</v>
      </c>
      <c r="T165" s="16"/>
      <c r="U165" s="16"/>
      <c r="V165" s="13">
        <f t="shared" ref="V165" si="157">0.122*L164</f>
        <v>223844.014</v>
      </c>
      <c r="W165" s="13"/>
      <c r="X165" s="13"/>
      <c r="Y165" s="13">
        <f>17941</f>
        <v>17941</v>
      </c>
      <c r="Z165" s="17"/>
      <c r="AA165" s="18"/>
      <c r="AB165" s="13"/>
      <c r="AC165" s="18"/>
      <c r="AD165" s="18"/>
    </row>
    <row r="166" spans="1:30">
      <c r="B166" s="47" t="s">
        <v>127</v>
      </c>
      <c r="C166" s="102" t="s">
        <v>79</v>
      </c>
      <c r="D166" s="8">
        <v>1928</v>
      </c>
      <c r="E166" s="8">
        <v>16</v>
      </c>
      <c r="F166" s="8">
        <v>799</v>
      </c>
      <c r="G166" s="8">
        <v>541</v>
      </c>
      <c r="H166" s="8">
        <v>29</v>
      </c>
      <c r="I166" s="9"/>
      <c r="J166" s="9"/>
      <c r="K166" s="9"/>
      <c r="L166" s="57">
        <v>1006040</v>
      </c>
      <c r="M166" s="57">
        <v>529657</v>
      </c>
      <c r="N166" s="8">
        <v>2913</v>
      </c>
      <c r="O166" s="8">
        <v>266499</v>
      </c>
      <c r="P166" s="8">
        <v>108148</v>
      </c>
      <c r="Q166" s="8">
        <v>27074</v>
      </c>
      <c r="R166" s="8">
        <v>9340</v>
      </c>
      <c r="S166" s="8">
        <v>5876</v>
      </c>
      <c r="T166" s="10">
        <f t="shared" ref="T166" si="158">Y166+Y167</f>
        <v>8262</v>
      </c>
      <c r="U166" s="11">
        <f>V166/V167</f>
        <v>0.5314213625114147</v>
      </c>
      <c r="V166" s="8">
        <v>65225</v>
      </c>
      <c r="W166" s="8">
        <v>79949</v>
      </c>
      <c r="X166" s="8">
        <v>51857</v>
      </c>
      <c r="Y166" s="8">
        <v>50</v>
      </c>
      <c r="Z166" s="11">
        <f>AA166/AC166</f>
        <v>0.34312656160645982</v>
      </c>
      <c r="AA166" s="12">
        <f>971480.2</f>
        <v>971480.2</v>
      </c>
      <c r="AB166" s="8">
        <f>148299</f>
        <v>148299</v>
      </c>
      <c r="AC166" s="12">
        <f>2831259.1</f>
        <v>2831259.1</v>
      </c>
      <c r="AD166" s="12">
        <f>AC166*1000/L166</f>
        <v>2814.2609637787764</v>
      </c>
    </row>
    <row r="167" spans="1:30">
      <c r="B167" s="47" t="s">
        <v>127</v>
      </c>
      <c r="C167" s="103"/>
      <c r="D167" s="13"/>
      <c r="E167" s="13"/>
      <c r="F167" s="14">
        <f>I166/L166/1.95</f>
        <v>0</v>
      </c>
      <c r="G167" s="14">
        <f>J166/L166/0.35</f>
        <v>0</v>
      </c>
      <c r="H167" s="14">
        <f>K166/L166/0.075</f>
        <v>0</v>
      </c>
      <c r="I167" s="15"/>
      <c r="J167" s="15"/>
      <c r="K167" s="15"/>
      <c r="L167" s="15"/>
      <c r="M167" s="15"/>
      <c r="N167" s="13"/>
      <c r="O167" s="14">
        <f>O166/L166</f>
        <v>0.26489900997972249</v>
      </c>
      <c r="P167" s="14">
        <f>P166/M166</f>
        <v>0.20418497253883172</v>
      </c>
      <c r="Q167" s="13"/>
      <c r="R167" s="13"/>
      <c r="S167" s="14">
        <f>S166/R166</f>
        <v>0.62912205567451818</v>
      </c>
      <c r="T167" s="16"/>
      <c r="U167" s="16"/>
      <c r="V167" s="13">
        <f t="shared" ref="V167" si="159">0.122*L166</f>
        <v>122736.87999999999</v>
      </c>
      <c r="W167" s="13"/>
      <c r="X167" s="13"/>
      <c r="Y167" s="13">
        <f>8212</f>
        <v>8212</v>
      </c>
      <c r="Z167" s="17"/>
      <c r="AA167" s="18"/>
      <c r="AB167" s="13"/>
      <c r="AC167" s="18"/>
      <c r="AD167" s="18"/>
    </row>
    <row r="168" spans="1:30" s="20" customFormat="1">
      <c r="A168" s="49" t="s">
        <v>129</v>
      </c>
      <c r="B168" s="50" t="s">
        <v>127</v>
      </c>
      <c r="C168" s="104" t="s">
        <v>80</v>
      </c>
      <c r="D168" s="24">
        <f t="shared" ref="D168:T168" si="160">SUM(D166,D164,D162,D160,D158,D156,D154,D152,D150,D148,D146,D144)</f>
        <v>41200</v>
      </c>
      <c r="E168" s="24">
        <f t="shared" si="160"/>
        <v>300</v>
      </c>
      <c r="F168" s="24">
        <f t="shared" si="160"/>
        <v>21692</v>
      </c>
      <c r="G168" s="24">
        <f t="shared" si="160"/>
        <v>10570</v>
      </c>
      <c r="H168" s="24">
        <f t="shared" si="160"/>
        <v>630</v>
      </c>
      <c r="I168" s="19">
        <f t="shared" si="160"/>
        <v>0</v>
      </c>
      <c r="J168" s="19">
        <f t="shared" si="160"/>
        <v>0</v>
      </c>
      <c r="K168" s="19">
        <f t="shared" si="160"/>
        <v>0</v>
      </c>
      <c r="L168" s="19">
        <f t="shared" si="160"/>
        <v>17976117</v>
      </c>
      <c r="M168" s="19">
        <f t="shared" si="160"/>
        <v>9533067</v>
      </c>
      <c r="N168" s="24">
        <f t="shared" si="160"/>
        <v>49320</v>
      </c>
      <c r="O168" s="24">
        <f>O144+O146+O148+O150+O152+O154+O156+O158+O160+O162+O164+O166</f>
        <v>5841397</v>
      </c>
      <c r="P168" s="24">
        <f t="shared" si="160"/>
        <v>2329864</v>
      </c>
      <c r="Q168" s="24">
        <f>Q144+Q146+Q148+Q150+Q152+Q154+Q156+Q158+Q160+Q162+Q164+Q166</f>
        <v>391560</v>
      </c>
      <c r="R168" s="24">
        <f t="shared" si="160"/>
        <v>148586</v>
      </c>
      <c r="S168" s="24">
        <f t="shared" si="160"/>
        <v>73353</v>
      </c>
      <c r="T168" s="24">
        <f t="shared" si="160"/>
        <v>165634</v>
      </c>
      <c r="U168" s="21">
        <f>V168/V169</f>
        <v>0.49659651465220933</v>
      </c>
      <c r="V168" s="24">
        <f>SUM(V166,V164,V162,V160,V158,V156,V154,V152,V150,V148,V146,V144)</f>
        <v>1089079</v>
      </c>
      <c r="W168" s="24">
        <f>SUM(W166,W164,W162,W160,W158,W156,W154,W152,W150,W148,W146,W144)</f>
        <v>1872130</v>
      </c>
      <c r="X168" s="24">
        <f>SUM(X166,X164,X162,X160,X158,X156,X154,X152,X150,X148,X146,X144)</f>
        <v>604435</v>
      </c>
      <c r="Y168" s="24">
        <f>SUM(Y166,Y164,Y162,Y160,Y158,Y156,Y154,Y152,Y150,Y148,Y146,Y144)</f>
        <v>801</v>
      </c>
      <c r="Z168" s="21">
        <f>AA168/AC168</f>
        <v>0.11640711668764088</v>
      </c>
      <c r="AA168" s="22">
        <f>SUM(AA144:AA166)</f>
        <v>3523325.2</v>
      </c>
      <c r="AB168" s="24">
        <f>SUM(AB166,AB164,AB162,AB160,AB158,AB156,AB154,AB152,AB150,AB148,AB146,AB144)</f>
        <v>3150546</v>
      </c>
      <c r="AC168" s="22">
        <f>SUM(AC144:AC166)</f>
        <v>30267266.299999997</v>
      </c>
      <c r="AD168" s="22">
        <f>AC168*1000/L168</f>
        <v>1683.7488485416509</v>
      </c>
    </row>
    <row r="169" spans="1:30" s="20" customFormat="1">
      <c r="A169" s="49" t="s">
        <v>129</v>
      </c>
      <c r="B169" s="50" t="s">
        <v>127</v>
      </c>
      <c r="C169" s="105"/>
      <c r="D169" s="26"/>
      <c r="E169" s="26"/>
      <c r="F169" s="23">
        <f>I168/L168/1.95</f>
        <v>0</v>
      </c>
      <c r="G169" s="23">
        <f>J168/L168/0.35</f>
        <v>0</v>
      </c>
      <c r="H169" s="23">
        <f>K168/L168/0.075</f>
        <v>0</v>
      </c>
      <c r="I169" s="19"/>
      <c r="J169" s="19"/>
      <c r="K169" s="19"/>
      <c r="L169" s="19"/>
      <c r="M169" s="19"/>
      <c r="N169" s="26"/>
      <c r="O169" s="23">
        <f>O168/L168</f>
        <v>0.32495321431207863</v>
      </c>
      <c r="P169" s="23">
        <f>P168/M168</f>
        <v>0.24439815643800678</v>
      </c>
      <c r="Q169" s="26"/>
      <c r="R169" s="26"/>
      <c r="S169" s="23">
        <f>S168/R168</f>
        <v>0.4936736973873716</v>
      </c>
      <c r="T169" s="28"/>
      <c r="U169" s="28"/>
      <c r="V169" s="26">
        <f>SUM(V167,V165,V163,V161,V159,V157,V155,V153,V151,V149,V147,V145)</f>
        <v>2193086.2739999997</v>
      </c>
      <c r="W169" s="26"/>
      <c r="X169" s="26"/>
      <c r="Y169" s="26">
        <f>SUM(Y167,Y165,Y163,Y161,Y159,Y157,Y155,Y153,Y151,Y149,Y147,Y145)</f>
        <v>164833</v>
      </c>
      <c r="Z169" s="29"/>
      <c r="AA169" s="30"/>
      <c r="AB169" s="26"/>
      <c r="AC169" s="30"/>
      <c r="AD169" s="30"/>
    </row>
    <row r="170" spans="1:30" s="95" customFormat="1">
      <c r="A170" s="90"/>
      <c r="B170" s="91" t="s">
        <v>128</v>
      </c>
      <c r="C170" s="108" t="s">
        <v>81</v>
      </c>
      <c r="D170" s="92">
        <v>1754</v>
      </c>
      <c r="E170" s="92">
        <v>21</v>
      </c>
      <c r="F170" s="92">
        <v>555</v>
      </c>
      <c r="G170" s="92">
        <v>845</v>
      </c>
      <c r="H170" s="92">
        <v>51</v>
      </c>
      <c r="I170" s="92"/>
      <c r="J170" s="92"/>
      <c r="K170" s="92"/>
      <c r="L170" s="57">
        <v>898830</v>
      </c>
      <c r="M170" s="57">
        <v>461625</v>
      </c>
      <c r="N170" s="92">
        <v>3977</v>
      </c>
      <c r="O170" s="92">
        <v>312295</v>
      </c>
      <c r="P170" s="92">
        <v>113984</v>
      </c>
      <c r="Q170" s="92">
        <v>25041</v>
      </c>
      <c r="R170" s="92">
        <v>4370</v>
      </c>
      <c r="S170" s="92">
        <v>1853</v>
      </c>
      <c r="T170" s="93">
        <f>Y170+Y171</f>
        <v>12565</v>
      </c>
      <c r="U170" s="94">
        <f>V170/V171</f>
        <v>0.42066526192611414</v>
      </c>
      <c r="V170" s="92">
        <v>46129</v>
      </c>
      <c r="W170" s="92">
        <v>105596</v>
      </c>
      <c r="X170" s="92">
        <v>33772</v>
      </c>
      <c r="Y170" s="92">
        <v>30</v>
      </c>
      <c r="Z170" s="94">
        <f>AA170/AC170</f>
        <v>0.12161930001798676</v>
      </c>
      <c r="AA170" s="53">
        <f>663177.2</f>
        <v>663177.19999999995</v>
      </c>
      <c r="AB170" s="92">
        <v>205379</v>
      </c>
      <c r="AC170" s="53">
        <f>5452894.4</f>
        <v>5452894.4000000004</v>
      </c>
      <c r="AD170" s="53">
        <f>AC170*1000/L170</f>
        <v>6066.6582112301548</v>
      </c>
    </row>
    <row r="171" spans="1:30" s="95" customFormat="1">
      <c r="A171" s="90"/>
      <c r="B171" s="91" t="s">
        <v>128</v>
      </c>
      <c r="C171" s="109"/>
      <c r="D171" s="96"/>
      <c r="E171" s="96"/>
      <c r="F171" s="97">
        <f>I170/L170/1.95</f>
        <v>0</v>
      </c>
      <c r="G171" s="97">
        <f>J170/L170/0.35</f>
        <v>0</v>
      </c>
      <c r="H171" s="97">
        <f>K170/L170/0.075</f>
        <v>0</v>
      </c>
      <c r="I171" s="96"/>
      <c r="J171" s="96"/>
      <c r="K171" s="96"/>
      <c r="L171" s="15"/>
      <c r="M171" s="15"/>
      <c r="N171" s="96"/>
      <c r="O171" s="97">
        <f>O170/L170</f>
        <v>0.34744612440617245</v>
      </c>
      <c r="P171" s="97">
        <f>P170/M170</f>
        <v>0.24691903601408069</v>
      </c>
      <c r="Q171" s="96"/>
      <c r="R171" s="96"/>
      <c r="S171" s="97">
        <f>S170/R170</f>
        <v>0.42402745995423341</v>
      </c>
      <c r="T171" s="98"/>
      <c r="U171" s="98"/>
      <c r="V171" s="96">
        <f>0.122*L170</f>
        <v>109657.26</v>
      </c>
      <c r="W171" s="96"/>
      <c r="X171" s="96"/>
      <c r="Y171" s="96">
        <v>12535</v>
      </c>
      <c r="Z171" s="99"/>
      <c r="AA171" s="75"/>
      <c r="AB171" s="96"/>
      <c r="AC171" s="75"/>
      <c r="AD171" s="75"/>
    </row>
    <row r="172" spans="1:30">
      <c r="B172" s="47" t="s">
        <v>128</v>
      </c>
      <c r="C172" s="102" t="s">
        <v>82</v>
      </c>
      <c r="D172" s="8">
        <v>671</v>
      </c>
      <c r="E172" s="8">
        <v>0</v>
      </c>
      <c r="F172" s="8">
        <v>271</v>
      </c>
      <c r="G172" s="8">
        <v>183</v>
      </c>
      <c r="H172" s="8">
        <v>7</v>
      </c>
      <c r="I172" s="9"/>
      <c r="J172" s="9"/>
      <c r="K172" s="9"/>
      <c r="L172" s="57">
        <v>300309</v>
      </c>
      <c r="M172" s="57">
        <v>149599</v>
      </c>
      <c r="N172" s="8">
        <v>920</v>
      </c>
      <c r="O172" s="8">
        <v>76312</v>
      </c>
      <c r="P172" s="8">
        <v>25400</v>
      </c>
      <c r="Q172" s="8">
        <v>6318</v>
      </c>
      <c r="R172" s="8">
        <v>1133</v>
      </c>
      <c r="S172" s="8">
        <v>687</v>
      </c>
      <c r="T172" s="10">
        <f t="shared" ref="T172" si="161">Y172+Y173</f>
        <v>2376</v>
      </c>
      <c r="U172" s="11">
        <f>V172/V173</f>
        <v>0.70039880780719366</v>
      </c>
      <c r="V172" s="8">
        <v>25661</v>
      </c>
      <c r="W172" s="8">
        <v>23781</v>
      </c>
      <c r="X172" s="8">
        <v>20676</v>
      </c>
      <c r="Y172" s="8">
        <v>15</v>
      </c>
      <c r="Z172" s="11">
        <f>AA172/AC172</f>
        <v>0.17096187537929755</v>
      </c>
      <c r="AA172" s="12">
        <f>342641.5</f>
        <v>342641.5</v>
      </c>
      <c r="AB172" s="8">
        <f>69578</f>
        <v>69578</v>
      </c>
      <c r="AC172" s="12">
        <f>2004198.3</f>
        <v>2004198.3</v>
      </c>
      <c r="AD172" s="53">
        <f>AC172*1000/L172</f>
        <v>6673.7869993906279</v>
      </c>
    </row>
    <row r="173" spans="1:30">
      <c r="B173" s="47" t="s">
        <v>128</v>
      </c>
      <c r="C173" s="103"/>
      <c r="D173" s="13"/>
      <c r="E173" s="13"/>
      <c r="F173" s="14">
        <f>I172/L172/1.95</f>
        <v>0</v>
      </c>
      <c r="G173" s="14">
        <f>J172/L172/0.35</f>
        <v>0</v>
      </c>
      <c r="H173" s="14">
        <f>K172/L172/0.075</f>
        <v>0</v>
      </c>
      <c r="I173" s="15"/>
      <c r="J173" s="15"/>
      <c r="K173" s="15"/>
      <c r="L173" s="15"/>
      <c r="M173" s="15"/>
      <c r="N173" s="13"/>
      <c r="O173" s="14">
        <f>O172/L172</f>
        <v>0.25411159838699471</v>
      </c>
      <c r="P173" s="14">
        <f>P172/M172</f>
        <v>0.16978723119806952</v>
      </c>
      <c r="Q173" s="13"/>
      <c r="R173" s="13"/>
      <c r="S173" s="14">
        <f>S172/R172</f>
        <v>0.6063548102383054</v>
      </c>
      <c r="T173" s="16"/>
      <c r="U173" s="16"/>
      <c r="V173" s="13">
        <f t="shared" ref="V173" si="162">0.122*L172</f>
        <v>36637.697999999997</v>
      </c>
      <c r="W173" s="13"/>
      <c r="X173" s="13"/>
      <c r="Y173" s="13">
        <f>2361</f>
        <v>2361</v>
      </c>
      <c r="Z173" s="17"/>
      <c r="AA173" s="18"/>
      <c r="AB173" s="13"/>
      <c r="AC173" s="18"/>
      <c r="AD173" s="75"/>
    </row>
    <row r="174" spans="1:30">
      <c r="B174" s="47" t="s">
        <v>128</v>
      </c>
      <c r="C174" s="102" t="s">
        <v>83</v>
      </c>
      <c r="D174" s="8">
        <v>3236</v>
      </c>
      <c r="E174" s="8">
        <v>26</v>
      </c>
      <c r="F174" s="8">
        <v>1783</v>
      </c>
      <c r="G174" s="8">
        <v>1083</v>
      </c>
      <c r="H174" s="8">
        <v>51</v>
      </c>
      <c r="I174" s="9"/>
      <c r="J174" s="9"/>
      <c r="K174" s="9"/>
      <c r="L174" s="57">
        <v>1814374</v>
      </c>
      <c r="M174" s="57">
        <v>937823</v>
      </c>
      <c r="N174" s="8">
        <v>3162</v>
      </c>
      <c r="O174" s="8">
        <v>581622</v>
      </c>
      <c r="P174" s="8">
        <v>197752</v>
      </c>
      <c r="Q174" s="8">
        <v>36310</v>
      </c>
      <c r="R174" s="8">
        <v>5577</v>
      </c>
      <c r="S174" s="8">
        <v>2093</v>
      </c>
      <c r="T174" s="10">
        <f t="shared" ref="T174" si="163">Y174+Y175</f>
        <v>15870</v>
      </c>
      <c r="U174" s="11">
        <f>V174/V175</f>
        <v>0.41692562635567015</v>
      </c>
      <c r="V174" s="8">
        <v>92288</v>
      </c>
      <c r="W174" s="8">
        <v>181953</v>
      </c>
      <c r="X174" s="8">
        <v>39926</v>
      </c>
      <c r="Y174" s="8">
        <v>223</v>
      </c>
      <c r="Z174" s="11">
        <f>AA174/AC174</f>
        <v>0.47211143063860361</v>
      </c>
      <c r="AA174" s="12">
        <f>3898659.7</f>
        <v>3898659.7</v>
      </c>
      <c r="AB174" s="8">
        <f>285877</f>
        <v>285877</v>
      </c>
      <c r="AC174" s="12">
        <f>8257922.7</f>
        <v>8257922.7000000002</v>
      </c>
      <c r="AD174" s="53">
        <f>AC174*1000/L174</f>
        <v>4551.3894599459645</v>
      </c>
    </row>
    <row r="175" spans="1:30">
      <c r="B175" s="47" t="s">
        <v>128</v>
      </c>
      <c r="C175" s="103"/>
      <c r="D175" s="13"/>
      <c r="E175" s="13"/>
      <c r="F175" s="14">
        <f>I174/L174/1.95</f>
        <v>0</v>
      </c>
      <c r="G175" s="14">
        <f>J174/L174/0.35</f>
        <v>0</v>
      </c>
      <c r="H175" s="14">
        <f>K174/L174/0.075</f>
        <v>0</v>
      </c>
      <c r="I175" s="15"/>
      <c r="J175" s="15"/>
      <c r="K175" s="15"/>
      <c r="L175" s="15"/>
      <c r="M175" s="15"/>
      <c r="N175" s="13"/>
      <c r="O175" s="14">
        <f>O174/L174</f>
        <v>0.32056345604599712</v>
      </c>
      <c r="P175" s="14">
        <f>P174/M174</f>
        <v>0.21086281739731272</v>
      </c>
      <c r="Q175" s="13"/>
      <c r="R175" s="13"/>
      <c r="S175" s="14">
        <f>S174/R174</f>
        <v>0.3752913752913753</v>
      </c>
      <c r="T175" s="16"/>
      <c r="U175" s="16"/>
      <c r="V175" s="13">
        <f t="shared" ref="V175" si="164">0.122*L174</f>
        <v>221353.628</v>
      </c>
      <c r="W175" s="13"/>
      <c r="X175" s="13"/>
      <c r="Y175" s="13">
        <f>15647</f>
        <v>15647</v>
      </c>
      <c r="Z175" s="17"/>
      <c r="AA175" s="18"/>
      <c r="AB175" s="13"/>
      <c r="AC175" s="18"/>
      <c r="AD175" s="75"/>
    </row>
    <row r="176" spans="1:30">
      <c r="B176" s="47" t="s">
        <v>128</v>
      </c>
      <c r="C176" s="102" t="s">
        <v>84</v>
      </c>
      <c r="D176" s="8">
        <v>2931</v>
      </c>
      <c r="E176" s="8">
        <v>15</v>
      </c>
      <c r="F176" s="8">
        <v>1614</v>
      </c>
      <c r="G176" s="8">
        <v>547</v>
      </c>
      <c r="H176" s="8">
        <v>64</v>
      </c>
      <c r="I176" s="9"/>
      <c r="J176" s="9"/>
      <c r="K176" s="9"/>
      <c r="L176" s="57">
        <v>1251000</v>
      </c>
      <c r="M176" s="57">
        <v>649423</v>
      </c>
      <c r="N176" s="8">
        <v>3450</v>
      </c>
      <c r="O176" s="8">
        <v>439091</v>
      </c>
      <c r="P176" s="8">
        <v>166277</v>
      </c>
      <c r="Q176" s="8">
        <v>21845</v>
      </c>
      <c r="R176" s="8">
        <v>10318</v>
      </c>
      <c r="S176" s="8">
        <v>7911</v>
      </c>
      <c r="T176" s="10">
        <f t="shared" ref="T176" si="165">Y176+Y177</f>
        <v>29943</v>
      </c>
      <c r="U176" s="11">
        <f>V176/V177</f>
        <v>0.72730012711142566</v>
      </c>
      <c r="V176" s="8">
        <v>111002</v>
      </c>
      <c r="W176" s="8">
        <v>136540</v>
      </c>
      <c r="X176" s="8">
        <v>54299</v>
      </c>
      <c r="Y176" s="8">
        <v>81</v>
      </c>
      <c r="Z176" s="11">
        <f>AA176/AC176</f>
        <v>0.32410837124952319</v>
      </c>
      <c r="AA176" s="12">
        <f>2049530.4</f>
        <v>2049530.4</v>
      </c>
      <c r="AB176" s="8">
        <f>170346</f>
        <v>170346</v>
      </c>
      <c r="AC176" s="12">
        <f>6323596</f>
        <v>6323596</v>
      </c>
      <c r="AD176" s="53">
        <f>AC176*1000/L176</f>
        <v>5054.8329336530778</v>
      </c>
    </row>
    <row r="177" spans="1:30">
      <c r="B177" s="47" t="s">
        <v>128</v>
      </c>
      <c r="C177" s="103"/>
      <c r="D177" s="13"/>
      <c r="E177" s="13"/>
      <c r="F177" s="14">
        <f>I176/L176/1.95</f>
        <v>0</v>
      </c>
      <c r="G177" s="14">
        <f>J176/L176/0.35</f>
        <v>0</v>
      </c>
      <c r="H177" s="14">
        <f>K176/L176/0.075</f>
        <v>0</v>
      </c>
      <c r="I177" s="15"/>
      <c r="J177" s="15"/>
      <c r="K177" s="15"/>
      <c r="L177" s="15"/>
      <c r="M177" s="15"/>
      <c r="N177" s="13"/>
      <c r="O177" s="14">
        <f>O176/L176</f>
        <v>0.35099200639488409</v>
      </c>
      <c r="P177" s="14">
        <f>P176/M176</f>
        <v>0.25603805224021942</v>
      </c>
      <c r="Q177" s="13"/>
      <c r="R177" s="13"/>
      <c r="S177" s="14">
        <f>S176/R176</f>
        <v>0.76671835627059504</v>
      </c>
      <c r="T177" s="16"/>
      <c r="U177" s="16"/>
      <c r="V177" s="13">
        <f t="shared" ref="V177" si="166">0.122*L176</f>
        <v>152622</v>
      </c>
      <c r="W177" s="13"/>
      <c r="X177" s="13"/>
      <c r="Y177" s="13">
        <f>29862</f>
        <v>29862</v>
      </c>
      <c r="Z177" s="17"/>
      <c r="AA177" s="18"/>
      <c r="AB177" s="13"/>
      <c r="AC177" s="18"/>
      <c r="AD177" s="75"/>
    </row>
    <row r="178" spans="1:30">
      <c r="B178" s="47" t="s">
        <v>128</v>
      </c>
      <c r="C178" s="102" t="s">
        <v>85</v>
      </c>
      <c r="D178" s="8">
        <v>2168</v>
      </c>
      <c r="E178" s="8">
        <v>26</v>
      </c>
      <c r="F178" s="8">
        <v>1214</v>
      </c>
      <c r="G178" s="8">
        <v>562</v>
      </c>
      <c r="H178" s="8">
        <v>13</v>
      </c>
      <c r="I178" s="9"/>
      <c r="J178" s="9"/>
      <c r="K178" s="9"/>
      <c r="L178" s="57">
        <v>757115</v>
      </c>
      <c r="M178" s="57">
        <v>396291</v>
      </c>
      <c r="N178" s="8">
        <v>1734</v>
      </c>
      <c r="O178" s="8">
        <v>164270</v>
      </c>
      <c r="P178" s="8">
        <v>62627</v>
      </c>
      <c r="Q178" s="8">
        <v>3121</v>
      </c>
      <c r="R178" s="8">
        <v>4468</v>
      </c>
      <c r="S178" s="8">
        <v>3247</v>
      </c>
      <c r="T178" s="10">
        <f t="shared" ref="T178" si="167">Y178+Y179</f>
        <v>6493</v>
      </c>
      <c r="U178" s="11">
        <f>V178/V179</f>
        <v>0.6290488169986953</v>
      </c>
      <c r="V178" s="8">
        <v>58104</v>
      </c>
      <c r="W178" s="8">
        <v>58856</v>
      </c>
      <c r="X178" s="8">
        <v>18695</v>
      </c>
      <c r="Y178" s="8">
        <v>7</v>
      </c>
      <c r="Z178" s="11">
        <f>AA178/AC178</f>
        <v>0.12177444669247206</v>
      </c>
      <c r="AA178" s="12">
        <f>146913.6</f>
        <v>146913.60000000001</v>
      </c>
      <c r="AB178" s="8">
        <f>114228</f>
        <v>114228</v>
      </c>
      <c r="AC178" s="12">
        <f>1206440.3</f>
        <v>1206440.3</v>
      </c>
      <c r="AD178" s="53">
        <f>AC178*1000/L178</f>
        <v>1593.4703446636245</v>
      </c>
    </row>
    <row r="179" spans="1:30">
      <c r="B179" s="47" t="s">
        <v>128</v>
      </c>
      <c r="C179" s="103"/>
      <c r="D179" s="13"/>
      <c r="E179" s="13"/>
      <c r="F179" s="14">
        <f>I178/L178/1.95</f>
        <v>0</v>
      </c>
      <c r="G179" s="14">
        <f>J178/L178/0.35</f>
        <v>0</v>
      </c>
      <c r="H179" s="14">
        <f>K178/L178/0.075</f>
        <v>0</v>
      </c>
      <c r="I179" s="15"/>
      <c r="J179" s="15"/>
      <c r="K179" s="15"/>
      <c r="L179" s="15"/>
      <c r="M179" s="15"/>
      <c r="N179" s="13"/>
      <c r="O179" s="14">
        <f>O178/L178</f>
        <v>0.21696836015664728</v>
      </c>
      <c r="P179" s="14">
        <f>P178/M178</f>
        <v>0.15803285969148934</v>
      </c>
      <c r="Q179" s="13"/>
      <c r="R179" s="13"/>
      <c r="S179" s="14">
        <f>S178/R178</f>
        <v>0.7267233661593554</v>
      </c>
      <c r="T179" s="16"/>
      <c r="U179" s="16"/>
      <c r="V179" s="13">
        <f t="shared" ref="V179" si="168">0.122*L178</f>
        <v>92368.03</v>
      </c>
      <c r="W179" s="13"/>
      <c r="X179" s="13"/>
      <c r="Y179" s="13">
        <f>6486</f>
        <v>6486</v>
      </c>
      <c r="Z179" s="17"/>
      <c r="AA179" s="18"/>
      <c r="AB179" s="13"/>
      <c r="AC179" s="18"/>
      <c r="AD179" s="75"/>
    </row>
    <row r="180" spans="1:30">
      <c r="B180" s="47" t="s">
        <v>128</v>
      </c>
      <c r="C180" s="102" t="s">
        <v>86</v>
      </c>
      <c r="D180" s="8">
        <v>357</v>
      </c>
      <c r="E180" s="8">
        <v>1</v>
      </c>
      <c r="F180" s="8">
        <v>143</v>
      </c>
      <c r="G180" s="8">
        <v>117</v>
      </c>
      <c r="H180" s="8">
        <v>6</v>
      </c>
      <c r="I180" s="9"/>
      <c r="J180" s="9"/>
      <c r="K180" s="9"/>
      <c r="L180" s="57">
        <v>139607</v>
      </c>
      <c r="M180" s="57">
        <v>71758</v>
      </c>
      <c r="N180" s="8">
        <v>410</v>
      </c>
      <c r="O180" s="8">
        <v>40206</v>
      </c>
      <c r="P180" s="8">
        <v>18013</v>
      </c>
      <c r="Q180" s="8">
        <v>161</v>
      </c>
      <c r="R180" s="8">
        <v>338</v>
      </c>
      <c r="S180" s="8">
        <v>46</v>
      </c>
      <c r="T180" s="10">
        <f t="shared" ref="T180" si="169">Y180+Y181</f>
        <v>1690</v>
      </c>
      <c r="U180" s="11">
        <f>V180/V181</f>
        <v>0.57931944086133125</v>
      </c>
      <c r="V180" s="8">
        <v>9867</v>
      </c>
      <c r="W180" s="8">
        <v>14691</v>
      </c>
      <c r="X180" s="8">
        <v>5823</v>
      </c>
      <c r="Y180" s="8">
        <v>8</v>
      </c>
      <c r="Z180" s="11">
        <f>AA180/AC180</f>
        <v>4.6826916531463071E-2</v>
      </c>
      <c r="AA180" s="12">
        <f>37283.9</f>
        <v>37283.9</v>
      </c>
      <c r="AB180" s="8">
        <f>33119</f>
        <v>33119</v>
      </c>
      <c r="AC180" s="12">
        <f>796206.6</f>
        <v>796206.6</v>
      </c>
      <c r="AD180" s="53">
        <f>AC180*1000/L180</f>
        <v>5703.1996962903004</v>
      </c>
    </row>
    <row r="181" spans="1:30">
      <c r="B181" s="47" t="s">
        <v>128</v>
      </c>
      <c r="C181" s="103"/>
      <c r="D181" s="13"/>
      <c r="E181" s="13"/>
      <c r="F181" s="14">
        <f>I180/L180/1.95</f>
        <v>0</v>
      </c>
      <c r="G181" s="14">
        <f>J180/L180/0.35</f>
        <v>0</v>
      </c>
      <c r="H181" s="14">
        <f>K180/L180/0.075</f>
        <v>0</v>
      </c>
      <c r="I181" s="15"/>
      <c r="J181" s="15"/>
      <c r="K181" s="15"/>
      <c r="L181" s="15"/>
      <c r="M181" s="15"/>
      <c r="N181" s="13"/>
      <c r="O181" s="14">
        <f>O180/L180</f>
        <v>0.28799415502088005</v>
      </c>
      <c r="P181" s="14">
        <f>P180/M180</f>
        <v>0.25102427603890853</v>
      </c>
      <c r="Q181" s="13"/>
      <c r="R181" s="13"/>
      <c r="S181" s="14">
        <f>S180/R180</f>
        <v>0.13609467455621302</v>
      </c>
      <c r="T181" s="16"/>
      <c r="U181" s="16"/>
      <c r="V181" s="13">
        <f t="shared" ref="V181" si="170">0.122*L180</f>
        <v>17032.054</v>
      </c>
      <c r="W181" s="13"/>
      <c r="X181" s="13"/>
      <c r="Y181" s="13">
        <f>1682</f>
        <v>1682</v>
      </c>
      <c r="Z181" s="17"/>
      <c r="AA181" s="18"/>
      <c r="AB181" s="13"/>
      <c r="AC181" s="18"/>
      <c r="AD181" s="75"/>
    </row>
    <row r="182" spans="1:30">
      <c r="B182" s="47" t="s">
        <v>128</v>
      </c>
      <c r="C182" s="102" t="s">
        <v>87</v>
      </c>
      <c r="D182" s="8">
        <v>1064</v>
      </c>
      <c r="E182" s="8">
        <v>3</v>
      </c>
      <c r="F182" s="8">
        <v>441</v>
      </c>
      <c r="G182" s="8">
        <v>245</v>
      </c>
      <c r="H182" s="8">
        <v>14</v>
      </c>
      <c r="I182" s="9"/>
      <c r="J182" s="9"/>
      <c r="K182" s="9"/>
      <c r="L182" s="57">
        <v>459469</v>
      </c>
      <c r="M182" s="57">
        <v>237217</v>
      </c>
      <c r="N182" s="8">
        <v>1268</v>
      </c>
      <c r="O182" s="8">
        <v>179875</v>
      </c>
      <c r="P182" s="8">
        <v>61297</v>
      </c>
      <c r="Q182" s="8">
        <v>15158</v>
      </c>
      <c r="R182" s="8">
        <v>1518</v>
      </c>
      <c r="S182" s="8">
        <v>975</v>
      </c>
      <c r="T182" s="10">
        <f t="shared" ref="T182" si="171">Y182+Y183</f>
        <v>3709</v>
      </c>
      <c r="U182" s="11">
        <f>V182/V183</f>
        <v>0.45162610909835371</v>
      </c>
      <c r="V182" s="8">
        <v>25316</v>
      </c>
      <c r="W182" s="8">
        <v>59556</v>
      </c>
      <c r="X182" s="8">
        <v>16879</v>
      </c>
      <c r="Y182" s="8">
        <v>10</v>
      </c>
      <c r="Z182" s="11">
        <f>AA182/AC182</f>
        <v>3.0743839167301151E-2</v>
      </c>
      <c r="AA182" s="12">
        <f>189587</f>
        <v>189587</v>
      </c>
      <c r="AB182" s="8">
        <f>93826</f>
        <v>93826</v>
      </c>
      <c r="AC182" s="12">
        <f>6166666.4</f>
        <v>6166666.4000000004</v>
      </c>
      <c r="AD182" s="53">
        <f>AC182*1000/L182</f>
        <v>13421.289357932745</v>
      </c>
    </row>
    <row r="183" spans="1:30">
      <c r="B183" s="47" t="s">
        <v>128</v>
      </c>
      <c r="C183" s="103"/>
      <c r="D183" s="13"/>
      <c r="E183" s="13"/>
      <c r="F183" s="14">
        <f>I182/L182/1.95</f>
        <v>0</v>
      </c>
      <c r="G183" s="14">
        <f>J182/L182/0.35</f>
        <v>0</v>
      </c>
      <c r="H183" s="14">
        <f>K182/L182/0.075</f>
        <v>0</v>
      </c>
      <c r="I183" s="15"/>
      <c r="J183" s="15"/>
      <c r="K183" s="15"/>
      <c r="L183" s="15"/>
      <c r="M183" s="15"/>
      <c r="N183" s="13"/>
      <c r="O183" s="14">
        <f>O182/L182</f>
        <v>0.39148451799794981</v>
      </c>
      <c r="P183" s="14">
        <f>P182/M182</f>
        <v>0.25840053621789333</v>
      </c>
      <c r="Q183" s="13"/>
      <c r="R183" s="13"/>
      <c r="S183" s="14">
        <f>S182/R182</f>
        <v>0.64229249011857703</v>
      </c>
      <c r="T183" s="16"/>
      <c r="U183" s="16"/>
      <c r="V183" s="13">
        <f t="shared" ref="V183" si="172">0.122*L182</f>
        <v>56055.218000000001</v>
      </c>
      <c r="W183" s="13"/>
      <c r="X183" s="13"/>
      <c r="Y183" s="13">
        <f>3699</f>
        <v>3699</v>
      </c>
      <c r="Z183" s="17"/>
      <c r="AA183" s="18"/>
      <c r="AB183" s="13"/>
      <c r="AC183" s="18"/>
      <c r="AD183" s="75"/>
    </row>
    <row r="184" spans="1:30">
      <c r="B184" s="47" t="s">
        <v>128</v>
      </c>
      <c r="C184" s="108" t="s">
        <v>88</v>
      </c>
      <c r="D184" s="8">
        <v>415</v>
      </c>
      <c r="E184" s="8">
        <v>2</v>
      </c>
      <c r="F184" s="8">
        <v>252</v>
      </c>
      <c r="G184" s="8">
        <v>110</v>
      </c>
      <c r="H184" s="8">
        <v>3</v>
      </c>
      <c r="I184" s="9"/>
      <c r="J184" s="9"/>
      <c r="K184" s="9"/>
      <c r="L184" s="57">
        <v>156057</v>
      </c>
      <c r="M184" s="57">
        <v>81472</v>
      </c>
      <c r="N184" s="8">
        <v>350</v>
      </c>
      <c r="O184" s="8">
        <v>38678</v>
      </c>
      <c r="P184" s="8">
        <v>13256</v>
      </c>
      <c r="Q184" s="8">
        <v>1202</v>
      </c>
      <c r="R184" s="8">
        <v>374</v>
      </c>
      <c r="S184" s="8">
        <v>164</v>
      </c>
      <c r="T184" s="10">
        <f t="shared" ref="T184" si="173">Y184+Y185</f>
        <v>545</v>
      </c>
      <c r="U184" s="11">
        <f>V184/V185</f>
        <v>0.4954053673326802</v>
      </c>
      <c r="V184" s="8">
        <v>9432</v>
      </c>
      <c r="W184" s="8">
        <v>1538</v>
      </c>
      <c r="X184" s="8">
        <v>6131</v>
      </c>
      <c r="Y184" s="8">
        <v>1</v>
      </c>
      <c r="Z184" s="11">
        <f>AA184/AC184</f>
        <v>2.9867521253934683E-2</v>
      </c>
      <c r="AA184" s="12">
        <f>3146.4</f>
        <v>3146.4</v>
      </c>
      <c r="AB184" s="8">
        <v>19081</v>
      </c>
      <c r="AC184" s="12">
        <f>105345.2</f>
        <v>105345.2</v>
      </c>
      <c r="AD184" s="53">
        <f>AC184*1000/L184</f>
        <v>675.04309322875611</v>
      </c>
    </row>
    <row r="185" spans="1:30">
      <c r="B185" s="47" t="s">
        <v>128</v>
      </c>
      <c r="C185" s="109"/>
      <c r="D185" s="13"/>
      <c r="E185" s="13"/>
      <c r="F185" s="14">
        <f>I184/L184/1.95</f>
        <v>0</v>
      </c>
      <c r="G185" s="14">
        <f>J184/L184/0.35</f>
        <v>0</v>
      </c>
      <c r="H185" s="14">
        <f>K184/L184/0.075</f>
        <v>0</v>
      </c>
      <c r="I185" s="15"/>
      <c r="J185" s="15"/>
      <c r="K185" s="15"/>
      <c r="L185" s="15"/>
      <c r="M185" s="15"/>
      <c r="N185" s="13"/>
      <c r="O185" s="14">
        <f>O184/L184</f>
        <v>0.24784533856219201</v>
      </c>
      <c r="P185" s="14">
        <f>P184/M184</f>
        <v>0.16270620581304007</v>
      </c>
      <c r="Q185" s="13"/>
      <c r="R185" s="13"/>
      <c r="S185" s="14">
        <f>S184/R184</f>
        <v>0.43850267379679142</v>
      </c>
      <c r="T185" s="16"/>
      <c r="U185" s="16"/>
      <c r="V185" s="13">
        <f t="shared" ref="V185" si="174">0.122*L184</f>
        <v>19038.953999999998</v>
      </c>
      <c r="W185" s="13"/>
      <c r="X185" s="13"/>
      <c r="Y185" s="13">
        <v>544</v>
      </c>
      <c r="Z185" s="17"/>
      <c r="AA185" s="18"/>
      <c r="AB185" s="13"/>
      <c r="AC185" s="18"/>
      <c r="AD185" s="18"/>
    </row>
    <row r="186" spans="1:30">
      <c r="B186" s="47" t="s">
        <v>128</v>
      </c>
      <c r="C186" s="102" t="s">
        <v>89</v>
      </c>
      <c r="D186" s="8">
        <v>88</v>
      </c>
      <c r="E186" s="8">
        <v>0</v>
      </c>
      <c r="F186" s="8">
        <v>8</v>
      </c>
      <c r="G186" s="8">
        <v>53</v>
      </c>
      <c r="H186" s="8">
        <v>5</v>
      </c>
      <c r="I186" s="9"/>
      <c r="J186" s="9"/>
      <c r="K186" s="9"/>
      <c r="L186" s="57">
        <v>47966</v>
      </c>
      <c r="M186" s="57">
        <v>23510</v>
      </c>
      <c r="N186" s="8">
        <v>195</v>
      </c>
      <c r="O186" s="8">
        <v>14852</v>
      </c>
      <c r="P186" s="8">
        <v>5372</v>
      </c>
      <c r="Q186" s="8">
        <v>1326</v>
      </c>
      <c r="R186" s="8">
        <v>119</v>
      </c>
      <c r="S186" s="8">
        <v>47</v>
      </c>
      <c r="T186" s="10">
        <f t="shared" ref="T186" si="175">Y186+Y187</f>
        <v>293</v>
      </c>
      <c r="U186" s="11">
        <f>V186/V187</f>
        <v>0.46481011481493384</v>
      </c>
      <c r="V186" s="8">
        <v>2720</v>
      </c>
      <c r="W186" s="8">
        <v>2936</v>
      </c>
      <c r="X186" s="8">
        <v>2271</v>
      </c>
      <c r="Y186" s="8">
        <v>0</v>
      </c>
      <c r="Z186" s="11">
        <f>AA186/AC186</f>
        <v>7.2786703152844065E-2</v>
      </c>
      <c r="AA186" s="12">
        <f>18531.4</f>
        <v>18531.400000000001</v>
      </c>
      <c r="AB186" s="8">
        <f>9726</f>
        <v>9726</v>
      </c>
      <c r="AC186" s="12">
        <f>254598.7</f>
        <v>254598.7</v>
      </c>
      <c r="AD186" s="12">
        <f>AC186*1000/L186</f>
        <v>5307.8993453696366</v>
      </c>
    </row>
    <row r="187" spans="1:30">
      <c r="B187" s="47" t="s">
        <v>128</v>
      </c>
      <c r="C187" s="103"/>
      <c r="D187" s="13"/>
      <c r="E187" s="13"/>
      <c r="F187" s="14">
        <f>I186/L186/1.95</f>
        <v>0</v>
      </c>
      <c r="G187" s="14">
        <f>J186/L186/0.35</f>
        <v>0</v>
      </c>
      <c r="H187" s="14">
        <f>K186/L186/0.075</f>
        <v>0</v>
      </c>
      <c r="I187" s="15"/>
      <c r="J187" s="15"/>
      <c r="K187" s="15"/>
      <c r="L187" s="15"/>
      <c r="M187" s="15"/>
      <c r="N187" s="13"/>
      <c r="O187" s="14">
        <f>O186/L186</f>
        <v>0.30963599216111415</v>
      </c>
      <c r="P187" s="14">
        <f>P186/M186</f>
        <v>0.22849851127179924</v>
      </c>
      <c r="Q187" s="13"/>
      <c r="R187" s="13"/>
      <c r="S187" s="14">
        <f>S186/R186</f>
        <v>0.3949579831932773</v>
      </c>
      <c r="T187" s="16"/>
      <c r="U187" s="16"/>
      <c r="V187" s="13">
        <f t="shared" ref="V187" si="176">0.122*L186</f>
        <v>5851.8519999999999</v>
      </c>
      <c r="W187" s="13"/>
      <c r="X187" s="13"/>
      <c r="Y187" s="13">
        <v>293</v>
      </c>
      <c r="Z187" s="17"/>
      <c r="AA187" s="18"/>
      <c r="AB187" s="13"/>
      <c r="AC187" s="18"/>
      <c r="AD187" s="18"/>
    </row>
    <row r="188" spans="1:30" s="20" customFormat="1">
      <c r="A188" s="49" t="s">
        <v>129</v>
      </c>
      <c r="B188" s="50" t="s">
        <v>128</v>
      </c>
      <c r="C188" s="104" t="s">
        <v>90</v>
      </c>
      <c r="D188" s="24">
        <f t="shared" ref="D188:T188" si="177">SUM(D186,D184,D182,D180,D178,D176,D174,D172,D170)</f>
        <v>12684</v>
      </c>
      <c r="E188" s="24">
        <f t="shared" si="177"/>
        <v>94</v>
      </c>
      <c r="F188" s="24">
        <f t="shared" si="177"/>
        <v>6281</v>
      </c>
      <c r="G188" s="24">
        <f t="shared" si="177"/>
        <v>3745</v>
      </c>
      <c r="H188" s="24">
        <f t="shared" si="177"/>
        <v>214</v>
      </c>
      <c r="I188" s="25">
        <f t="shared" si="177"/>
        <v>0</v>
      </c>
      <c r="J188" s="25">
        <f t="shared" si="177"/>
        <v>0</v>
      </c>
      <c r="K188" s="25">
        <f t="shared" si="177"/>
        <v>0</v>
      </c>
      <c r="L188" s="25">
        <f t="shared" si="177"/>
        <v>5824727</v>
      </c>
      <c r="M188" s="25">
        <f t="shared" si="177"/>
        <v>3008718</v>
      </c>
      <c r="N188" s="24">
        <f t="shared" si="177"/>
        <v>15466</v>
      </c>
      <c r="O188" s="24">
        <f t="shared" si="177"/>
        <v>1847201</v>
      </c>
      <c r="P188" s="24">
        <f t="shared" si="177"/>
        <v>663978</v>
      </c>
      <c r="Q188" s="24">
        <f t="shared" si="177"/>
        <v>110482</v>
      </c>
      <c r="R188" s="24">
        <f t="shared" si="177"/>
        <v>28215</v>
      </c>
      <c r="S188" s="24">
        <f t="shared" si="177"/>
        <v>17023</v>
      </c>
      <c r="T188" s="24">
        <f t="shared" si="177"/>
        <v>73484</v>
      </c>
      <c r="U188" s="21">
        <f>V188/V189</f>
        <v>0.535477147121455</v>
      </c>
      <c r="V188" s="24">
        <f>SUM(V186,V184,V182,V180,V178,V176,V174,V172,V170)</f>
        <v>380519</v>
      </c>
      <c r="W188" s="24">
        <f>SUM(W186,W184,W182,W180,W178,W176,W174,W172,W170)</f>
        <v>585447</v>
      </c>
      <c r="X188" s="24">
        <f>SUM(X186,X184,X182,X180,X178,X176,X174,X172,X170)</f>
        <v>198472</v>
      </c>
      <c r="Y188" s="24">
        <f>SUM(Y186,Y184,Y182,Y180,Y178,Y176,Y174,Y172,Y170)</f>
        <v>375</v>
      </c>
      <c r="Z188" s="21">
        <f>AA188/AC188</f>
        <v>0.24043125793860554</v>
      </c>
      <c r="AA188" s="22">
        <f>SUM(AA170:AA186)</f>
        <v>7349471.1000000015</v>
      </c>
      <c r="AB188" s="24">
        <f>SUM(AB186,AB184,AB182,AB180,AB178,AB176,AB174,AB172,AB170)</f>
        <v>1001160</v>
      </c>
      <c r="AC188" s="22">
        <f>SUM(AC186+AC184+AC182+AC180+AC178+AC176+AC174+AC172+AC170)</f>
        <v>30567868.600000001</v>
      </c>
      <c r="AD188" s="22">
        <f>AC188*1000/L188</f>
        <v>5247.9487193133691</v>
      </c>
    </row>
    <row r="189" spans="1:30" s="20" customFormat="1">
      <c r="A189" s="49" t="s">
        <v>129</v>
      </c>
      <c r="B189" s="50" t="s">
        <v>128</v>
      </c>
      <c r="C189" s="105"/>
      <c r="D189" s="26"/>
      <c r="E189" s="26"/>
      <c r="F189" s="59">
        <f>I188/L188/1.95</f>
        <v>0</v>
      </c>
      <c r="G189" s="59">
        <f>J188/L188/0.35</f>
        <v>0</v>
      </c>
      <c r="H189" s="59">
        <f>K188/L188/0.075</f>
        <v>0</v>
      </c>
      <c r="I189" s="27"/>
      <c r="J189" s="27"/>
      <c r="K189" s="27"/>
      <c r="L189" s="27"/>
      <c r="M189" s="27"/>
      <c r="N189" s="26"/>
      <c r="O189" s="23">
        <f>O188/L188</f>
        <v>0.31713091446174213</v>
      </c>
      <c r="P189" s="23">
        <f>P188/M188</f>
        <v>0.22068469029001722</v>
      </c>
      <c r="Q189" s="26"/>
      <c r="R189" s="26"/>
      <c r="S189" s="23">
        <f>S188/R188</f>
        <v>0.60333156122629805</v>
      </c>
      <c r="T189" s="28"/>
      <c r="U189" s="28"/>
      <c r="V189" s="26">
        <f>SUM(V187,V185,V183,V181,V179,V177,V175,V173,V171)</f>
        <v>710616.69400000002</v>
      </c>
      <c r="W189" s="26"/>
      <c r="X189" s="26"/>
      <c r="Y189" s="26">
        <f>SUM(Y187,Y185,Y183,Y181,Y179,Y177,Y175,Y173,Y171)</f>
        <v>73109</v>
      </c>
      <c r="Z189" s="29"/>
      <c r="AA189" s="30"/>
      <c r="AB189" s="26"/>
      <c r="AC189" s="30"/>
      <c r="AD189" s="58"/>
    </row>
    <row r="190" spans="1:30" s="55" customFormat="1">
      <c r="A190" s="50" t="s">
        <v>129</v>
      </c>
      <c r="B190" s="50"/>
      <c r="C190" s="106" t="s">
        <v>91</v>
      </c>
      <c r="D190" s="24">
        <f t="shared" ref="D190:T190" si="178">SUM(D40+D64+D82+D98+D128+D142+D168+D188)</f>
        <v>290947</v>
      </c>
      <c r="E190" s="24">
        <f t="shared" si="178"/>
        <v>1771</v>
      </c>
      <c r="F190" s="24">
        <f t="shared" si="178"/>
        <v>154553</v>
      </c>
      <c r="G190" s="24">
        <f t="shared" si="178"/>
        <v>72122</v>
      </c>
      <c r="H190" s="24">
        <f t="shared" si="178"/>
        <v>5441</v>
      </c>
      <c r="I190" s="25">
        <f t="shared" si="178"/>
        <v>0</v>
      </c>
      <c r="J190" s="25">
        <f t="shared" si="178"/>
        <v>0</v>
      </c>
      <c r="K190" s="25">
        <f t="shared" si="178"/>
        <v>0</v>
      </c>
      <c r="L190" s="25">
        <f t="shared" si="178"/>
        <v>136240184</v>
      </c>
      <c r="M190" s="25">
        <f t="shared" si="178"/>
        <v>72415702</v>
      </c>
      <c r="N190" s="78">
        <f t="shared" si="178"/>
        <v>368644</v>
      </c>
      <c r="O190" s="78">
        <f>O40+O64+O82+O98+O128+O142+O168+O188</f>
        <v>46659209</v>
      </c>
      <c r="P190" s="78">
        <f t="shared" si="178"/>
        <v>18130052</v>
      </c>
      <c r="Q190" s="78">
        <f>Q188+Q168+Q142+Q128+Q98+Q82+Q64+Q40</f>
        <v>3388615</v>
      </c>
      <c r="R190" s="78">
        <f>R188+R168+R142+R128+R98+R82+R64+R40</f>
        <v>984943</v>
      </c>
      <c r="S190" s="78">
        <f t="shared" si="178"/>
        <v>505709</v>
      </c>
      <c r="T190" s="78">
        <f t="shared" si="178"/>
        <v>1518500</v>
      </c>
      <c r="U190" s="21">
        <f>V190/V191</f>
        <v>0.47571933816482825</v>
      </c>
      <c r="V190" s="24">
        <f>V188+V168+V142+V128+V98+V82+V64+V40</f>
        <v>7907075</v>
      </c>
      <c r="W190" s="24">
        <f>W40+W64+W82+W98+W128+W142+W168+W188</f>
        <v>16506756</v>
      </c>
      <c r="X190" s="24">
        <f>SUM(X40+X64+X82+X98+X128+X142+X168+X188)</f>
        <v>4338581</v>
      </c>
      <c r="Y190" s="24">
        <f>SUM(Y40+Y64+Y82+Y98+Y128+Y142+Y168+Y188)</f>
        <v>6831</v>
      </c>
      <c r="Z190" s="21">
        <f>AA190/AC190</f>
        <v>0.24437362323796732</v>
      </c>
      <c r="AA190" s="76">
        <f>SUM(AA40+AA64+AA82+AA98+AA128+AA142+AA168+AA188)</f>
        <v>95924095.800000012</v>
      </c>
      <c r="AB190" s="101">
        <f>SUM(AB40+AB64+AB82+AB98+AB128+AB142+AB168+AB188)</f>
        <v>25329260</v>
      </c>
      <c r="AC190" s="22">
        <f>SUM(AC40+AC64+AC82+AC98+AC128+AC142+AC168+AC188)</f>
        <v>392530480.70000005</v>
      </c>
      <c r="AD190" s="22">
        <f>AC190*1000/L190</f>
        <v>2881.1652272871274</v>
      </c>
    </row>
    <row r="191" spans="1:30" s="55" customFormat="1">
      <c r="A191" s="50" t="s">
        <v>129</v>
      </c>
      <c r="B191" s="50"/>
      <c r="C191" s="107"/>
      <c r="D191" s="26"/>
      <c r="E191" s="26"/>
      <c r="F191" s="23">
        <f>I190/L190/1.95</f>
        <v>0</v>
      </c>
      <c r="G191" s="23">
        <f>J190/L190/0.35</f>
        <v>0</v>
      </c>
      <c r="H191" s="23">
        <f>K190/L190/0.075</f>
        <v>0</v>
      </c>
      <c r="I191" s="27"/>
      <c r="J191" s="27"/>
      <c r="K191" s="27"/>
      <c r="L191" s="27"/>
      <c r="M191" s="27"/>
      <c r="N191" s="26"/>
      <c r="O191" s="23">
        <f>O190/L190</f>
        <v>0.34247758355934105</v>
      </c>
      <c r="P191" s="23">
        <f>P190/M190</f>
        <v>0.25036078501317299</v>
      </c>
      <c r="Q191" s="26"/>
      <c r="R191" s="26"/>
      <c r="S191" s="23">
        <f>S190/R190</f>
        <v>0.513439864032741</v>
      </c>
      <c r="T191" s="28"/>
      <c r="U191" s="28"/>
      <c r="V191" s="79">
        <f>SUM(V41+V65+V83+V99+V129+V143+V169+V189)</f>
        <v>16621302.448000001</v>
      </c>
      <c r="W191" s="26"/>
      <c r="X191" s="26"/>
      <c r="Y191" s="79">
        <f>SUM(Y41+Y65+Y83+Y99+Y129+Y143+Y169+Y189)</f>
        <v>1511669</v>
      </c>
      <c r="Z191" s="29"/>
      <c r="AA191" s="30"/>
      <c r="AB191" s="26"/>
      <c r="AC191" s="30"/>
      <c r="AD191" s="30"/>
    </row>
    <row r="197" spans="15:18">
      <c r="R197" s="73"/>
    </row>
    <row r="198" spans="15:18">
      <c r="O198" s="73"/>
    </row>
  </sheetData>
  <autoFilter ref="A3:AD191"/>
  <sortState ref="B3:AF88">
    <sortCondition ref="B3"/>
  </sortState>
  <mergeCells count="112">
    <mergeCell ref="D1:H1"/>
    <mergeCell ref="I1:K1"/>
    <mergeCell ref="L1:M1"/>
    <mergeCell ref="N1:N2"/>
    <mergeCell ref="O1:O2"/>
    <mergeCell ref="AD1:AD2"/>
    <mergeCell ref="P1:P2"/>
    <mergeCell ref="Q1:Q2"/>
    <mergeCell ref="R1:R2"/>
    <mergeCell ref="S1:S2"/>
    <mergeCell ref="T1:T2"/>
    <mergeCell ref="U1:U2"/>
    <mergeCell ref="W1:W2"/>
    <mergeCell ref="X1:X2"/>
    <mergeCell ref="Z1:AA1"/>
    <mergeCell ref="AB1:AB2"/>
    <mergeCell ref="AC1:AC2"/>
    <mergeCell ref="C12:C13"/>
    <mergeCell ref="C14:C15"/>
    <mergeCell ref="C16:C17"/>
    <mergeCell ref="C18:C19"/>
    <mergeCell ref="C20:C21"/>
    <mergeCell ref="C1:C2"/>
    <mergeCell ref="C4:C5"/>
    <mergeCell ref="C6:C7"/>
    <mergeCell ref="C8:C9"/>
    <mergeCell ref="C10:C11"/>
    <mergeCell ref="C32:C33"/>
    <mergeCell ref="C34:C35"/>
    <mergeCell ref="C36:C37"/>
    <mergeCell ref="C38:C39"/>
    <mergeCell ref="C40:C41"/>
    <mergeCell ref="C22:C23"/>
    <mergeCell ref="C24:C25"/>
    <mergeCell ref="C26:C27"/>
    <mergeCell ref="C28:C29"/>
    <mergeCell ref="C30:C31"/>
    <mergeCell ref="C52:C53"/>
    <mergeCell ref="C54:C55"/>
    <mergeCell ref="C56:C57"/>
    <mergeCell ref="C58:C59"/>
    <mergeCell ref="C60:C61"/>
    <mergeCell ref="C42:C43"/>
    <mergeCell ref="C44:C45"/>
    <mergeCell ref="C46:C47"/>
    <mergeCell ref="C48:C49"/>
    <mergeCell ref="C50:C51"/>
    <mergeCell ref="C74:C75"/>
    <mergeCell ref="C76:C77"/>
    <mergeCell ref="C78:C79"/>
    <mergeCell ref="C82:C83"/>
    <mergeCell ref="C84:C85"/>
    <mergeCell ref="C62:C63"/>
    <mergeCell ref="C64:C65"/>
    <mergeCell ref="C66:C67"/>
    <mergeCell ref="C68:C69"/>
    <mergeCell ref="C72:C73"/>
    <mergeCell ref="C70:C71"/>
    <mergeCell ref="C80:C81"/>
    <mergeCell ref="C96:C97"/>
    <mergeCell ref="C98:C99"/>
    <mergeCell ref="C100:C101"/>
    <mergeCell ref="C102:C103"/>
    <mergeCell ref="C104:C105"/>
    <mergeCell ref="C86:C87"/>
    <mergeCell ref="C88:C89"/>
    <mergeCell ref="C90:C91"/>
    <mergeCell ref="C92:C93"/>
    <mergeCell ref="C94:C95"/>
    <mergeCell ref="C116:C117"/>
    <mergeCell ref="C118:C119"/>
    <mergeCell ref="C120:C121"/>
    <mergeCell ref="C122:C123"/>
    <mergeCell ref="C124:C125"/>
    <mergeCell ref="C106:C107"/>
    <mergeCell ref="C108:C109"/>
    <mergeCell ref="C110:C111"/>
    <mergeCell ref="C112:C113"/>
    <mergeCell ref="C114:C115"/>
    <mergeCell ref="C136:C137"/>
    <mergeCell ref="C138:C139"/>
    <mergeCell ref="C140:C141"/>
    <mergeCell ref="C142:C143"/>
    <mergeCell ref="C144:C145"/>
    <mergeCell ref="C126:C127"/>
    <mergeCell ref="C128:C129"/>
    <mergeCell ref="C130:C131"/>
    <mergeCell ref="C132:C133"/>
    <mergeCell ref="C134:C135"/>
    <mergeCell ref="C156:C157"/>
    <mergeCell ref="C158:C159"/>
    <mergeCell ref="C160:C161"/>
    <mergeCell ref="C162:C163"/>
    <mergeCell ref="C164:C165"/>
    <mergeCell ref="C146:C147"/>
    <mergeCell ref="C148:C149"/>
    <mergeCell ref="C150:C151"/>
    <mergeCell ref="C152:C153"/>
    <mergeCell ref="C154:C155"/>
    <mergeCell ref="C186:C187"/>
    <mergeCell ref="C188:C189"/>
    <mergeCell ref="C190:C191"/>
    <mergeCell ref="C176:C177"/>
    <mergeCell ref="C178:C179"/>
    <mergeCell ref="C180:C181"/>
    <mergeCell ref="C182:C183"/>
    <mergeCell ref="C184:C185"/>
    <mergeCell ref="C166:C167"/>
    <mergeCell ref="C168:C169"/>
    <mergeCell ref="C170:C171"/>
    <mergeCell ref="C172:C173"/>
    <mergeCell ref="C174:C175"/>
  </mergeCells>
  <pageMargins left="0" right="0" top="0.39370078740157483" bottom="0.39370078740157483" header="0.39370078740157483" footer="0.19685039370078741"/>
  <pageSetup paperSize="9" scale="55" orientation="landscape" r:id="rId1"/>
  <ignoredErrors>
    <ignoredError sqref="S19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Синицкая Ольга Алексеевна</dc:creator>
  <cp:lastModifiedBy>romanenko</cp:lastModifiedBy>
  <cp:lastPrinted>2015-08-04T15:19:18Z</cp:lastPrinted>
  <dcterms:created xsi:type="dcterms:W3CDTF">2013-04-18T15:22:29Z</dcterms:created>
  <dcterms:modified xsi:type="dcterms:W3CDTF">2017-06-13T07:37:38Z</dcterms:modified>
</cp:coreProperties>
</file>