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80" windowWidth="19320" windowHeight="12660"/>
  </bookViews>
  <sheets>
    <sheet name="Лист1" sheetId="13" r:id="rId1"/>
  </sheets>
  <definedNames>
    <definedName name="_xlnm._FilterDatabase" localSheetId="0" hidden="1">Лист1!$A$3:$AE$191</definedName>
    <definedName name="_xlnm.Print_Titles" localSheetId="0">Лист1!$C:$C,Лист1!$1:$2</definedName>
    <definedName name="_xlnm.Print_Area" localSheetId="0">Лист1!$C$1:$AE$191</definedName>
  </definedNames>
  <calcPr calcId="124519"/>
</workbook>
</file>

<file path=xl/calcChain.xml><?xml version="1.0" encoding="utf-8"?>
<calcChain xmlns="http://schemas.openxmlformats.org/spreadsheetml/2006/main">
  <c r="N42" i="13"/>
  <c r="N184"/>
  <c r="N186"/>
  <c r="N188"/>
  <c r="N190"/>
  <c r="N164"/>
  <c r="N166"/>
  <c r="N168"/>
  <c r="N170"/>
  <c r="N172"/>
  <c r="N174"/>
  <c r="N176"/>
  <c r="N178"/>
  <c r="N180"/>
  <c r="N182"/>
  <c r="N142"/>
  <c r="N144"/>
  <c r="N146"/>
  <c r="N148"/>
  <c r="N150"/>
  <c r="N152"/>
  <c r="N154"/>
  <c r="N156"/>
  <c r="N158"/>
  <c r="N160"/>
  <c r="N162"/>
  <c r="N120"/>
  <c r="N122"/>
  <c r="N124"/>
  <c r="N126"/>
  <c r="N128"/>
  <c r="N130"/>
  <c r="N132"/>
  <c r="N134"/>
  <c r="N136"/>
  <c r="N138"/>
  <c r="N140"/>
  <c r="N94"/>
  <c r="N96"/>
  <c r="N98"/>
  <c r="N100"/>
  <c r="N102"/>
  <c r="N104"/>
  <c r="N106"/>
  <c r="N108"/>
  <c r="N110"/>
  <c r="N112"/>
  <c r="N114"/>
  <c r="N116"/>
  <c r="N118"/>
  <c r="N68"/>
  <c r="N70"/>
  <c r="N72"/>
  <c r="N74"/>
  <c r="N76"/>
  <c r="N78"/>
  <c r="N80"/>
  <c r="N82"/>
  <c r="N84"/>
  <c r="N86"/>
  <c r="N88"/>
  <c r="N90"/>
  <c r="N92"/>
  <c r="N38"/>
  <c r="N40"/>
  <c r="N44"/>
  <c r="N46"/>
  <c r="N48"/>
  <c r="N50"/>
  <c r="N52"/>
  <c r="N54"/>
  <c r="N56"/>
  <c r="N58"/>
  <c r="N60"/>
  <c r="N62"/>
  <c r="N64"/>
  <c r="N66"/>
  <c r="N6"/>
  <c r="N8"/>
  <c r="N10"/>
  <c r="N12"/>
  <c r="N14"/>
  <c r="N16"/>
  <c r="N18"/>
  <c r="N20"/>
  <c r="N22"/>
  <c r="N24"/>
  <c r="N26"/>
  <c r="N28"/>
  <c r="N30"/>
  <c r="N32"/>
  <c r="N34"/>
  <c r="N36"/>
  <c r="N4"/>
  <c r="AB180"/>
  <c r="AD180"/>
  <c r="AD186"/>
  <c r="AB186"/>
  <c r="AD176"/>
  <c r="AB176"/>
  <c r="AD170"/>
  <c r="AB170"/>
  <c r="AD174"/>
  <c r="AB174"/>
  <c r="AD182"/>
  <c r="AB182"/>
  <c r="AD172"/>
  <c r="AB172"/>
  <c r="AD184"/>
  <c r="AB184"/>
  <c r="AD178"/>
  <c r="AB178"/>
  <c r="AD166"/>
  <c r="AB166"/>
  <c r="AD150"/>
  <c r="AB150"/>
  <c r="AD148"/>
  <c r="AB148"/>
  <c r="AB146"/>
  <c r="AD144"/>
  <c r="AD164"/>
  <c r="AB164"/>
  <c r="AD162"/>
  <c r="AB162"/>
  <c r="AD156"/>
  <c r="AB156"/>
  <c r="Y156"/>
  <c r="AD160"/>
  <c r="AB160"/>
  <c r="Y160"/>
  <c r="AD158"/>
  <c r="AB158"/>
  <c r="Y158"/>
  <c r="AD154"/>
  <c r="AB154"/>
  <c r="AD152"/>
  <c r="AB152"/>
  <c r="AD138"/>
  <c r="AB138"/>
  <c r="AD140"/>
  <c r="AB140"/>
  <c r="AD136"/>
  <c r="AB136"/>
  <c r="AD134"/>
  <c r="AB134"/>
  <c r="AD132"/>
  <c r="AB132"/>
  <c r="AD130"/>
  <c r="AB130"/>
  <c r="AD110"/>
  <c r="AB110"/>
  <c r="AD126"/>
  <c r="AB126"/>
  <c r="AD108"/>
  <c r="AB108"/>
  <c r="AD124"/>
  <c r="AB124"/>
  <c r="AD122"/>
  <c r="AB122"/>
  <c r="AD106"/>
  <c r="AB106"/>
  <c r="Y106"/>
  <c r="AD104"/>
  <c r="AB104"/>
  <c r="AD102"/>
  <c r="AB102"/>
  <c r="AD100"/>
  <c r="AB100"/>
  <c r="AD112"/>
  <c r="AB112"/>
  <c r="AD120"/>
  <c r="AB120"/>
  <c r="AD118"/>
  <c r="AB118"/>
  <c r="AD116"/>
  <c r="AB116"/>
  <c r="Y116"/>
  <c r="AD114"/>
  <c r="AB114"/>
  <c r="AD96"/>
  <c r="AB96"/>
  <c r="AD94"/>
  <c r="AB94"/>
  <c r="AD92"/>
  <c r="AB92"/>
  <c r="AD90"/>
  <c r="AD88"/>
  <c r="AB88"/>
  <c r="AD86"/>
  <c r="AB86"/>
  <c r="AD84"/>
  <c r="AB84"/>
  <c r="AD78"/>
  <c r="AB78"/>
  <c r="AD70"/>
  <c r="AB70"/>
  <c r="AD68"/>
  <c r="AB68"/>
  <c r="AD66"/>
  <c r="AB66"/>
  <c r="AD72"/>
  <c r="AB72"/>
  <c r="Y72"/>
  <c r="AD80"/>
  <c r="AB80"/>
  <c r="AD76"/>
  <c r="AB76"/>
  <c r="AD74"/>
  <c r="AB74"/>
  <c r="AD62"/>
  <c r="AB62"/>
  <c r="AD60"/>
  <c r="AB60"/>
  <c r="AD58"/>
  <c r="AB58"/>
  <c r="AD56"/>
  <c r="AB56"/>
  <c r="AD54"/>
  <c r="AB54"/>
  <c r="AD52"/>
  <c r="AB52"/>
  <c r="AD50"/>
  <c r="AB50"/>
  <c r="AD48"/>
  <c r="AB48"/>
  <c r="AD46"/>
  <c r="AB46"/>
  <c r="AD44"/>
  <c r="AB44"/>
  <c r="AB42"/>
  <c r="AD38"/>
  <c r="AB38"/>
  <c r="AD36"/>
  <c r="AB36"/>
  <c r="AD34"/>
  <c r="AB34"/>
  <c r="AD32"/>
  <c r="AB32"/>
  <c r="AD30"/>
  <c r="AB30"/>
  <c r="AD28"/>
  <c r="AB28"/>
  <c r="Y28"/>
  <c r="AD26"/>
  <c r="AB26"/>
  <c r="AD24"/>
  <c r="AB24"/>
  <c r="AD22"/>
  <c r="AB22"/>
  <c r="Y22"/>
  <c r="AD20"/>
  <c r="AB20"/>
  <c r="AD18"/>
  <c r="AB18"/>
  <c r="AD16"/>
  <c r="AB16"/>
  <c r="AD14"/>
  <c r="AB14"/>
  <c r="AD12"/>
  <c r="AB12"/>
  <c r="AD10"/>
  <c r="AB10"/>
  <c r="AD8"/>
  <c r="AB8"/>
  <c r="AD6"/>
  <c r="AB6"/>
  <c r="AD4"/>
  <c r="AB4"/>
  <c r="AD42"/>
  <c r="AD168"/>
  <c r="AD146"/>
  <c r="X140" l="1"/>
  <c r="X138"/>
  <c r="X136"/>
  <c r="X132"/>
  <c r="X130"/>
  <c r="X124"/>
  <c r="X122"/>
  <c r="X120"/>
  <c r="X118"/>
  <c r="X116"/>
  <c r="X114"/>
  <c r="X112"/>
  <c r="X110"/>
  <c r="X108"/>
  <c r="X106"/>
  <c r="X104"/>
  <c r="X102"/>
  <c r="X96"/>
  <c r="X94"/>
  <c r="X90"/>
  <c r="X88"/>
  <c r="X86"/>
  <c r="X84"/>
  <c r="X80"/>
  <c r="X78"/>
  <c r="X74"/>
  <c r="X68"/>
  <c r="X66"/>
  <c r="X62"/>
  <c r="X58"/>
  <c r="X56"/>
  <c r="X54"/>
  <c r="X52"/>
  <c r="X50"/>
  <c r="X48"/>
  <c r="X46"/>
  <c r="X44"/>
  <c r="X42"/>
  <c r="X32"/>
  <c r="X30"/>
  <c r="X28"/>
  <c r="X26"/>
  <c r="X24"/>
  <c r="X22"/>
  <c r="X20"/>
  <c r="X18"/>
  <c r="X16"/>
  <c r="X14"/>
  <c r="X10"/>
  <c r="X8"/>
  <c r="X4"/>
  <c r="AC132"/>
  <c r="AC126"/>
  <c r="AC120"/>
  <c r="AC102"/>
  <c r="AC84"/>
  <c r="AC62"/>
  <c r="AC54"/>
  <c r="AC52"/>
  <c r="AC50"/>
  <c r="AC46"/>
  <c r="AC42"/>
  <c r="AC38"/>
  <c r="AC34"/>
  <c r="AC22"/>
  <c r="AC14"/>
  <c r="AC40" s="1"/>
  <c r="AC4"/>
  <c r="W138"/>
  <c r="W136"/>
  <c r="W132"/>
  <c r="W116"/>
  <c r="W108"/>
  <c r="W106"/>
  <c r="W104"/>
  <c r="W90"/>
  <c r="W54"/>
  <c r="W52"/>
  <c r="W50"/>
  <c r="W32"/>
  <c r="W24"/>
  <c r="W22"/>
  <c r="W20"/>
  <c r="W18"/>
  <c r="W10"/>
  <c r="Q180"/>
  <c r="Q176"/>
  <c r="Q172"/>
  <c r="Q154"/>
  <c r="Q146"/>
  <c r="Q144"/>
  <c r="Q134"/>
  <c r="Q130"/>
  <c r="Q124"/>
  <c r="Q122"/>
  <c r="Q102"/>
  <c r="Q86"/>
  <c r="Q78"/>
  <c r="Q74"/>
  <c r="Q72"/>
  <c r="Q68"/>
  <c r="Q66"/>
  <c r="Q58"/>
  <c r="Q54"/>
  <c r="Q52"/>
  <c r="Q50"/>
  <c r="Q48"/>
  <c r="Q46"/>
  <c r="Q44"/>
  <c r="Q36"/>
  <c r="Q34"/>
  <c r="Q32"/>
  <c r="Q30"/>
  <c r="Q28"/>
  <c r="Q26"/>
  <c r="Q24"/>
  <c r="Q22"/>
  <c r="Q20"/>
  <c r="Q18"/>
  <c r="Q14"/>
  <c r="Q10"/>
  <c r="Q8"/>
  <c r="AD40"/>
  <c r="AB82" l="1"/>
  <c r="R168"/>
  <c r="P168"/>
  <c r="AB40" l="1"/>
  <c r="Y40"/>
  <c r="F40"/>
  <c r="E40"/>
  <c r="D40"/>
  <c r="G40"/>
  <c r="U176" l="1"/>
  <c r="U182"/>
  <c r="U178"/>
  <c r="U106"/>
  <c r="U172"/>
  <c r="U174"/>
  <c r="U180"/>
  <c r="U184"/>
  <c r="U186"/>
  <c r="U170"/>
  <c r="U146"/>
  <c r="U148"/>
  <c r="U150"/>
  <c r="U152"/>
  <c r="U154"/>
  <c r="U156"/>
  <c r="U158"/>
  <c r="U160"/>
  <c r="U162"/>
  <c r="U164"/>
  <c r="U166"/>
  <c r="U144"/>
  <c r="U132"/>
  <c r="U134"/>
  <c r="U136"/>
  <c r="U138"/>
  <c r="U140"/>
  <c r="U130"/>
  <c r="U102"/>
  <c r="U104"/>
  <c r="U108"/>
  <c r="U110"/>
  <c r="U112"/>
  <c r="U114"/>
  <c r="U116"/>
  <c r="U118"/>
  <c r="U120"/>
  <c r="U122"/>
  <c r="U124"/>
  <c r="U126"/>
  <c r="U100"/>
  <c r="U86"/>
  <c r="U88"/>
  <c r="U90"/>
  <c r="U92"/>
  <c r="U94"/>
  <c r="U96"/>
  <c r="U84"/>
  <c r="U68"/>
  <c r="U70"/>
  <c r="U72"/>
  <c r="U74"/>
  <c r="U76"/>
  <c r="U78"/>
  <c r="U80"/>
  <c r="U66"/>
  <c r="U44"/>
  <c r="U46"/>
  <c r="U48"/>
  <c r="U50"/>
  <c r="U52"/>
  <c r="U54"/>
  <c r="U56"/>
  <c r="U58"/>
  <c r="U60"/>
  <c r="U62"/>
  <c r="U42"/>
  <c r="U8"/>
  <c r="U10"/>
  <c r="U12"/>
  <c r="U14"/>
  <c r="U16"/>
  <c r="U18"/>
  <c r="U20"/>
  <c r="U22"/>
  <c r="U24"/>
  <c r="U26"/>
  <c r="U28"/>
  <c r="U30"/>
  <c r="U32"/>
  <c r="U34"/>
  <c r="U36"/>
  <c r="U38"/>
  <c r="U6"/>
  <c r="U4"/>
  <c r="P75" l="1"/>
  <c r="P51"/>
  <c r="Q15"/>
  <c r="Q13"/>
  <c r="Q11"/>
  <c r="P19"/>
  <c r="P5"/>
  <c r="AC64"/>
  <c r="AD64"/>
  <c r="AB64"/>
  <c r="W45" l="1"/>
  <c r="W47"/>
  <c r="W49"/>
  <c r="W51"/>
  <c r="W53"/>
  <c r="W55"/>
  <c r="W57"/>
  <c r="W59"/>
  <c r="W61"/>
  <c r="W63"/>
  <c r="W7"/>
  <c r="W9"/>
  <c r="W11"/>
  <c r="W13"/>
  <c r="W15"/>
  <c r="W17"/>
  <c r="W19"/>
  <c r="W21"/>
  <c r="W23"/>
  <c r="W25"/>
  <c r="W27"/>
  <c r="W29"/>
  <c r="W31"/>
  <c r="W33"/>
  <c r="W35"/>
  <c r="W37"/>
  <c r="W39"/>
  <c r="AE46"/>
  <c r="AE48"/>
  <c r="AE50"/>
  <c r="AE52"/>
  <c r="AE54"/>
  <c r="AE56"/>
  <c r="AE58"/>
  <c r="AE60"/>
  <c r="AE62"/>
  <c r="AE44"/>
  <c r="AE22"/>
  <c r="AE24"/>
  <c r="AE26"/>
  <c r="AE28"/>
  <c r="AE30"/>
  <c r="AE32"/>
  <c r="AE34"/>
  <c r="AE36"/>
  <c r="AE38"/>
  <c r="AE20"/>
  <c r="AE18"/>
  <c r="AE16"/>
  <c r="AE14"/>
  <c r="AE12"/>
  <c r="AE10"/>
  <c r="AE8"/>
  <c r="AE6"/>
  <c r="L64"/>
  <c r="P45"/>
  <c r="P47" s="1"/>
  <c r="P49" s="1"/>
  <c r="P53" s="1"/>
  <c r="P55" s="1"/>
  <c r="P57" s="1"/>
  <c r="P59" s="1"/>
  <c r="P61" s="1"/>
  <c r="P63" s="1"/>
  <c r="L40"/>
  <c r="AE40" s="1"/>
  <c r="P23"/>
  <c r="P25" s="1"/>
  <c r="P27" s="1"/>
  <c r="P29" s="1"/>
  <c r="P31" s="1"/>
  <c r="P33" s="1"/>
  <c r="P35" s="1"/>
  <c r="P37" s="1"/>
  <c r="P39" s="1"/>
  <c r="P7"/>
  <c r="P9" s="1"/>
  <c r="P11" s="1"/>
  <c r="P13" s="1"/>
  <c r="P15" s="1"/>
  <c r="P17" s="1"/>
  <c r="P21" s="1"/>
  <c r="AC168"/>
  <c r="W173"/>
  <c r="W175"/>
  <c r="W177"/>
  <c r="W179"/>
  <c r="W181"/>
  <c r="W183"/>
  <c r="W185"/>
  <c r="W187"/>
  <c r="W171"/>
  <c r="W147"/>
  <c r="W149"/>
  <c r="W151"/>
  <c r="W153"/>
  <c r="W155"/>
  <c r="W157"/>
  <c r="W159"/>
  <c r="W161"/>
  <c r="W163"/>
  <c r="W165"/>
  <c r="W167"/>
  <c r="W145"/>
  <c r="W133"/>
  <c r="W135"/>
  <c r="W137"/>
  <c r="W139"/>
  <c r="W141"/>
  <c r="W131"/>
  <c r="W103"/>
  <c r="W105"/>
  <c r="W107"/>
  <c r="W109"/>
  <c r="W111"/>
  <c r="W113"/>
  <c r="W115"/>
  <c r="W117"/>
  <c r="W119"/>
  <c r="W121"/>
  <c r="W123"/>
  <c r="W125"/>
  <c r="W127"/>
  <c r="W101"/>
  <c r="W87"/>
  <c r="W89"/>
  <c r="W91"/>
  <c r="W93"/>
  <c r="W95"/>
  <c r="W97"/>
  <c r="W85"/>
  <c r="AD82"/>
  <c r="AC82"/>
  <c r="Z83"/>
  <c r="Z82"/>
  <c r="X82"/>
  <c r="Y82"/>
  <c r="W82"/>
  <c r="U82"/>
  <c r="O82"/>
  <c r="P82"/>
  <c r="Q82"/>
  <c r="R82"/>
  <c r="S82"/>
  <c r="T82"/>
  <c r="L82"/>
  <c r="M82"/>
  <c r="I82"/>
  <c r="J82"/>
  <c r="K82"/>
  <c r="F82"/>
  <c r="G82"/>
  <c r="H82"/>
  <c r="E82"/>
  <c r="D82"/>
  <c r="W71"/>
  <c r="W81"/>
  <c r="V80" s="1"/>
  <c r="T81"/>
  <c r="Q81"/>
  <c r="P81"/>
  <c r="H81"/>
  <c r="G81"/>
  <c r="F81"/>
  <c r="AE80"/>
  <c r="AA80"/>
  <c r="T71"/>
  <c r="Q71"/>
  <c r="P71"/>
  <c r="AE70"/>
  <c r="AA70"/>
  <c r="V70"/>
  <c r="W69"/>
  <c r="W73"/>
  <c r="W75"/>
  <c r="W77"/>
  <c r="W79"/>
  <c r="W67"/>
  <c r="W43"/>
  <c r="W5"/>
  <c r="AA148"/>
  <c r="O40"/>
  <c r="AD188"/>
  <c r="W83" l="1"/>
  <c r="AB188"/>
  <c r="AB168"/>
  <c r="AD142"/>
  <c r="AB142"/>
  <c r="AD128"/>
  <c r="AB128"/>
  <c r="AD98"/>
  <c r="AB98"/>
  <c r="AB190" l="1"/>
  <c r="AD190"/>
  <c r="AC188"/>
  <c r="AA188"/>
  <c r="Z189"/>
  <c r="Z188"/>
  <c r="Y188"/>
  <c r="X188"/>
  <c r="W188"/>
  <c r="T188"/>
  <c r="S188"/>
  <c r="R188"/>
  <c r="Q188"/>
  <c r="P188"/>
  <c r="O188"/>
  <c r="M188"/>
  <c r="L188"/>
  <c r="K188"/>
  <c r="J188"/>
  <c r="I188"/>
  <c r="H188"/>
  <c r="G188"/>
  <c r="F188"/>
  <c r="E188"/>
  <c r="D188"/>
  <c r="AA168"/>
  <c r="Z169"/>
  <c r="Z168"/>
  <c r="Y168"/>
  <c r="X168"/>
  <c r="W168"/>
  <c r="T168"/>
  <c r="S168"/>
  <c r="Q168"/>
  <c r="O168"/>
  <c r="M168"/>
  <c r="L168"/>
  <c r="K168"/>
  <c r="J168"/>
  <c r="G169" s="1"/>
  <c r="I168"/>
  <c r="H168"/>
  <c r="G168"/>
  <c r="F168"/>
  <c r="E168"/>
  <c r="D168"/>
  <c r="AC142"/>
  <c r="AA142"/>
  <c r="Z143"/>
  <c r="Z142"/>
  <c r="Y142"/>
  <c r="X142"/>
  <c r="W142"/>
  <c r="T142"/>
  <c r="S142"/>
  <c r="R142"/>
  <c r="Q142"/>
  <c r="P142"/>
  <c r="O142"/>
  <c r="M142"/>
  <c r="L142"/>
  <c r="K142"/>
  <c r="J142"/>
  <c r="I142"/>
  <c r="H142"/>
  <c r="G142"/>
  <c r="F142"/>
  <c r="E142"/>
  <c r="D142"/>
  <c r="AC128"/>
  <c r="Z129"/>
  <c r="Z128"/>
  <c r="Y128"/>
  <c r="X128"/>
  <c r="W128"/>
  <c r="T128"/>
  <c r="S128"/>
  <c r="R128"/>
  <c r="Q128"/>
  <c r="P128"/>
  <c r="O128"/>
  <c r="M128"/>
  <c r="L128"/>
  <c r="K128"/>
  <c r="J128"/>
  <c r="G129" s="1"/>
  <c r="I128"/>
  <c r="H128"/>
  <c r="G128"/>
  <c r="F128"/>
  <c r="E128"/>
  <c r="D128"/>
  <c r="AC98"/>
  <c r="AA98"/>
  <c r="Z99"/>
  <c r="Z98"/>
  <c r="Y98"/>
  <c r="X98"/>
  <c r="W98"/>
  <c r="T98"/>
  <c r="S98"/>
  <c r="R98"/>
  <c r="Q98"/>
  <c r="P98"/>
  <c r="O98"/>
  <c r="M98"/>
  <c r="L98"/>
  <c r="K98"/>
  <c r="J98"/>
  <c r="G99" s="1"/>
  <c r="I98"/>
  <c r="H98"/>
  <c r="G98"/>
  <c r="F98"/>
  <c r="E98"/>
  <c r="D98"/>
  <c r="G83"/>
  <c r="AA64"/>
  <c r="Z65"/>
  <c r="Z64"/>
  <c r="Y64"/>
  <c r="X64"/>
  <c r="W64"/>
  <c r="T64"/>
  <c r="S64"/>
  <c r="R64"/>
  <c r="Q64"/>
  <c r="P64"/>
  <c r="O64"/>
  <c r="M64"/>
  <c r="K64"/>
  <c r="J64"/>
  <c r="G65" s="1"/>
  <c r="I64"/>
  <c r="H64"/>
  <c r="G64"/>
  <c r="F64"/>
  <c r="E64"/>
  <c r="D64"/>
  <c r="AA40"/>
  <c r="Z41"/>
  <c r="Z40"/>
  <c r="X40"/>
  <c r="W40"/>
  <c r="T40"/>
  <c r="S40"/>
  <c r="R40"/>
  <c r="Q40"/>
  <c r="P40"/>
  <c r="M40"/>
  <c r="K40"/>
  <c r="J40"/>
  <c r="I40"/>
  <c r="H40"/>
  <c r="T187"/>
  <c r="Q187"/>
  <c r="P187"/>
  <c r="T185"/>
  <c r="Q185"/>
  <c r="P185"/>
  <c r="T183"/>
  <c r="Q183"/>
  <c r="P183"/>
  <c r="T181"/>
  <c r="Q181"/>
  <c r="P181"/>
  <c r="T179"/>
  <c r="Q179"/>
  <c r="P179"/>
  <c r="T177"/>
  <c r="Q177"/>
  <c r="P177"/>
  <c r="T175"/>
  <c r="Q175"/>
  <c r="P175"/>
  <c r="T173"/>
  <c r="Q173"/>
  <c r="P173"/>
  <c r="T171"/>
  <c r="Q171"/>
  <c r="P171"/>
  <c r="T167"/>
  <c r="Q167"/>
  <c r="P167"/>
  <c r="T165"/>
  <c r="Q165"/>
  <c r="P165"/>
  <c r="T163"/>
  <c r="Q163"/>
  <c r="P163"/>
  <c r="T161"/>
  <c r="Q161"/>
  <c r="P161"/>
  <c r="T159"/>
  <c r="Q159"/>
  <c r="P159"/>
  <c r="T157"/>
  <c r="Q157"/>
  <c r="P157"/>
  <c r="T155"/>
  <c r="Q155"/>
  <c r="P155"/>
  <c r="T153"/>
  <c r="Q153"/>
  <c r="P153"/>
  <c r="T151"/>
  <c r="Q151"/>
  <c r="P151"/>
  <c r="T149"/>
  <c r="Q149"/>
  <c r="P149"/>
  <c r="T147"/>
  <c r="Q147"/>
  <c r="P147"/>
  <c r="T145"/>
  <c r="Q145"/>
  <c r="P145"/>
  <c r="T141"/>
  <c r="Q141"/>
  <c r="P141"/>
  <c r="T139"/>
  <c r="Q139"/>
  <c r="P139"/>
  <c r="T137"/>
  <c r="Q137"/>
  <c r="P137"/>
  <c r="T135"/>
  <c r="Q135"/>
  <c r="P135"/>
  <c r="T133"/>
  <c r="Q133"/>
  <c r="P133"/>
  <c r="T131"/>
  <c r="Q131"/>
  <c r="P131"/>
  <c r="T127"/>
  <c r="Q127"/>
  <c r="P127"/>
  <c r="T125"/>
  <c r="Q125"/>
  <c r="P125"/>
  <c r="T123"/>
  <c r="Q123"/>
  <c r="P123"/>
  <c r="T121"/>
  <c r="Q121"/>
  <c r="P121"/>
  <c r="T119"/>
  <c r="Q119"/>
  <c r="P119"/>
  <c r="T117"/>
  <c r="Q117"/>
  <c r="P117"/>
  <c r="T115"/>
  <c r="Q115"/>
  <c r="P115"/>
  <c r="T113"/>
  <c r="Q113"/>
  <c r="P113"/>
  <c r="T111"/>
  <c r="Q111"/>
  <c r="P111"/>
  <c r="T109"/>
  <c r="Q109"/>
  <c r="P109"/>
  <c r="T107"/>
  <c r="Q107"/>
  <c r="P107"/>
  <c r="T105"/>
  <c r="Q105"/>
  <c r="P105"/>
  <c r="T103"/>
  <c r="Q103"/>
  <c r="P103"/>
  <c r="T101"/>
  <c r="Q101"/>
  <c r="P101"/>
  <c r="T97"/>
  <c r="Q97"/>
  <c r="P97"/>
  <c r="T95"/>
  <c r="Q95"/>
  <c r="P95"/>
  <c r="T93"/>
  <c r="Q93"/>
  <c r="P93"/>
  <c r="T91"/>
  <c r="Q91"/>
  <c r="P91"/>
  <c r="T89"/>
  <c r="Q89"/>
  <c r="P89"/>
  <c r="T87"/>
  <c r="Q87"/>
  <c r="P87"/>
  <c r="T85"/>
  <c r="Q85"/>
  <c r="P85"/>
  <c r="T79"/>
  <c r="Q79"/>
  <c r="P79"/>
  <c r="T77"/>
  <c r="Q77"/>
  <c r="P77"/>
  <c r="T75"/>
  <c r="Q75"/>
  <c r="T73"/>
  <c r="Q73"/>
  <c r="P73"/>
  <c r="T69"/>
  <c r="Q69"/>
  <c r="P69"/>
  <c r="T67"/>
  <c r="Q67"/>
  <c r="P67"/>
  <c r="T63"/>
  <c r="Q63"/>
  <c r="T61"/>
  <c r="Q61"/>
  <c r="T59"/>
  <c r="Q59"/>
  <c r="T57"/>
  <c r="Q57"/>
  <c r="T55"/>
  <c r="Q55"/>
  <c r="T53"/>
  <c r="Q53"/>
  <c r="T51"/>
  <c r="Q51"/>
  <c r="T49"/>
  <c r="Q49"/>
  <c r="T47"/>
  <c r="Q47"/>
  <c r="T45"/>
  <c r="Q45"/>
  <c r="T43"/>
  <c r="Q43"/>
  <c r="P43"/>
  <c r="T39"/>
  <c r="Q39"/>
  <c r="T37"/>
  <c r="Q37"/>
  <c r="T35"/>
  <c r="Q35"/>
  <c r="T33"/>
  <c r="Q33"/>
  <c r="T31"/>
  <c r="Q31"/>
  <c r="T29"/>
  <c r="Q29"/>
  <c r="T27"/>
  <c r="Q27"/>
  <c r="T25"/>
  <c r="Q25"/>
  <c r="T23"/>
  <c r="Q23"/>
  <c r="T21"/>
  <c r="Q21"/>
  <c r="T19"/>
  <c r="Q19"/>
  <c r="T17"/>
  <c r="Q17"/>
  <c r="T15"/>
  <c r="T13"/>
  <c r="T11"/>
  <c r="T9"/>
  <c r="Q9"/>
  <c r="T7"/>
  <c r="Q7"/>
  <c r="H187"/>
  <c r="G187"/>
  <c r="F187"/>
  <c r="H167"/>
  <c r="G167"/>
  <c r="F167"/>
  <c r="H141"/>
  <c r="G141"/>
  <c r="F141"/>
  <c r="H127"/>
  <c r="G127"/>
  <c r="F127"/>
  <c r="H97"/>
  <c r="G97"/>
  <c r="F97"/>
  <c r="V186"/>
  <c r="V184"/>
  <c r="V182"/>
  <c r="V180"/>
  <c r="V178"/>
  <c r="V176"/>
  <c r="V174"/>
  <c r="V172"/>
  <c r="V170"/>
  <c r="V166"/>
  <c r="V164"/>
  <c r="V162"/>
  <c r="V160"/>
  <c r="V158"/>
  <c r="V156"/>
  <c r="V154"/>
  <c r="V152"/>
  <c r="V150"/>
  <c r="V148"/>
  <c r="V146"/>
  <c r="V144"/>
  <c r="V140"/>
  <c r="V138"/>
  <c r="V136"/>
  <c r="V134"/>
  <c r="V132"/>
  <c r="V130"/>
  <c r="V126"/>
  <c r="V124"/>
  <c r="V122"/>
  <c r="V120"/>
  <c r="V118"/>
  <c r="V116"/>
  <c r="V114"/>
  <c r="V112"/>
  <c r="V110"/>
  <c r="V108"/>
  <c r="V106"/>
  <c r="V104"/>
  <c r="V102"/>
  <c r="V100"/>
  <c r="V96"/>
  <c r="V94"/>
  <c r="V92"/>
  <c r="V90"/>
  <c r="V88"/>
  <c r="V86"/>
  <c r="V84"/>
  <c r="V78"/>
  <c r="V76"/>
  <c r="V74"/>
  <c r="V72"/>
  <c r="V68"/>
  <c r="V66"/>
  <c r="V62"/>
  <c r="V60"/>
  <c r="V58"/>
  <c r="V56"/>
  <c r="V54"/>
  <c r="V52"/>
  <c r="V50"/>
  <c r="V48"/>
  <c r="V46"/>
  <c r="V44"/>
  <c r="V42"/>
  <c r="V38"/>
  <c r="V36"/>
  <c r="V34"/>
  <c r="V32"/>
  <c r="V30"/>
  <c r="V28"/>
  <c r="V26"/>
  <c r="V24"/>
  <c r="V22"/>
  <c r="V20"/>
  <c r="V18"/>
  <c r="V16"/>
  <c r="V14"/>
  <c r="V12"/>
  <c r="V10"/>
  <c r="V8"/>
  <c r="V6"/>
  <c r="V4"/>
  <c r="T5"/>
  <c r="Q5"/>
  <c r="W190" l="1"/>
  <c r="S190"/>
  <c r="R190"/>
  <c r="P41"/>
  <c r="P190"/>
  <c r="X190"/>
  <c r="T190"/>
  <c r="O190"/>
  <c r="H190"/>
  <c r="F190"/>
  <c r="D190"/>
  <c r="Z190"/>
  <c r="L190"/>
  <c r="G41"/>
  <c r="J190"/>
  <c r="E190"/>
  <c r="G190"/>
  <c r="I190"/>
  <c r="K190"/>
  <c r="M190"/>
  <c r="Q190"/>
  <c r="Y190"/>
  <c r="Z191"/>
  <c r="AC190"/>
  <c r="T41"/>
  <c r="AA128"/>
  <c r="G143"/>
  <c r="AA82"/>
  <c r="U40"/>
  <c r="U142"/>
  <c r="F83"/>
  <c r="H83"/>
  <c r="P83"/>
  <c r="T83"/>
  <c r="F99"/>
  <c r="H99"/>
  <c r="P99"/>
  <c r="T99"/>
  <c r="F129"/>
  <c r="H129"/>
  <c r="P129"/>
  <c r="T129"/>
  <c r="F143"/>
  <c r="H143"/>
  <c r="T143"/>
  <c r="F169"/>
  <c r="H169"/>
  <c r="U188"/>
  <c r="Q83"/>
  <c r="Q99"/>
  <c r="Q129"/>
  <c r="Q143"/>
  <c r="Q169"/>
  <c r="AE82"/>
  <c r="AE98"/>
  <c r="AE128"/>
  <c r="P143"/>
  <c r="AE142"/>
  <c r="P169"/>
  <c r="T169"/>
  <c r="AE168"/>
  <c r="T189"/>
  <c r="U168"/>
  <c r="W129"/>
  <c r="V128" s="1"/>
  <c r="W189"/>
  <c r="V188" s="1"/>
  <c r="AE188"/>
  <c r="P189"/>
  <c r="F189"/>
  <c r="H189"/>
  <c r="F41"/>
  <c r="H41"/>
  <c r="F65"/>
  <c r="H65"/>
  <c r="P65"/>
  <c r="T65"/>
  <c r="V82"/>
  <c r="W99"/>
  <c r="V98" s="1"/>
  <c r="W143"/>
  <c r="V142" s="1"/>
  <c r="W169"/>
  <c r="V168" s="1"/>
  <c r="Q189"/>
  <c r="G189"/>
  <c r="U128"/>
  <c r="U98"/>
  <c r="Q41"/>
  <c r="Q65"/>
  <c r="AE64"/>
  <c r="U64"/>
  <c r="W41"/>
  <c r="W65"/>
  <c r="V64" s="1"/>
  <c r="AE178"/>
  <c r="AE74"/>
  <c r="AE4"/>
  <c r="AE76"/>
  <c r="AE184"/>
  <c r="AE154"/>
  <c r="AE158"/>
  <c r="AE88"/>
  <c r="AE172"/>
  <c r="AE90"/>
  <c r="AE160"/>
  <c r="AE114"/>
  <c r="AE72"/>
  <c r="AE156"/>
  <c r="AE130"/>
  <c r="AE180"/>
  <c r="AE116"/>
  <c r="AE162"/>
  <c r="AE164"/>
  <c r="AE118"/>
  <c r="AE120"/>
  <c r="AE112"/>
  <c r="AE174"/>
  <c r="AE66"/>
  <c r="AE144"/>
  <c r="AE100"/>
  <c r="AE146"/>
  <c r="AE84"/>
  <c r="AE86"/>
  <c r="AE68"/>
  <c r="AE42"/>
  <c r="AE102"/>
  <c r="AE104"/>
  <c r="AE170"/>
  <c r="AE92"/>
  <c r="AE106"/>
  <c r="AE148"/>
  <c r="AE150"/>
  <c r="AE78"/>
  <c r="AE122"/>
  <c r="AE124"/>
  <c r="AE182"/>
  <c r="AE132"/>
  <c r="AE96"/>
  <c r="AE166"/>
  <c r="AE134"/>
  <c r="AE108"/>
  <c r="AE126"/>
  <c r="AE176"/>
  <c r="AE136"/>
  <c r="AE140"/>
  <c r="AE94"/>
  <c r="AE110"/>
  <c r="AE186"/>
  <c r="AE138"/>
  <c r="AE152"/>
  <c r="AA178"/>
  <c r="AA46"/>
  <c r="AA74"/>
  <c r="AA4"/>
  <c r="AA6"/>
  <c r="AA8"/>
  <c r="AA76"/>
  <c r="AA50"/>
  <c r="AA10"/>
  <c r="AA38"/>
  <c r="AA62"/>
  <c r="AA184"/>
  <c r="AA154"/>
  <c r="AA12"/>
  <c r="AA158"/>
  <c r="AA88"/>
  <c r="AA52"/>
  <c r="AA14"/>
  <c r="AA172"/>
  <c r="AA90"/>
  <c r="AA160"/>
  <c r="AA114"/>
  <c r="AA16"/>
  <c r="AA72"/>
  <c r="AA156"/>
  <c r="AA130"/>
  <c r="AA18"/>
  <c r="AA54"/>
  <c r="AA20"/>
  <c r="AA180"/>
  <c r="AA22"/>
  <c r="AA56"/>
  <c r="AA48"/>
  <c r="AA116"/>
  <c r="AA58"/>
  <c r="AA162"/>
  <c r="AA164"/>
  <c r="AA118"/>
  <c r="AA24"/>
  <c r="AA120"/>
  <c r="AA112"/>
  <c r="AA174"/>
  <c r="AA60"/>
  <c r="AA66"/>
  <c r="AA144"/>
  <c r="AA100"/>
  <c r="AA146"/>
  <c r="AA84"/>
  <c r="AA86"/>
  <c r="AA68"/>
  <c r="AA42"/>
  <c r="AA44"/>
  <c r="AA102"/>
  <c r="AA104"/>
  <c r="AA170"/>
  <c r="AA92"/>
  <c r="AA106"/>
  <c r="AA150"/>
  <c r="AA78"/>
  <c r="AA26"/>
  <c r="AA122"/>
  <c r="AA124"/>
  <c r="AA182"/>
  <c r="AA132"/>
  <c r="AA28"/>
  <c r="AA96"/>
  <c r="AA30"/>
  <c r="AA32"/>
  <c r="AA166"/>
  <c r="AA34"/>
  <c r="AA134"/>
  <c r="AA108"/>
  <c r="AA126"/>
  <c r="AA176"/>
  <c r="AA136"/>
  <c r="AA140"/>
  <c r="AA94"/>
  <c r="AA110"/>
  <c r="AA186"/>
  <c r="AA138"/>
  <c r="AA36"/>
  <c r="AA152"/>
  <c r="W191" l="1"/>
  <c r="V190" s="1"/>
  <c r="U190"/>
  <c r="V40"/>
  <c r="AE190"/>
  <c r="F191"/>
  <c r="T191"/>
  <c r="Q191"/>
  <c r="P191"/>
  <c r="H191"/>
  <c r="AA190"/>
  <c r="G191"/>
</calcChain>
</file>

<file path=xl/sharedStrings.xml><?xml version="1.0" encoding="utf-8"?>
<sst xmlns="http://schemas.openxmlformats.org/spreadsheetml/2006/main" count="337" uniqueCount="136">
  <si>
    <t>Субъект РФ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</si>
  <si>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</si>
  <si>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</si>
  <si>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</si>
  <si>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</si>
  <si>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</si>
  <si>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</si>
  <si>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</si>
  <si>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</si>
  <si>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</si>
  <si>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</si>
  <si>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</si>
  <si>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</si>
  <si>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</si>
  <si>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</si>
  <si>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</si>
  <si>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</si>
  <si>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</si>
  <si>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</si>
  <si>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Центральный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</si>
  <si>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</si>
  <si>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</si>
  <si>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</si>
  <si>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</si>
  <si>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</si>
  <si>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</si>
  <si>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</si>
  <si>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</si>
  <si>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</si>
  <si>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</si>
  <si>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Северо-Западный федеральный округ</t>
  </si>
  <si>
    <t>Республика Адыгея (Адыгея)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</si>
  <si>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</si>
  <si>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</si>
  <si>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</si>
  <si>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</si>
  <si>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</si>
  <si>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Южный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</si>
  <si>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</si>
  <si>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</si>
  <si>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</si>
  <si>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</si>
  <si>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</si>
  <si>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</si>
  <si>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</si>
  <si>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Северо-Кавказский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</si>
  <si>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</si>
  <si>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</si>
  <si>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</si>
  <si>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</si>
  <si>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</si>
  <si>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Республика-Чувашия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</si>
  <si>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</si>
  <si>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</si>
  <si>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</si>
  <si>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</si>
  <si>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</si>
  <si>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</si>
  <si>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</si>
  <si>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</si>
  <si>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Приволжский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</si>
  <si>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</si>
  <si>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</si>
  <si>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</si>
  <si>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</t>
  </si>
  <si>
    <t>Ямало-Ненецкий автономный округ</t>
  </si>
  <si>
    <t>Челябинская область</t>
  </si>
  <si>
    <t>Уральский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</si>
  <si>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</si>
  <si>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</si>
  <si>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</si>
  <si>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</si>
  <si>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</si>
  <si>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</si>
  <si>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</si>
  <si>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</si>
  <si>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</si>
  <si>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</si>
  <si>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</si>
  <si>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</si>
  <si>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Сибирский федеральный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</si>
  <si>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</si>
  <si>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</si>
  <si>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</si>
  <si>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</si>
  <si>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</si>
  <si>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</si>
  <si>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</si>
  <si>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</si>
  <si>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</si>
  <si>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Дальневосточный федеральный округ</t>
  </si>
  <si>
    <t>Российская Федерация</t>
  </si>
  <si>
    <t>Кадры</t>
  </si>
  <si>
    <t>Численность занимающихся в клубах, в том числе по месту жительства</t>
  </si>
  <si>
    <t>Количество учащихся отнесеных к спецмед-группе</t>
  </si>
  <si>
    <t>Из них посещают занятия в спецмед-группе</t>
  </si>
  <si>
    <t>Численность занимающихся группах и секциях по видам спорта</t>
  </si>
  <si>
    <t>Спортивные сооружения</t>
  </si>
  <si>
    <t>Всего</t>
  </si>
  <si>
    <t>Плоскостные спорт-сооружения</t>
  </si>
  <si>
    <t>Залы</t>
  </si>
  <si>
    <t>Бассейны</t>
  </si>
  <si>
    <t>Площадь спортивных сооружений</t>
  </si>
  <si>
    <t>Численность занимающихся</t>
  </si>
  <si>
    <t>из них женщины</t>
  </si>
  <si>
    <t>Подготовлено разрядников</t>
  </si>
  <si>
    <t>ЕПС факт</t>
  </si>
  <si>
    <t>ЕПС норма</t>
  </si>
  <si>
    <t>Численность занимающихся на предприятиях, в учреждениях, организациях</t>
  </si>
  <si>
    <t>Численность занимающихся в учреждениях дополнительного образования</t>
  </si>
  <si>
    <t>Спортивные звания</t>
  </si>
  <si>
    <t>Массовые разряды</t>
  </si>
  <si>
    <t>Финансирование физической культуры и спорта (тыс.руб.)</t>
  </si>
  <si>
    <t>Финансиро-вание ФКиС
на 1 жителя (руб.)</t>
  </si>
  <si>
    <t>% внебюд-жетных</t>
  </si>
  <si>
    <t>% от норма-тива ЕПС</t>
  </si>
  <si>
    <t>Плоскост-
ные спорт-сооружения</t>
  </si>
  <si>
    <t>Ненецкий автономный округ</t>
  </si>
  <si>
    <t>Женщины</t>
  </si>
  <si>
    <t>ЦФО</t>
  </si>
  <si>
    <t>СЗФО</t>
  </si>
  <si>
    <t>ЮФО</t>
  </si>
  <si>
    <t>СКФО</t>
  </si>
  <si>
    <t>ПФО</t>
  </si>
  <si>
    <t>УФО</t>
  </si>
  <si>
    <t>СФО</t>
  </si>
  <si>
    <t>ДФО</t>
  </si>
  <si>
    <t>РФ</t>
  </si>
  <si>
    <t>Стадионы</t>
  </si>
  <si>
    <t>Население 3-79</t>
  </si>
  <si>
    <t>Республика Крым</t>
  </si>
  <si>
    <t>г. Севастополь</t>
  </si>
  <si>
    <t>0</t>
  </si>
  <si>
    <t>Всего израсхо-довано на ФКиС (тыс. руб.)</t>
  </si>
  <si>
    <t xml:space="preserve">Внебюджетные средства </t>
  </si>
  <si>
    <t>кол-во спооруж на 100 тыс</t>
  </si>
</sst>
</file>

<file path=xl/styles.xml><?xml version="1.0" encoding="utf-8"?>
<styleSheet xmlns="http://schemas.openxmlformats.org/spreadsheetml/2006/main">
  <numFmts count="4">
    <numFmt numFmtId="43" formatCode="_-* #,##0.00_р_._-;\-* #,##0.00_р_._-;_-* &quot;-&quot;??_р_._-;_-@_-"/>
    <numFmt numFmtId="164" formatCode="0.0%"/>
    <numFmt numFmtId="165" formatCode="#,##0.0"/>
    <numFmt numFmtId="166" formatCode="0.0"/>
  </numFmts>
  <fonts count="15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sz val="7"/>
      <color theme="1"/>
      <name val="Arial"/>
      <family val="2"/>
      <charset val="204"/>
    </font>
    <font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9" applyFont="1" applyBorder="1" applyAlignment="1">
      <alignment horizontal="center" vertical="center" wrapText="1"/>
    </xf>
    <xf numFmtId="0" fontId="5" fillId="0" borderId="0" xfId="0" applyFont="1" applyBorder="1" applyAlignment="1"/>
    <xf numFmtId="0" fontId="5" fillId="3" borderId="0" xfId="0" applyFont="1" applyFill="1" applyBorder="1" applyAlignment="1"/>
    <xf numFmtId="0" fontId="7" fillId="0" borderId="0" xfId="0" applyFont="1" applyBorder="1" applyAlignment="1"/>
    <xf numFmtId="0" fontId="2" fillId="2" borderId="1" xfId="7" applyFont="1" applyFill="1" applyBorder="1" applyAlignment="1">
      <alignment horizontal="center" vertical="center" wrapText="1"/>
    </xf>
    <xf numFmtId="3" fontId="10" fillId="0" borderId="2" xfId="0" applyNumberFormat="1" applyFont="1" applyBorder="1"/>
    <xf numFmtId="3" fontId="10" fillId="3" borderId="2" xfId="0" applyNumberFormat="1" applyFont="1" applyFill="1" applyBorder="1"/>
    <xf numFmtId="3" fontId="10" fillId="0" borderId="2" xfId="0" applyNumberFormat="1" applyFont="1" applyBorder="1" applyAlignment="1"/>
    <xf numFmtId="164" fontId="10" fillId="0" borderId="2" xfId="11" applyNumberFormat="1" applyFont="1" applyBorder="1" applyAlignment="1"/>
    <xf numFmtId="165" fontId="10" fillId="0" borderId="2" xfId="0" applyNumberFormat="1" applyFont="1" applyBorder="1"/>
    <xf numFmtId="3" fontId="10" fillId="0" borderId="3" xfId="0" applyNumberFormat="1" applyFont="1" applyBorder="1"/>
    <xf numFmtId="164" fontId="10" fillId="0" borderId="3" xfId="11" applyNumberFormat="1" applyFont="1" applyBorder="1"/>
    <xf numFmtId="3" fontId="10" fillId="3" borderId="3" xfId="0" applyNumberFormat="1" applyFont="1" applyFill="1" applyBorder="1"/>
    <xf numFmtId="0" fontId="10" fillId="0" borderId="3" xfId="0" applyFont="1" applyBorder="1" applyAlignment="1"/>
    <xf numFmtId="164" fontId="10" fillId="0" borderId="3" xfId="11" applyNumberFormat="1" applyFont="1" applyBorder="1" applyAlignment="1"/>
    <xf numFmtId="165" fontId="10" fillId="0" borderId="3" xfId="0" applyNumberFormat="1" applyFont="1" applyBorder="1"/>
    <xf numFmtId="3" fontId="2" fillId="3" borderId="7" xfId="0" applyNumberFormat="1" applyFont="1" applyFill="1" applyBorder="1"/>
    <xf numFmtId="0" fontId="6" fillId="0" borderId="0" xfId="0" applyFont="1" applyBorder="1" applyAlignment="1"/>
    <xf numFmtId="164" fontId="2" fillId="0" borderId="2" xfId="11" applyNumberFormat="1" applyFont="1" applyBorder="1" applyAlignment="1"/>
    <xf numFmtId="165" fontId="2" fillId="0" borderId="2" xfId="0" applyNumberFormat="1" applyFont="1" applyBorder="1"/>
    <xf numFmtId="164" fontId="2" fillId="0" borderId="3" xfId="11" applyNumberFormat="1" applyFont="1" applyBorder="1"/>
    <xf numFmtId="3" fontId="2" fillId="0" borderId="2" xfId="0" applyNumberFormat="1" applyFont="1" applyBorder="1"/>
    <xf numFmtId="3" fontId="2" fillId="3" borderId="2" xfId="0" applyNumberFormat="1" applyFont="1" applyFill="1" applyBorder="1"/>
    <xf numFmtId="3" fontId="2" fillId="0" borderId="3" xfId="0" applyNumberFormat="1" applyFont="1" applyBorder="1"/>
    <xf numFmtId="3" fontId="2" fillId="3" borderId="3" xfId="0" applyNumberFormat="1" applyFont="1" applyFill="1" applyBorder="1"/>
    <xf numFmtId="0" fontId="2" fillId="0" borderId="3" xfId="0" applyFont="1" applyBorder="1" applyAlignment="1"/>
    <xf numFmtId="164" fontId="2" fillId="0" borderId="3" xfId="11" applyNumberFormat="1" applyFont="1" applyBorder="1" applyAlignment="1"/>
    <xf numFmtId="165" fontId="2" fillId="0" borderId="3" xfId="0" applyNumberFormat="1" applyFont="1" applyBorder="1"/>
    <xf numFmtId="0" fontId="9" fillId="3" borderId="2" xfId="6" applyFont="1" applyFill="1" applyBorder="1" applyAlignment="1">
      <alignment horizontal="center" vertical="center" wrapText="1"/>
    </xf>
    <xf numFmtId="0" fontId="8" fillId="0" borderId="0" xfId="0" applyFont="1" applyFill="1" applyAlignment="1"/>
    <xf numFmtId="0" fontId="9" fillId="0" borderId="0" xfId="0" applyFont="1" applyFill="1" applyAlignment="1"/>
    <xf numFmtId="0" fontId="8" fillId="0" borderId="0" xfId="0" applyFont="1" applyFill="1"/>
    <xf numFmtId="0" fontId="9" fillId="0" borderId="0" xfId="0" applyFont="1" applyFill="1"/>
    <xf numFmtId="0" fontId="9" fillId="0" borderId="2" xfId="5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 wrapText="1"/>
    </xf>
    <xf numFmtId="0" fontId="9" fillId="0" borderId="2" xfId="8" applyFont="1" applyFill="1" applyBorder="1" applyAlignment="1">
      <alignment horizontal="center" vertical="center" wrapText="1"/>
    </xf>
    <xf numFmtId="0" fontId="9" fillId="0" borderId="2" xfId="10" applyFont="1" applyFill="1" applyBorder="1" applyAlignment="1">
      <alignment horizontal="center" vertical="center" wrapText="1"/>
    </xf>
    <xf numFmtId="0" fontId="9" fillId="0" borderId="2" xfId="9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6" fillId="0" borderId="0" xfId="0" applyFont="1" applyFill="1"/>
    <xf numFmtId="0" fontId="11" fillId="0" borderId="0" xfId="0" applyFont="1" applyBorder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2" fillId="0" borderId="1" xfId="5" applyFont="1" applyBorder="1" applyAlignment="1">
      <alignment horizontal="center" vertical="center" wrapText="1"/>
    </xf>
    <xf numFmtId="0" fontId="2" fillId="2" borderId="1" xfId="6" applyFont="1" applyFill="1" applyBorder="1" applyAlignment="1">
      <alignment horizontal="center" vertical="center" wrapText="1"/>
    </xf>
    <xf numFmtId="165" fontId="10" fillId="0" borderId="2" xfId="0" applyNumberFormat="1" applyFont="1" applyFill="1" applyBorder="1"/>
    <xf numFmtId="0" fontId="10" fillId="0" borderId="0" xfId="0" applyFont="1" applyBorder="1" applyAlignment="1"/>
    <xf numFmtId="0" fontId="2" fillId="0" borderId="0" xfId="0" applyFont="1" applyBorder="1" applyAlignment="1"/>
    <xf numFmtId="0" fontId="10" fillId="0" borderId="2" xfId="0" applyFont="1" applyBorder="1"/>
    <xf numFmtId="0" fontId="10" fillId="3" borderId="2" xfId="0" applyFont="1" applyFill="1" applyBorder="1"/>
    <xf numFmtId="165" fontId="2" fillId="0" borderId="7" xfId="0" applyNumberFormat="1" applyFont="1" applyBorder="1"/>
    <xf numFmtId="164" fontId="2" fillId="0" borderId="7" xfId="11" applyNumberFormat="1" applyFont="1" applyBorder="1"/>
    <xf numFmtId="0" fontId="10" fillId="0" borderId="2" xfId="11" applyNumberFormat="1" applyFont="1" applyBorder="1"/>
    <xf numFmtId="164" fontId="10" fillId="0" borderId="2" xfId="0" applyNumberFormat="1" applyFont="1" applyBorder="1" applyAlignment="1"/>
    <xf numFmtId="3" fontId="10" fillId="0" borderId="8" xfId="0" applyNumberFormat="1" applyFont="1" applyBorder="1"/>
    <xf numFmtId="0" fontId="10" fillId="0" borderId="8" xfId="11" applyNumberFormat="1" applyFont="1" applyBorder="1"/>
    <xf numFmtId="3" fontId="10" fillId="3" borderId="11" xfId="0" applyNumberFormat="1" applyFont="1" applyFill="1" applyBorder="1"/>
    <xf numFmtId="3" fontId="10" fillId="0" borderId="9" xfId="0" applyNumberFormat="1" applyFont="1" applyBorder="1"/>
    <xf numFmtId="164" fontId="10" fillId="0" borderId="12" xfId="11" applyNumberFormat="1" applyFont="1" applyBorder="1"/>
    <xf numFmtId="164" fontId="10" fillId="0" borderId="7" xfId="11" applyNumberFormat="1" applyFont="1" applyBorder="1"/>
    <xf numFmtId="3" fontId="10" fillId="3" borderId="10" xfId="0" applyNumberFormat="1" applyFont="1" applyFill="1" applyBorder="1"/>
    <xf numFmtId="165" fontId="10" fillId="0" borderId="8" xfId="0" applyNumberFormat="1" applyFont="1" applyBorder="1"/>
    <xf numFmtId="165" fontId="10" fillId="0" borderId="9" xfId="0" applyNumberFormat="1" applyFont="1" applyBorder="1"/>
    <xf numFmtId="0" fontId="10" fillId="0" borderId="2" xfId="0" applyNumberFormat="1" applyFont="1" applyBorder="1"/>
    <xf numFmtId="0" fontId="10" fillId="0" borderId="8" xfId="0" applyNumberFormat="1" applyFont="1" applyBorder="1"/>
    <xf numFmtId="3" fontId="5" fillId="0" borderId="0" xfId="0" applyNumberFormat="1" applyFont="1" applyBorder="1" applyAlignment="1"/>
    <xf numFmtId="0" fontId="10" fillId="0" borderId="2" xfId="12" applyNumberFormat="1" applyFont="1" applyBorder="1" applyAlignment="1">
      <alignment horizontal="right"/>
    </xf>
    <xf numFmtId="165" fontId="10" fillId="0" borderId="3" xfId="0" applyNumberFormat="1" applyFont="1" applyFill="1" applyBorder="1"/>
    <xf numFmtId="165" fontId="2" fillId="0" borderId="2" xfId="0" applyNumberFormat="1" applyFont="1" applyFill="1" applyBorder="1"/>
    <xf numFmtId="165" fontId="2" fillId="0" borderId="3" xfId="0" applyNumberFormat="1" applyFont="1" applyFill="1" applyBorder="1"/>
    <xf numFmtId="3" fontId="2" fillId="0" borderId="2" xfId="0" applyNumberFormat="1" applyFont="1" applyFill="1" applyBorder="1"/>
    <xf numFmtId="3" fontId="2" fillId="0" borderId="1" xfId="0" applyNumberFormat="1" applyFont="1" applyBorder="1"/>
    <xf numFmtId="0" fontId="10" fillId="3" borderId="3" xfId="0" applyFont="1" applyFill="1" applyBorder="1"/>
    <xf numFmtId="0" fontId="7" fillId="3" borderId="0" xfId="0" applyFont="1" applyFill="1" applyBorder="1" applyAlignment="1"/>
    <xf numFmtId="3" fontId="10" fillId="3" borderId="8" xfId="0" applyNumberFormat="1" applyFont="1" applyFill="1" applyBorder="1"/>
    <xf numFmtId="3" fontId="10" fillId="3" borderId="9" xfId="0" applyNumberFormat="1" applyFont="1" applyFill="1" applyBorder="1"/>
    <xf numFmtId="0" fontId="10" fillId="3" borderId="11" xfId="0" applyFont="1" applyFill="1" applyBorder="1"/>
    <xf numFmtId="0" fontId="5" fillId="3" borderId="3" xfId="0" applyFont="1" applyFill="1" applyBorder="1" applyAlignment="1"/>
    <xf numFmtId="0" fontId="7" fillId="3" borderId="3" xfId="0" applyFont="1" applyFill="1" applyBorder="1" applyAlignment="1"/>
    <xf numFmtId="0" fontId="10" fillId="0" borderId="3" xfId="11" applyNumberFormat="1" applyFont="1" applyBorder="1"/>
    <xf numFmtId="1" fontId="10" fillId="0" borderId="3" xfId="11" applyNumberFormat="1" applyFont="1" applyBorder="1"/>
    <xf numFmtId="1" fontId="10" fillId="0" borderId="2" xfId="12" applyNumberFormat="1" applyFont="1" applyBorder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3" fontId="10" fillId="0" borderId="2" xfId="0" applyNumberFormat="1" applyFont="1" applyFill="1" applyBorder="1"/>
    <xf numFmtId="3" fontId="10" fillId="0" borderId="2" xfId="0" applyNumberFormat="1" applyFont="1" applyFill="1" applyBorder="1" applyAlignment="1"/>
    <xf numFmtId="164" fontId="10" fillId="0" borderId="2" xfId="11" applyNumberFormat="1" applyFont="1" applyFill="1" applyBorder="1" applyAlignment="1"/>
    <xf numFmtId="0" fontId="5" fillId="0" borderId="0" xfId="0" applyFont="1" applyFill="1" applyBorder="1" applyAlignment="1"/>
    <xf numFmtId="3" fontId="10" fillId="0" borderId="3" xfId="0" applyNumberFormat="1" applyFont="1" applyFill="1" applyBorder="1"/>
    <xf numFmtId="164" fontId="10" fillId="0" borderId="3" xfId="11" applyNumberFormat="1" applyFont="1" applyFill="1" applyBorder="1"/>
    <xf numFmtId="0" fontId="10" fillId="0" borderId="3" xfId="0" applyFont="1" applyFill="1" applyBorder="1" applyAlignment="1"/>
    <xf numFmtId="164" fontId="10" fillId="0" borderId="3" xfId="11" applyNumberFormat="1" applyFont="1" applyFill="1" applyBorder="1" applyAlignment="1"/>
    <xf numFmtId="165" fontId="10" fillId="0" borderId="7" xfId="0" applyNumberFormat="1" applyFont="1" applyFill="1" applyBorder="1"/>
    <xf numFmtId="0" fontId="2" fillId="0" borderId="2" xfId="12" applyNumberFormat="1" applyFont="1" applyFill="1" applyBorder="1"/>
    <xf numFmtId="0" fontId="0" fillId="0" borderId="1" xfId="0" applyFill="1" applyBorder="1"/>
    <xf numFmtId="0" fontId="14" fillId="0" borderId="1" xfId="0" applyFont="1" applyFill="1" applyBorder="1"/>
    <xf numFmtId="49" fontId="10" fillId="0" borderId="2" xfId="0" applyNumberFormat="1" applyFont="1" applyBorder="1" applyAlignment="1">
      <alignment horizontal="right"/>
    </xf>
    <xf numFmtId="165" fontId="10" fillId="4" borderId="2" xfId="0" applyNumberFormat="1" applyFont="1" applyFill="1" applyBorder="1"/>
    <xf numFmtId="0" fontId="2" fillId="2" borderId="2" xfId="7" applyFont="1" applyFill="1" applyBorder="1" applyAlignment="1">
      <alignment horizontal="center" vertical="center" wrapText="1"/>
    </xf>
    <xf numFmtId="0" fontId="2" fillId="2" borderId="3" xfId="7" applyFont="1" applyFill="1" applyBorder="1" applyAlignment="1">
      <alignment horizontal="center" vertical="center" wrapText="1"/>
    </xf>
    <xf numFmtId="166" fontId="10" fillId="3" borderId="11" xfId="0" applyNumberFormat="1" applyFont="1" applyFill="1" applyBorder="1"/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2" fillId="0" borderId="2" xfId="5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4" xfId="5" applyFont="1" applyBorder="1" applyAlignment="1">
      <alignment horizontal="center" vertical="center" wrapText="1"/>
    </xf>
    <xf numFmtId="0" fontId="2" fillId="0" borderId="6" xfId="5" applyFont="1" applyBorder="1" applyAlignment="1">
      <alignment horizontal="center" vertical="center" wrapText="1"/>
    </xf>
    <xf numFmtId="0" fontId="2" fillId="0" borderId="5" xfId="5" applyFont="1" applyBorder="1" applyAlignment="1">
      <alignment horizontal="center" vertical="center" wrapText="1"/>
    </xf>
    <xf numFmtId="0" fontId="2" fillId="2" borderId="4" xfId="6" applyFont="1" applyFill="1" applyBorder="1" applyAlignment="1">
      <alignment horizontal="center" vertical="center" wrapText="1"/>
    </xf>
    <xf numFmtId="0" fontId="2" fillId="2" borderId="6" xfId="6" applyFont="1" applyFill="1" applyBorder="1" applyAlignment="1">
      <alignment horizontal="center" vertical="center" wrapText="1"/>
    </xf>
    <xf numFmtId="0" fontId="2" fillId="2" borderId="5" xfId="6" applyFont="1" applyFill="1" applyBorder="1" applyAlignment="1">
      <alignment horizontal="center" vertical="center" wrapText="1"/>
    </xf>
    <xf numFmtId="0" fontId="2" fillId="2" borderId="1" xfId="7" applyFont="1" applyFill="1" applyBorder="1" applyAlignment="1">
      <alignment horizontal="center" vertical="center" wrapText="1"/>
    </xf>
    <xf numFmtId="0" fontId="2" fillId="0" borderId="2" xfId="8" applyFont="1" applyBorder="1" applyAlignment="1">
      <alignment horizontal="center" vertical="center" wrapText="1"/>
    </xf>
    <xf numFmtId="0" fontId="2" fillId="0" borderId="3" xfId="8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0" fontId="2" fillId="0" borderId="2" xfId="10" applyFont="1" applyBorder="1" applyAlignment="1">
      <alignment horizontal="center" vertical="center" wrapText="1"/>
    </xf>
    <xf numFmtId="0" fontId="2" fillId="0" borderId="3" xfId="1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</cellXfs>
  <cellStyles count="13">
    <cellStyle name="Обычный" xfId="0" builtinId="0"/>
    <cellStyle name="Обычный 10" xfId="1"/>
    <cellStyle name="Обычный 11" xfId="2"/>
    <cellStyle name="Обычный 12" xfId="3"/>
    <cellStyle name="Обычный 13" xfId="4"/>
    <cellStyle name="Обычный 3" xfId="5"/>
    <cellStyle name="Обычный 4" xfId="6"/>
    <cellStyle name="Обычный 5" xfId="7"/>
    <cellStyle name="Обычный 6" xfId="8"/>
    <cellStyle name="Обычный 7" xfId="9"/>
    <cellStyle name="Обычный 8" xfId="10"/>
    <cellStyle name="Процентный" xfId="11" builtinId="5"/>
    <cellStyle name="Финансовый" xfId="1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98"/>
  <sheetViews>
    <sheetView showZeros="0" tabSelected="1" zoomScaleSheetLayoutView="100" workbookViewId="0">
      <pane xSplit="3" ySplit="3" topLeftCell="D4" activePane="bottomRight" state="frozenSplit"/>
      <selection pane="topRight" activeCell="C1" sqref="C1"/>
      <selection pane="bottomLeft" activeCell="A2" sqref="A2"/>
      <selection pane="bottomRight" activeCell="C144" sqref="C144:C145"/>
    </sheetView>
  </sheetViews>
  <sheetFormatPr defaultRowHeight="11.25"/>
  <cols>
    <col min="1" max="1" width="2.85546875" style="46" bestFit="1" customWidth="1"/>
    <col min="2" max="2" width="4.85546875" style="46" bestFit="1" customWidth="1"/>
    <col min="3" max="3" width="18.7109375" style="4" customWidth="1"/>
    <col min="4" max="4" width="9.28515625" style="4" customWidth="1"/>
    <col min="5" max="5" width="9.140625" style="4" customWidth="1"/>
    <col min="6" max="6" width="10.85546875" style="4" bestFit="1" customWidth="1"/>
    <col min="7" max="7" width="8.28515625" style="4" customWidth="1"/>
    <col min="8" max="8" width="9.140625" style="4" customWidth="1"/>
    <col min="9" max="10" width="9.42578125" style="5" hidden="1" customWidth="1"/>
    <col min="11" max="11" width="9.5703125" style="5" hidden="1" customWidth="1"/>
    <col min="12" max="12" width="8.140625" style="5" hidden="1" customWidth="1"/>
    <col min="13" max="14" width="9" style="5" hidden="1" customWidth="1"/>
    <col min="15" max="15" width="8.28515625" style="4" customWidth="1"/>
    <col min="16" max="16" width="12.85546875" style="4" bestFit="1" customWidth="1"/>
    <col min="17" max="17" width="11.140625" style="4" bestFit="1" customWidth="1"/>
    <col min="18" max="18" width="13.5703125" style="4" customWidth="1"/>
    <col min="19" max="20" width="9.85546875" style="4" customWidth="1"/>
    <col min="21" max="21" width="11.140625" style="4" customWidth="1"/>
    <col min="22" max="23" width="9" style="4" customWidth="1"/>
    <col min="24" max="24" width="14.7109375" style="4" customWidth="1"/>
    <col min="25" max="25" width="16" style="4" customWidth="1"/>
    <col min="26" max="26" width="11.28515625" style="4" bestFit="1" customWidth="1"/>
    <col min="27" max="27" width="13.140625" style="4" customWidth="1"/>
    <col min="28" max="29" width="13.28515625" style="4" customWidth="1"/>
    <col min="30" max="30" width="11.7109375" style="4" hidden="1" customWidth="1"/>
    <col min="31" max="31" width="10.5703125" style="4" hidden="1" customWidth="1"/>
    <col min="32" max="16384" width="9.140625" style="4"/>
  </cols>
  <sheetData>
    <row r="1" spans="1:31" s="44" customFormat="1" ht="23.25" customHeight="1">
      <c r="A1" s="32"/>
      <c r="B1" s="33"/>
      <c r="C1" s="127" t="s">
        <v>0</v>
      </c>
      <c r="D1" s="129" t="s">
        <v>97</v>
      </c>
      <c r="E1" s="130"/>
      <c r="F1" s="130"/>
      <c r="G1" s="130"/>
      <c r="H1" s="131"/>
      <c r="I1" s="132" t="s">
        <v>102</v>
      </c>
      <c r="J1" s="133"/>
      <c r="K1" s="134"/>
      <c r="L1" s="135" t="s">
        <v>129</v>
      </c>
      <c r="M1" s="135"/>
      <c r="N1" s="106"/>
      <c r="O1" s="136" t="s">
        <v>92</v>
      </c>
      <c r="P1" s="136" t="s">
        <v>103</v>
      </c>
      <c r="Q1" s="136" t="s">
        <v>104</v>
      </c>
      <c r="R1" s="136" t="s">
        <v>93</v>
      </c>
      <c r="S1" s="136" t="s">
        <v>94</v>
      </c>
      <c r="T1" s="136" t="s">
        <v>95</v>
      </c>
      <c r="U1" s="136" t="s">
        <v>105</v>
      </c>
      <c r="V1" s="140" t="s">
        <v>115</v>
      </c>
      <c r="W1" s="3" t="s">
        <v>106</v>
      </c>
      <c r="X1" s="142" t="s">
        <v>108</v>
      </c>
      <c r="Y1" s="142" t="s">
        <v>109</v>
      </c>
      <c r="Z1" s="1" t="s">
        <v>110</v>
      </c>
      <c r="AA1" s="144" t="s">
        <v>112</v>
      </c>
      <c r="AB1" s="145"/>
      <c r="AC1" s="146" t="s">
        <v>96</v>
      </c>
      <c r="AD1" s="146" t="s">
        <v>133</v>
      </c>
      <c r="AE1" s="138" t="s">
        <v>113</v>
      </c>
    </row>
    <row r="2" spans="1:31" s="45" customFormat="1" ht="44.25" customHeight="1">
      <c r="A2" s="34"/>
      <c r="B2" s="35"/>
      <c r="C2" s="128"/>
      <c r="D2" s="51" t="s">
        <v>98</v>
      </c>
      <c r="E2" s="51" t="s">
        <v>128</v>
      </c>
      <c r="F2" s="51" t="s">
        <v>116</v>
      </c>
      <c r="G2" s="51" t="s">
        <v>100</v>
      </c>
      <c r="H2" s="51" t="s">
        <v>101</v>
      </c>
      <c r="I2" s="52" t="s">
        <v>99</v>
      </c>
      <c r="J2" s="52" t="s">
        <v>100</v>
      </c>
      <c r="K2" s="52" t="s">
        <v>101</v>
      </c>
      <c r="L2" s="7" t="s">
        <v>98</v>
      </c>
      <c r="M2" s="7" t="s">
        <v>118</v>
      </c>
      <c r="N2" s="107" t="s">
        <v>135</v>
      </c>
      <c r="O2" s="137"/>
      <c r="P2" s="137"/>
      <c r="Q2" s="137"/>
      <c r="R2" s="137"/>
      <c r="S2" s="137"/>
      <c r="T2" s="137"/>
      <c r="U2" s="137"/>
      <c r="V2" s="141"/>
      <c r="W2" s="3" t="s">
        <v>107</v>
      </c>
      <c r="X2" s="143"/>
      <c r="Y2" s="143"/>
      <c r="Z2" s="1" t="s">
        <v>111</v>
      </c>
      <c r="AA2" s="2" t="s">
        <v>114</v>
      </c>
      <c r="AB2" s="2" t="s">
        <v>134</v>
      </c>
      <c r="AC2" s="147"/>
      <c r="AD2" s="147"/>
      <c r="AE2" s="139"/>
    </row>
    <row r="3" spans="1:31" s="34" customFormat="1" ht="9">
      <c r="B3" s="35"/>
      <c r="C3" s="36"/>
      <c r="D3" s="37"/>
      <c r="E3" s="37"/>
      <c r="F3" s="37"/>
      <c r="G3" s="37"/>
      <c r="H3" s="37"/>
      <c r="I3" s="31"/>
      <c r="J3" s="31"/>
      <c r="K3" s="31"/>
      <c r="L3" s="31"/>
      <c r="M3" s="31"/>
      <c r="N3" s="31"/>
      <c r="O3" s="38"/>
      <c r="P3" s="38"/>
      <c r="Q3" s="38"/>
      <c r="R3" s="38"/>
      <c r="S3" s="38"/>
      <c r="T3" s="38"/>
      <c r="U3" s="38"/>
      <c r="V3" s="39"/>
      <c r="W3" s="40"/>
      <c r="X3" s="41"/>
      <c r="Y3" s="41"/>
      <c r="Z3" s="41"/>
      <c r="AA3" s="42"/>
      <c r="AB3" s="42"/>
      <c r="AC3" s="41"/>
      <c r="AD3" s="43"/>
      <c r="AE3" s="43"/>
    </row>
    <row r="4" spans="1:31" ht="15">
      <c r="B4" s="47" t="s">
        <v>119</v>
      </c>
      <c r="C4" s="115" t="s">
        <v>1</v>
      </c>
      <c r="D4" s="8">
        <v>5791</v>
      </c>
      <c r="E4" s="56">
        <v>23</v>
      </c>
      <c r="F4" s="56">
        <v>3219</v>
      </c>
      <c r="G4" s="56">
        <v>821</v>
      </c>
      <c r="H4" s="8">
        <v>145</v>
      </c>
      <c r="I4" s="9"/>
      <c r="J4" s="9"/>
      <c r="K4" s="82"/>
      <c r="L4" s="57">
        <v>1446092</v>
      </c>
      <c r="M4" s="84">
        <v>770639</v>
      </c>
      <c r="N4" s="108">
        <f>D4/L4*100000</f>
        <v>400.45861535780574</v>
      </c>
      <c r="O4" s="8">
        <v>4181</v>
      </c>
      <c r="P4" s="56">
        <v>629274</v>
      </c>
      <c r="Q4" s="56">
        <v>214598</v>
      </c>
      <c r="R4" s="8">
        <v>163113</v>
      </c>
      <c r="S4" s="8">
        <v>4681</v>
      </c>
      <c r="T4" s="8">
        <v>3728</v>
      </c>
      <c r="U4" s="10">
        <f>Z4+Z5</f>
        <v>14465</v>
      </c>
      <c r="V4" s="11">
        <f>W4/W5</f>
        <v>0.83352404896534493</v>
      </c>
      <c r="W4" s="56">
        <v>147053</v>
      </c>
      <c r="X4" s="8">
        <f>211513</f>
        <v>211513</v>
      </c>
      <c r="Y4" s="8">
        <v>36877</v>
      </c>
      <c r="Z4" s="8">
        <v>60</v>
      </c>
      <c r="AA4" s="11">
        <f>AB4/AD4</f>
        <v>0.24600570263184338</v>
      </c>
      <c r="AB4" s="12">
        <f>430872.1</f>
        <v>430872.1</v>
      </c>
      <c r="AC4" s="102">
        <f>363165</f>
        <v>363165</v>
      </c>
      <c r="AD4" s="12">
        <f>1751472</f>
        <v>1751472</v>
      </c>
      <c r="AE4" s="53">
        <f>AD4*1000/L4</f>
        <v>1211.1760524226675</v>
      </c>
    </row>
    <row r="5" spans="1:31">
      <c r="B5" s="47" t="s">
        <v>119</v>
      </c>
      <c r="C5" s="116"/>
      <c r="D5" s="13"/>
      <c r="E5" s="13"/>
      <c r="F5" s="14"/>
      <c r="G5" s="14"/>
      <c r="H5" s="14"/>
      <c r="I5" s="15"/>
      <c r="J5" s="15"/>
      <c r="K5" s="83"/>
      <c r="L5" s="85"/>
      <c r="M5" s="68"/>
      <c r="N5" s="108"/>
      <c r="O5" s="13"/>
      <c r="P5" s="14">
        <f>P4/L4</f>
        <v>0.43515488641109973</v>
      </c>
      <c r="Q5" s="14">
        <f>Q4/M4</f>
        <v>0.27846760934756742</v>
      </c>
      <c r="R5" s="13"/>
      <c r="S5" s="13"/>
      <c r="T5" s="14">
        <f>T4/S4</f>
        <v>0.79641102328562274</v>
      </c>
      <c r="U5" s="16"/>
      <c r="V5" s="16"/>
      <c r="W5" s="13">
        <f>0.122*L4</f>
        <v>176423.22399999999</v>
      </c>
      <c r="X5" s="13"/>
      <c r="Y5" s="13"/>
      <c r="Z5" s="13">
        <v>14405</v>
      </c>
      <c r="AA5" s="17"/>
      <c r="AB5" s="18"/>
      <c r="AC5" s="13"/>
      <c r="AD5" s="18"/>
      <c r="AE5" s="18"/>
    </row>
    <row r="6" spans="1:31">
      <c r="B6" s="47" t="s">
        <v>119</v>
      </c>
      <c r="C6" s="109" t="s">
        <v>2</v>
      </c>
      <c r="D6" s="4">
        <v>2694</v>
      </c>
      <c r="E6" s="56">
        <v>24</v>
      </c>
      <c r="F6" s="56">
        <v>1472</v>
      </c>
      <c r="G6" s="56">
        <v>652</v>
      </c>
      <c r="H6" s="8">
        <v>45</v>
      </c>
      <c r="I6" s="9"/>
      <c r="J6" s="9"/>
      <c r="K6" s="82"/>
      <c r="L6" s="57">
        <v>1131173</v>
      </c>
      <c r="M6" s="84">
        <v>605022</v>
      </c>
      <c r="N6" s="108">
        <f t="shared" ref="N6:N68" si="0">D6/L6*100000</f>
        <v>238.15985706872422</v>
      </c>
      <c r="O6" s="8">
        <v>2308</v>
      </c>
      <c r="P6" s="87">
        <v>311698</v>
      </c>
      <c r="Q6" s="56">
        <v>116548</v>
      </c>
      <c r="R6" s="8">
        <v>41808</v>
      </c>
      <c r="S6" s="8">
        <v>5291</v>
      </c>
      <c r="T6" s="8">
        <v>3676</v>
      </c>
      <c r="U6" s="10">
        <f>Z6+Z7</f>
        <v>7404</v>
      </c>
      <c r="V6" s="11">
        <f>W6/W7</f>
        <v>0.59754452193271645</v>
      </c>
      <c r="W6" s="56">
        <v>82463</v>
      </c>
      <c r="X6" s="56">
        <v>77484</v>
      </c>
      <c r="Y6" s="8">
        <v>23603</v>
      </c>
      <c r="Z6" s="8">
        <v>40</v>
      </c>
      <c r="AA6" s="11">
        <f>AB6/AD6</f>
        <v>8.5598201901542659E-2</v>
      </c>
      <c r="AB6" s="12">
        <f>89219.1</f>
        <v>89219.1</v>
      </c>
      <c r="AC6" s="8">
        <v>80100</v>
      </c>
      <c r="AD6" s="12">
        <f>1042301.1</f>
        <v>1042301.1</v>
      </c>
      <c r="AE6" s="12">
        <f>AD6*1000/L6</f>
        <v>921.4338567133409</v>
      </c>
    </row>
    <row r="7" spans="1:31">
      <c r="B7" s="47" t="s">
        <v>119</v>
      </c>
      <c r="C7" s="110"/>
      <c r="D7" s="13"/>
      <c r="E7" s="13"/>
      <c r="F7" s="14"/>
      <c r="G7" s="14"/>
      <c r="H7" s="14"/>
      <c r="I7" s="15"/>
      <c r="J7" s="15"/>
      <c r="K7" s="83"/>
      <c r="L7" s="85"/>
      <c r="M7" s="68"/>
      <c r="N7" s="108"/>
      <c r="O7" s="13"/>
      <c r="P7" s="14">
        <f t="shared" ref="P7:P39" si="1">P6/L6</f>
        <v>0.27555289951227618</v>
      </c>
      <c r="Q7" s="14">
        <f>Q6/M6</f>
        <v>0.19263431742977941</v>
      </c>
      <c r="R7" s="13"/>
      <c r="S7" s="13"/>
      <c r="T7" s="14">
        <f>T6/S6</f>
        <v>0.69476469476469471</v>
      </c>
      <c r="U7" s="16"/>
      <c r="V7" s="16"/>
      <c r="W7" s="13">
        <f t="shared" ref="W7" si="2">0.122*L6</f>
        <v>138003.106</v>
      </c>
      <c r="X7" s="13"/>
      <c r="Y7" s="13"/>
      <c r="Z7" s="13">
        <v>7364</v>
      </c>
      <c r="AA7" s="17"/>
      <c r="AB7" s="18"/>
      <c r="AC7" s="13"/>
      <c r="AD7" s="18"/>
      <c r="AE7" s="18"/>
    </row>
    <row r="8" spans="1:31" s="6" customFormat="1">
      <c r="A8" s="48"/>
      <c r="B8" s="47" t="s">
        <v>119</v>
      </c>
      <c r="C8" s="109" t="s">
        <v>3</v>
      </c>
      <c r="D8" s="8">
        <v>3394</v>
      </c>
      <c r="E8" s="56">
        <v>33</v>
      </c>
      <c r="F8" s="56">
        <v>1754</v>
      </c>
      <c r="G8" s="56">
        <v>746</v>
      </c>
      <c r="H8" s="8">
        <v>63</v>
      </c>
      <c r="I8" s="9"/>
      <c r="J8" s="9"/>
      <c r="K8" s="82"/>
      <c r="L8" s="57">
        <v>1288447</v>
      </c>
      <c r="M8" s="84">
        <v>694869</v>
      </c>
      <c r="N8" s="108">
        <f t="shared" si="0"/>
        <v>263.41789767060652</v>
      </c>
      <c r="O8" s="8">
        <v>3839</v>
      </c>
      <c r="P8" s="87">
        <v>502393</v>
      </c>
      <c r="Q8" s="56">
        <f>244131</f>
        <v>244131</v>
      </c>
      <c r="R8" s="8">
        <v>104780</v>
      </c>
      <c r="S8" s="8">
        <v>4605</v>
      </c>
      <c r="T8" s="8">
        <v>2047</v>
      </c>
      <c r="U8" s="10">
        <f t="shared" ref="U8" si="3">Z8+Z9</f>
        <v>47038</v>
      </c>
      <c r="V8" s="11">
        <f>W8/W9</f>
        <v>0.54658507617258945</v>
      </c>
      <c r="W8" s="56">
        <v>85918</v>
      </c>
      <c r="X8" s="56">
        <f>172421</f>
        <v>172421</v>
      </c>
      <c r="Y8" s="8">
        <v>30520</v>
      </c>
      <c r="Z8" s="8">
        <v>53</v>
      </c>
      <c r="AA8" s="11">
        <f>AB8/AD8</f>
        <v>0.22614302170123479</v>
      </c>
      <c r="AB8" s="12">
        <f>539723.7</f>
        <v>539723.69999999995</v>
      </c>
      <c r="AC8" s="8">
        <v>300089</v>
      </c>
      <c r="AD8" s="12">
        <f>2386647.6</f>
        <v>2386647.6</v>
      </c>
      <c r="AE8" s="12">
        <f>AD8*1000/L8</f>
        <v>1852.3444115279867</v>
      </c>
    </row>
    <row r="9" spans="1:31" s="6" customFormat="1">
      <c r="A9" s="48"/>
      <c r="B9" s="47" t="s">
        <v>119</v>
      </c>
      <c r="C9" s="110"/>
      <c r="D9" s="13"/>
      <c r="E9" s="13"/>
      <c r="F9" s="14"/>
      <c r="G9" s="14"/>
      <c r="H9" s="14"/>
      <c r="I9" s="15"/>
      <c r="J9" s="15"/>
      <c r="K9" s="83"/>
      <c r="L9" s="86"/>
      <c r="M9" s="68"/>
      <c r="N9" s="108"/>
      <c r="O9" s="13"/>
      <c r="P9" s="14">
        <f t="shared" si="1"/>
        <v>0.38992135493349744</v>
      </c>
      <c r="Q9" s="14">
        <f>Q8/M8</f>
        <v>0.35133384853835758</v>
      </c>
      <c r="R9" s="13"/>
      <c r="S9" s="13"/>
      <c r="T9" s="14">
        <f>T8/S8</f>
        <v>0.44451682953311616</v>
      </c>
      <c r="U9" s="16"/>
      <c r="V9" s="16"/>
      <c r="W9" s="13">
        <f t="shared" ref="W9" si="4">0.122*L8</f>
        <v>157190.53399999999</v>
      </c>
      <c r="X9" s="13"/>
      <c r="Y9" s="13"/>
      <c r="Z9" s="13">
        <v>46985</v>
      </c>
      <c r="AA9" s="17"/>
      <c r="AB9" s="18"/>
      <c r="AC9" s="13"/>
      <c r="AD9" s="18"/>
      <c r="AE9" s="18"/>
    </row>
    <row r="10" spans="1:31">
      <c r="B10" s="47" t="s">
        <v>119</v>
      </c>
      <c r="C10" s="109" t="s">
        <v>4</v>
      </c>
      <c r="D10" s="8">
        <v>6078</v>
      </c>
      <c r="E10" s="56">
        <v>4</v>
      </c>
      <c r="F10" s="56">
        <v>4366</v>
      </c>
      <c r="G10" s="56">
        <v>1106</v>
      </c>
      <c r="H10" s="8">
        <v>60</v>
      </c>
      <c r="I10" s="9"/>
      <c r="J10" s="9"/>
      <c r="K10" s="82"/>
      <c r="L10" s="57">
        <v>2160424</v>
      </c>
      <c r="M10" s="84">
        <v>1151757</v>
      </c>
      <c r="N10" s="108">
        <f t="shared" si="0"/>
        <v>281.3336641325962</v>
      </c>
      <c r="O10" s="8">
        <v>6711</v>
      </c>
      <c r="P10" s="87">
        <v>913842</v>
      </c>
      <c r="Q10" s="56">
        <f>370593</f>
        <v>370593</v>
      </c>
      <c r="R10" s="8">
        <v>189317</v>
      </c>
      <c r="S10" s="8">
        <v>40148</v>
      </c>
      <c r="T10" s="8">
        <v>36726</v>
      </c>
      <c r="U10" s="10">
        <f t="shared" ref="U10" si="5">Z10+Z11</f>
        <v>28061</v>
      </c>
      <c r="V10" s="11">
        <f>W10/W11</f>
        <v>0.68025884779265855</v>
      </c>
      <c r="W10" s="56">
        <f>179297</f>
        <v>179297</v>
      </c>
      <c r="X10" s="56">
        <f>360262</f>
        <v>360262</v>
      </c>
      <c r="Y10" s="8">
        <v>65014</v>
      </c>
      <c r="Z10" s="8">
        <v>111</v>
      </c>
      <c r="AA10" s="11">
        <f>AB10/AD10</f>
        <v>0.14799200175611571</v>
      </c>
      <c r="AB10" s="12">
        <f>529365.2</f>
        <v>529365.19999999995</v>
      </c>
      <c r="AC10" s="8">
        <v>338745</v>
      </c>
      <c r="AD10" s="12">
        <f>3576985.2</f>
        <v>3576985.2</v>
      </c>
      <c r="AE10" s="12">
        <f>AD10*1000/L10</f>
        <v>1655.6866615071856</v>
      </c>
    </row>
    <row r="11" spans="1:31">
      <c r="B11" s="47" t="s">
        <v>119</v>
      </c>
      <c r="C11" s="110"/>
      <c r="D11" s="13"/>
      <c r="E11" s="13"/>
      <c r="F11" s="14"/>
      <c r="G11" s="14"/>
      <c r="H11" s="14"/>
      <c r="I11" s="15"/>
      <c r="J11" s="15"/>
      <c r="K11" s="83"/>
      <c r="L11" s="85"/>
      <c r="M11" s="68"/>
      <c r="N11" s="108"/>
      <c r="O11" s="13"/>
      <c r="P11" s="14">
        <f t="shared" si="1"/>
        <v>0.42299196824327079</v>
      </c>
      <c r="Q11" s="14">
        <f>Q10/M10</f>
        <v>0.32176318442171398</v>
      </c>
      <c r="R11" s="13"/>
      <c r="S11" s="13"/>
      <c r="T11" s="14">
        <f>T10/S10</f>
        <v>0.91476536813788978</v>
      </c>
      <c r="U11" s="16"/>
      <c r="V11" s="16"/>
      <c r="W11" s="13">
        <f t="shared" ref="W11" si="6">0.122*L10</f>
        <v>263571.728</v>
      </c>
      <c r="X11" s="13"/>
      <c r="Y11" s="13"/>
      <c r="Z11" s="13">
        <v>27950</v>
      </c>
      <c r="AA11" s="17"/>
      <c r="AB11" s="18"/>
      <c r="AC11" s="13"/>
      <c r="AD11" s="18"/>
      <c r="AE11" s="18"/>
    </row>
    <row r="12" spans="1:31">
      <c r="B12" s="47" t="s">
        <v>119</v>
      </c>
      <c r="C12" s="109" t="s">
        <v>5</v>
      </c>
      <c r="D12" s="8">
        <v>2140</v>
      </c>
      <c r="E12" s="56">
        <v>21</v>
      </c>
      <c r="F12" s="56">
        <v>1044</v>
      </c>
      <c r="G12" s="56">
        <v>521</v>
      </c>
      <c r="H12" s="8">
        <v>32</v>
      </c>
      <c r="I12" s="9"/>
      <c r="J12" s="9"/>
      <c r="K12" s="82"/>
      <c r="L12" s="57">
        <v>947424</v>
      </c>
      <c r="M12" s="84">
        <v>512337</v>
      </c>
      <c r="N12" s="108">
        <f t="shared" si="0"/>
        <v>225.87563751815449</v>
      </c>
      <c r="O12" s="8">
        <v>1930</v>
      </c>
      <c r="P12" s="87">
        <v>295693</v>
      </c>
      <c r="Q12" s="56">
        <v>115362</v>
      </c>
      <c r="R12" s="8">
        <v>38127</v>
      </c>
      <c r="S12" s="8">
        <v>6102</v>
      </c>
      <c r="T12" s="8">
        <v>3444</v>
      </c>
      <c r="U12" s="10">
        <f t="shared" ref="U12" si="7">Z12+Z13</f>
        <v>7366</v>
      </c>
      <c r="V12" s="11">
        <f>W12/W13</f>
        <v>0.41019770191697025</v>
      </c>
      <c r="W12" s="56">
        <v>47413</v>
      </c>
      <c r="X12" s="56">
        <v>66943</v>
      </c>
      <c r="Y12" s="8">
        <v>37706</v>
      </c>
      <c r="Z12" s="8">
        <v>31</v>
      </c>
      <c r="AA12" s="11">
        <f>AB12/AD12</f>
        <v>5.0930024766602626E-2</v>
      </c>
      <c r="AB12" s="12">
        <f>143658</f>
        <v>143658</v>
      </c>
      <c r="AC12" s="8">
        <v>138143</v>
      </c>
      <c r="AD12" s="12">
        <f>2820693.7</f>
        <v>2820693.7</v>
      </c>
      <c r="AE12" s="53">
        <f>AD12*1000/L12</f>
        <v>2977.2242417333737</v>
      </c>
    </row>
    <row r="13" spans="1:31">
      <c r="B13" s="47" t="s">
        <v>119</v>
      </c>
      <c r="C13" s="110"/>
      <c r="D13" s="13"/>
      <c r="E13" s="13"/>
      <c r="F13" s="14"/>
      <c r="G13" s="14"/>
      <c r="H13" s="14"/>
      <c r="I13" s="15"/>
      <c r="J13" s="15"/>
      <c r="K13" s="83"/>
      <c r="L13" s="85"/>
      <c r="M13" s="68"/>
      <c r="N13" s="108"/>
      <c r="O13" s="13"/>
      <c r="P13" s="14">
        <f t="shared" si="1"/>
        <v>0.31210207890026009</v>
      </c>
      <c r="Q13" s="14">
        <f>Q12/M12</f>
        <v>0.22516819983721653</v>
      </c>
      <c r="R13" s="13"/>
      <c r="S13" s="13"/>
      <c r="T13" s="14">
        <f>T12/S12</f>
        <v>0.56440511307767949</v>
      </c>
      <c r="U13" s="16"/>
      <c r="V13" s="16"/>
      <c r="W13" s="13">
        <f t="shared" ref="W13" si="8">0.122*L12</f>
        <v>115585.728</v>
      </c>
      <c r="X13" s="13"/>
      <c r="Y13" s="13"/>
      <c r="Z13" s="13">
        <v>7335</v>
      </c>
      <c r="AA13" s="17"/>
      <c r="AB13" s="18"/>
      <c r="AC13" s="13"/>
      <c r="AD13" s="18"/>
      <c r="AE13" s="18"/>
    </row>
    <row r="14" spans="1:31">
      <c r="B14" s="47" t="s">
        <v>119</v>
      </c>
      <c r="C14" s="109" t="s">
        <v>6</v>
      </c>
      <c r="D14" s="8">
        <v>2200</v>
      </c>
      <c r="E14" s="56">
        <v>17</v>
      </c>
      <c r="F14" s="56">
        <v>996</v>
      </c>
      <c r="G14" s="56">
        <v>624</v>
      </c>
      <c r="H14" s="8">
        <v>67</v>
      </c>
      <c r="I14" s="9"/>
      <c r="J14" s="9"/>
      <c r="K14" s="82"/>
      <c r="L14" s="57">
        <v>940282</v>
      </c>
      <c r="M14" s="84">
        <v>498948</v>
      </c>
      <c r="N14" s="108">
        <f t="shared" si="0"/>
        <v>233.97236148304447</v>
      </c>
      <c r="O14" s="8">
        <v>2383</v>
      </c>
      <c r="P14" s="87">
        <v>343480</v>
      </c>
      <c r="Q14" s="56">
        <f>149413</f>
        <v>149413</v>
      </c>
      <c r="R14" s="8">
        <v>50237</v>
      </c>
      <c r="S14" s="8">
        <v>3157</v>
      </c>
      <c r="T14" s="8">
        <v>729</v>
      </c>
      <c r="U14" s="10">
        <f t="shared" ref="U14" si="9">Z14+Z15</f>
        <v>35205</v>
      </c>
      <c r="V14" s="11">
        <f>W14/W15</f>
        <v>0.89482224045726644</v>
      </c>
      <c r="W14" s="56">
        <v>102649</v>
      </c>
      <c r="X14" s="56">
        <f>135107</f>
        <v>135107</v>
      </c>
      <c r="Y14" s="8">
        <v>38276</v>
      </c>
      <c r="Z14" s="8">
        <v>46</v>
      </c>
      <c r="AA14" s="11">
        <f>AB14/AD14</f>
        <v>7.7422829067765306E-2</v>
      </c>
      <c r="AB14" s="12">
        <f>213230.5</f>
        <v>213230.5</v>
      </c>
      <c r="AC14" s="8">
        <f>249752</f>
        <v>249752</v>
      </c>
      <c r="AD14" s="12">
        <f>2754103.7</f>
        <v>2754103.7</v>
      </c>
      <c r="AE14" s="12">
        <f>AD14*1000/L14</f>
        <v>2929.0188475372283</v>
      </c>
    </row>
    <row r="15" spans="1:31">
      <c r="B15" s="47" t="s">
        <v>119</v>
      </c>
      <c r="C15" s="110"/>
      <c r="D15" s="13"/>
      <c r="E15" s="13"/>
      <c r="F15" s="14"/>
      <c r="G15" s="14"/>
      <c r="H15" s="14"/>
      <c r="I15" s="15"/>
      <c r="J15" s="15"/>
      <c r="K15" s="83"/>
      <c r="L15" s="85"/>
      <c r="M15" s="68"/>
      <c r="N15" s="108"/>
      <c r="O15" s="13"/>
      <c r="P15" s="14">
        <f t="shared" si="1"/>
        <v>0.3652946669190732</v>
      </c>
      <c r="Q15" s="14">
        <f>Q14/M14</f>
        <v>0.29945605554085797</v>
      </c>
      <c r="R15" s="13"/>
      <c r="S15" s="13"/>
      <c r="T15" s="14">
        <f>T14/S14</f>
        <v>0.23091542603737725</v>
      </c>
      <c r="U15" s="16"/>
      <c r="V15" s="16"/>
      <c r="W15" s="13">
        <f t="shared" ref="W15" si="10">0.122*L14</f>
        <v>114714.40399999999</v>
      </c>
      <c r="X15" s="13"/>
      <c r="Y15" s="13"/>
      <c r="Z15" s="13">
        <v>35159</v>
      </c>
      <c r="AA15" s="17"/>
      <c r="AB15" s="18"/>
      <c r="AC15" s="13"/>
      <c r="AD15" s="18"/>
      <c r="AE15" s="18"/>
    </row>
    <row r="16" spans="1:31">
      <c r="B16" s="47" t="s">
        <v>119</v>
      </c>
      <c r="C16" s="109" t="s">
        <v>7</v>
      </c>
      <c r="D16" s="8">
        <v>1425</v>
      </c>
      <c r="E16" s="56">
        <v>7</v>
      </c>
      <c r="F16" s="56">
        <v>660</v>
      </c>
      <c r="G16" s="56">
        <v>404</v>
      </c>
      <c r="H16" s="8">
        <v>33</v>
      </c>
      <c r="I16" s="9"/>
      <c r="J16" s="9"/>
      <c r="K16" s="82"/>
      <c r="L16" s="57">
        <v>600373</v>
      </c>
      <c r="M16" s="84">
        <v>320506</v>
      </c>
      <c r="N16" s="108">
        <f t="shared" si="0"/>
        <v>237.35244589613455</v>
      </c>
      <c r="O16" s="8">
        <v>1626</v>
      </c>
      <c r="P16" s="87">
        <v>234721</v>
      </c>
      <c r="Q16" s="56">
        <v>114883</v>
      </c>
      <c r="R16" s="8">
        <v>48858</v>
      </c>
      <c r="S16" s="8">
        <v>4008</v>
      </c>
      <c r="T16" s="8">
        <v>2665</v>
      </c>
      <c r="U16" s="10">
        <f t="shared" ref="U16" si="11">Z16+Z17</f>
        <v>9057</v>
      </c>
      <c r="V16" s="11">
        <f>W16/W17</f>
        <v>0.55708537258244895</v>
      </c>
      <c r="W16" s="56">
        <v>40804</v>
      </c>
      <c r="X16" s="56">
        <f>94770</f>
        <v>94770</v>
      </c>
      <c r="Y16" s="8">
        <v>13404</v>
      </c>
      <c r="Z16" s="8">
        <v>18</v>
      </c>
      <c r="AA16" s="11">
        <f>AB16/AD16</f>
        <v>0.30491704892696148</v>
      </c>
      <c r="AB16" s="12">
        <f>267445</f>
        <v>267445</v>
      </c>
      <c r="AC16" s="8">
        <v>105108</v>
      </c>
      <c r="AD16" s="12">
        <f>877107.4</f>
        <v>877107.4</v>
      </c>
      <c r="AE16" s="12">
        <f>AD16*1000/L16</f>
        <v>1460.9374505515739</v>
      </c>
    </row>
    <row r="17" spans="2:31">
      <c r="B17" s="47" t="s">
        <v>119</v>
      </c>
      <c r="C17" s="110"/>
      <c r="D17" s="13"/>
      <c r="E17" s="13"/>
      <c r="F17" s="14"/>
      <c r="G17" s="14"/>
      <c r="H17" s="14"/>
      <c r="I17" s="15"/>
      <c r="J17" s="15"/>
      <c r="K17" s="83"/>
      <c r="L17" s="85"/>
      <c r="M17" s="68"/>
      <c r="N17" s="108"/>
      <c r="O17" s="13"/>
      <c r="P17" s="14">
        <f t="shared" si="1"/>
        <v>0.39095862072411652</v>
      </c>
      <c r="Q17" s="14">
        <f>Q16/M16</f>
        <v>0.35844258765826537</v>
      </c>
      <c r="R17" s="13"/>
      <c r="S17" s="13"/>
      <c r="T17" s="14">
        <f>T16/S16</f>
        <v>0.66492015968063867</v>
      </c>
      <c r="U17" s="16"/>
      <c r="V17" s="16"/>
      <c r="W17" s="13">
        <f t="shared" ref="W17" si="12">0.122*L16</f>
        <v>73245.505999999994</v>
      </c>
      <c r="X17" s="13"/>
      <c r="Y17" s="13"/>
      <c r="Z17" s="13">
        <v>9039</v>
      </c>
      <c r="AA17" s="17"/>
      <c r="AB17" s="18"/>
      <c r="AC17" s="13"/>
      <c r="AD17" s="18"/>
      <c r="AE17" s="18"/>
    </row>
    <row r="18" spans="2:31">
      <c r="B18" s="47" t="s">
        <v>119</v>
      </c>
      <c r="C18" s="109" t="s">
        <v>8</v>
      </c>
      <c r="D18" s="8">
        <v>2184</v>
      </c>
      <c r="E18" s="56">
        <v>11</v>
      </c>
      <c r="F18" s="56">
        <v>1142</v>
      </c>
      <c r="G18" s="56">
        <v>669</v>
      </c>
      <c r="H18" s="8">
        <v>41</v>
      </c>
      <c r="I18" s="9"/>
      <c r="J18" s="9"/>
      <c r="K18" s="82"/>
      <c r="L18" s="57">
        <v>1041306</v>
      </c>
      <c r="M18" s="84">
        <v>561325</v>
      </c>
      <c r="N18" s="108">
        <f t="shared" si="0"/>
        <v>209.73661920703424</v>
      </c>
      <c r="O18" s="8">
        <v>2206</v>
      </c>
      <c r="P18" s="87">
        <v>429212</v>
      </c>
      <c r="Q18" s="56">
        <f>107282</f>
        <v>107282</v>
      </c>
      <c r="R18" s="8">
        <v>78788</v>
      </c>
      <c r="S18" s="8">
        <v>6842</v>
      </c>
      <c r="T18" s="8">
        <v>4848</v>
      </c>
      <c r="U18" s="10">
        <f t="shared" ref="U18" si="13">Z18+Z19</f>
        <v>4186</v>
      </c>
      <c r="V18" s="11">
        <f>W18/W19</f>
        <v>0.50680367242485191</v>
      </c>
      <c r="W18" s="56">
        <f>64384</f>
        <v>64384</v>
      </c>
      <c r="X18" s="56">
        <f>212497</f>
        <v>212497</v>
      </c>
      <c r="Y18" s="8">
        <v>25658</v>
      </c>
      <c r="Z18" s="8">
        <v>37</v>
      </c>
      <c r="AA18" s="11">
        <f>AB18/AD18</f>
        <v>0.41556506147137057</v>
      </c>
      <c r="AB18" s="12">
        <f>585033.2</f>
        <v>585033.19999999995</v>
      </c>
      <c r="AC18" s="8">
        <v>157905</v>
      </c>
      <c r="AD18" s="12">
        <f>1407801.7</f>
        <v>1407801.7</v>
      </c>
      <c r="AE18" s="53">
        <f>AD18*1000/L18</f>
        <v>1351.9577338457668</v>
      </c>
    </row>
    <row r="19" spans="2:31">
      <c r="B19" s="47" t="s">
        <v>119</v>
      </c>
      <c r="C19" s="110"/>
      <c r="D19" s="13"/>
      <c r="E19" s="13"/>
      <c r="F19" s="14"/>
      <c r="G19" s="14"/>
      <c r="H19" s="14"/>
      <c r="I19" s="15"/>
      <c r="J19" s="15"/>
      <c r="K19" s="83"/>
      <c r="L19" s="85"/>
      <c r="M19" s="68"/>
      <c r="N19" s="108"/>
      <c r="O19" s="13"/>
      <c r="P19" s="14">
        <f>P18/L18</f>
        <v>0.41218623536213178</v>
      </c>
      <c r="Q19" s="14">
        <f>Q18/M18</f>
        <v>0.19112278982763997</v>
      </c>
      <c r="R19" s="13"/>
      <c r="S19" s="13"/>
      <c r="T19" s="14">
        <f>T18/S18</f>
        <v>0.7085647471499561</v>
      </c>
      <c r="U19" s="16"/>
      <c r="V19" s="16"/>
      <c r="W19" s="13">
        <f t="shared" ref="W19" si="14">0.122*L18</f>
        <v>127039.33199999999</v>
      </c>
      <c r="X19" s="13"/>
      <c r="Y19" s="13"/>
      <c r="Z19" s="13">
        <v>4149</v>
      </c>
      <c r="AA19" s="17"/>
      <c r="AB19" s="18"/>
      <c r="AC19" s="13"/>
      <c r="AD19" s="18"/>
      <c r="AE19" s="18"/>
    </row>
    <row r="20" spans="2:31">
      <c r="B20" s="47" t="s">
        <v>119</v>
      </c>
      <c r="C20" s="109" t="s">
        <v>9</v>
      </c>
      <c r="D20" s="8">
        <v>3441</v>
      </c>
      <c r="E20" s="56">
        <v>21</v>
      </c>
      <c r="F20" s="56">
        <v>1988</v>
      </c>
      <c r="G20" s="56">
        <v>612</v>
      </c>
      <c r="H20" s="8">
        <v>44</v>
      </c>
      <c r="I20" s="9"/>
      <c r="J20" s="9"/>
      <c r="K20" s="82"/>
      <c r="L20" s="57">
        <v>1073260</v>
      </c>
      <c r="M20" s="84">
        <v>575303</v>
      </c>
      <c r="N20" s="108">
        <f t="shared" si="0"/>
        <v>320.61196727726741</v>
      </c>
      <c r="O20" s="8">
        <v>2289</v>
      </c>
      <c r="P20" s="87">
        <v>408230</v>
      </c>
      <c r="Q20" s="56">
        <f>157803</f>
        <v>157803</v>
      </c>
      <c r="R20" s="8">
        <v>86425</v>
      </c>
      <c r="S20" s="8">
        <v>6174</v>
      </c>
      <c r="T20" s="8">
        <v>3107</v>
      </c>
      <c r="U20" s="10">
        <f t="shared" ref="U20" si="15">Z20+Z21</f>
        <v>27056</v>
      </c>
      <c r="V20" s="11">
        <f>W20/W21</f>
        <v>0.61508631737287012</v>
      </c>
      <c r="W20" s="56">
        <f>80538</f>
        <v>80538</v>
      </c>
      <c r="X20" s="8">
        <f>264967</f>
        <v>264967</v>
      </c>
      <c r="Y20" s="8">
        <v>43428</v>
      </c>
      <c r="Z20" s="8">
        <v>54</v>
      </c>
      <c r="AA20" s="11">
        <f>AB20/AD20</f>
        <v>0.16732887565914739</v>
      </c>
      <c r="AB20" s="12">
        <f>354114</f>
        <v>354114</v>
      </c>
      <c r="AC20" s="8">
        <v>214053</v>
      </c>
      <c r="AD20" s="12">
        <f>2116275.5</f>
        <v>2116275.5</v>
      </c>
      <c r="AE20" s="12">
        <f>AD20*1000/L20</f>
        <v>1971.8199690662095</v>
      </c>
    </row>
    <row r="21" spans="2:31">
      <c r="B21" s="47" t="s">
        <v>119</v>
      </c>
      <c r="C21" s="110"/>
      <c r="D21" s="13"/>
      <c r="E21" s="13"/>
      <c r="F21" s="14"/>
      <c r="G21" s="14"/>
      <c r="H21" s="14"/>
      <c r="I21" s="15"/>
      <c r="J21" s="15"/>
      <c r="K21" s="83"/>
      <c r="L21" s="85"/>
      <c r="M21" s="68"/>
      <c r="N21" s="108"/>
      <c r="O21" s="13"/>
      <c r="P21" s="14">
        <f t="shared" si="1"/>
        <v>0.38036449695320801</v>
      </c>
      <c r="Q21" s="14">
        <f>Q20/M20</f>
        <v>0.27429545821940787</v>
      </c>
      <c r="R21" s="13"/>
      <c r="S21" s="13"/>
      <c r="T21" s="14">
        <f>T20/S20</f>
        <v>0.503239390994493</v>
      </c>
      <c r="U21" s="16"/>
      <c r="V21" s="16"/>
      <c r="W21" s="13">
        <f t="shared" ref="W21" si="16">0.122*L20</f>
        <v>130937.72</v>
      </c>
      <c r="X21" s="13"/>
      <c r="Y21" s="13"/>
      <c r="Z21" s="13">
        <v>27002</v>
      </c>
      <c r="AA21" s="17"/>
      <c r="AB21" s="18"/>
      <c r="AC21" s="13"/>
      <c r="AD21" s="18"/>
      <c r="AE21" s="12"/>
    </row>
    <row r="22" spans="2:31">
      <c r="B22" s="47" t="s">
        <v>119</v>
      </c>
      <c r="C22" s="109" t="s">
        <v>10</v>
      </c>
      <c r="D22" s="8">
        <v>10504</v>
      </c>
      <c r="E22" s="56">
        <v>119</v>
      </c>
      <c r="F22" s="56">
        <v>1971</v>
      </c>
      <c r="G22" s="56">
        <v>2303</v>
      </c>
      <c r="H22" s="8">
        <v>298</v>
      </c>
      <c r="I22" s="9"/>
      <c r="J22" s="9"/>
      <c r="K22" s="82"/>
      <c r="L22" s="57">
        <v>6897539</v>
      </c>
      <c r="M22" s="84">
        <v>3673695</v>
      </c>
      <c r="N22" s="108">
        <f t="shared" si="0"/>
        <v>152.28619946911499</v>
      </c>
      <c r="O22" s="8">
        <v>20013</v>
      </c>
      <c r="P22" s="87">
        <v>2712070</v>
      </c>
      <c r="Q22" s="56">
        <f>1175416</f>
        <v>1175416</v>
      </c>
      <c r="R22" s="8">
        <v>714957</v>
      </c>
      <c r="S22" s="8">
        <v>54328</v>
      </c>
      <c r="T22" s="8">
        <v>29865</v>
      </c>
      <c r="U22" s="10">
        <f t="shared" ref="U22" si="17">Z22+Z23</f>
        <v>35198</v>
      </c>
      <c r="V22" s="11">
        <f>W22/W23</f>
        <v>0.29935243308768722</v>
      </c>
      <c r="W22" s="56">
        <f>251905</f>
        <v>251905</v>
      </c>
      <c r="X22" s="56">
        <f>1086846</f>
        <v>1086846</v>
      </c>
      <c r="Y22" s="8">
        <f>181876</f>
        <v>181876</v>
      </c>
      <c r="Z22" s="8">
        <v>342</v>
      </c>
      <c r="AA22" s="11">
        <f>AB22/AD22</f>
        <v>0.14230208129040339</v>
      </c>
      <c r="AB22" s="12">
        <f>3452682.3</f>
        <v>3452682.3</v>
      </c>
      <c r="AC22" s="8">
        <f>1259193</f>
        <v>1259193</v>
      </c>
      <c r="AD22" s="12">
        <f>24263048.5</f>
        <v>24263048.5</v>
      </c>
      <c r="AE22" s="12">
        <f>AD22*1000/L22</f>
        <v>3517.6384649655479</v>
      </c>
    </row>
    <row r="23" spans="2:31">
      <c r="B23" s="47" t="s">
        <v>119</v>
      </c>
      <c r="C23" s="110"/>
      <c r="D23" s="13"/>
      <c r="E23" s="13"/>
      <c r="F23" s="14"/>
      <c r="G23" s="14"/>
      <c r="H23" s="14"/>
      <c r="I23" s="15"/>
      <c r="J23" s="15"/>
      <c r="K23" s="83"/>
      <c r="L23" s="15"/>
      <c r="M23" s="68"/>
      <c r="N23" s="108"/>
      <c r="O23" s="13"/>
      <c r="P23" s="14">
        <f t="shared" si="1"/>
        <v>0.39319386233263776</v>
      </c>
      <c r="Q23" s="14">
        <f>Q22/M22</f>
        <v>0.3199547050040899</v>
      </c>
      <c r="R23" s="13"/>
      <c r="S23" s="13"/>
      <c r="T23" s="14">
        <f>T22/S22</f>
        <v>0.54971653659254893</v>
      </c>
      <c r="U23" s="16"/>
      <c r="V23" s="16"/>
      <c r="W23" s="13">
        <f t="shared" ref="W23" si="18">0.122*L22</f>
        <v>841499.75800000003</v>
      </c>
      <c r="X23" s="13"/>
      <c r="Y23" s="13"/>
      <c r="Z23" s="13">
        <v>34856</v>
      </c>
      <c r="AA23" s="17"/>
      <c r="AB23" s="18"/>
      <c r="AC23" s="13"/>
      <c r="AD23" s="18"/>
      <c r="AE23" s="12"/>
    </row>
    <row r="24" spans="2:31">
      <c r="B24" s="47" t="s">
        <v>119</v>
      </c>
      <c r="C24" s="109" t="s">
        <v>11</v>
      </c>
      <c r="D24" s="8">
        <v>1870</v>
      </c>
      <c r="E24" s="56">
        <v>4</v>
      </c>
      <c r="F24" s="56">
        <v>1061</v>
      </c>
      <c r="G24" s="56">
        <v>594</v>
      </c>
      <c r="H24" s="8">
        <v>34</v>
      </c>
      <c r="I24" s="9"/>
      <c r="J24" s="9"/>
      <c r="K24" s="82"/>
      <c r="L24" s="57">
        <v>700610</v>
      </c>
      <c r="M24" s="84">
        <v>379011</v>
      </c>
      <c r="N24" s="108">
        <f t="shared" si="0"/>
        <v>266.91026391287591</v>
      </c>
      <c r="O24" s="8">
        <v>1914</v>
      </c>
      <c r="P24" s="87">
        <v>172561</v>
      </c>
      <c r="Q24" s="56">
        <f>71058</f>
        <v>71058</v>
      </c>
      <c r="R24" s="8">
        <v>9629</v>
      </c>
      <c r="S24" s="8">
        <v>3476</v>
      </c>
      <c r="T24" s="8">
        <v>2607</v>
      </c>
      <c r="U24" s="10">
        <f t="shared" ref="U24" si="19">Z24+Z25</f>
        <v>5300</v>
      </c>
      <c r="V24" s="11">
        <f>W24/W25</f>
        <v>0.61426564813192064</v>
      </c>
      <c r="W24" s="56">
        <f>52504</f>
        <v>52504</v>
      </c>
      <c r="X24" s="56">
        <f>64680</f>
        <v>64680</v>
      </c>
      <c r="Y24" s="8">
        <v>23884</v>
      </c>
      <c r="Z24" s="8">
        <v>31</v>
      </c>
      <c r="AA24" s="11">
        <f>AB24/AD24</f>
        <v>0.12283826408415789</v>
      </c>
      <c r="AB24" s="12">
        <f>149767.2</f>
        <v>149767.20000000001</v>
      </c>
      <c r="AC24" s="8">
        <v>116737</v>
      </c>
      <c r="AD24" s="12">
        <f>1219222.7</f>
        <v>1219222.7</v>
      </c>
      <c r="AE24" s="12">
        <f t="shared" ref="AE24:AE38" si="20">AD24*1000/L24</f>
        <v>1740.2302279442201</v>
      </c>
    </row>
    <row r="25" spans="2:31">
      <c r="B25" s="47" t="s">
        <v>119</v>
      </c>
      <c r="C25" s="110"/>
      <c r="D25" s="13"/>
      <c r="E25" s="13"/>
      <c r="F25" s="14"/>
      <c r="G25" s="14"/>
      <c r="H25" s="14"/>
      <c r="I25" s="15"/>
      <c r="J25" s="15"/>
      <c r="K25" s="83"/>
      <c r="L25" s="15"/>
      <c r="M25" s="68"/>
      <c r="N25" s="108"/>
      <c r="O25" s="13"/>
      <c r="P25" s="14">
        <f t="shared" si="1"/>
        <v>0.24630108048700419</v>
      </c>
      <c r="Q25" s="14">
        <f>Q24/M24</f>
        <v>0.18748268519911032</v>
      </c>
      <c r="R25" s="13"/>
      <c r="S25" s="13"/>
      <c r="T25" s="14">
        <f>T24/S24</f>
        <v>0.75</v>
      </c>
      <c r="U25" s="16"/>
      <c r="V25" s="16"/>
      <c r="W25" s="13">
        <f t="shared" ref="W25" si="21">0.122*L24</f>
        <v>85474.42</v>
      </c>
      <c r="X25" s="13"/>
      <c r="Y25" s="13"/>
      <c r="Z25" s="13">
        <v>5269</v>
      </c>
      <c r="AA25" s="17"/>
      <c r="AB25" s="18"/>
      <c r="AC25" s="13"/>
      <c r="AD25" s="18"/>
      <c r="AE25" s="12"/>
    </row>
    <row r="26" spans="2:31">
      <c r="B26" s="47" t="s">
        <v>119</v>
      </c>
      <c r="C26" s="109" t="s">
        <v>12</v>
      </c>
      <c r="D26" s="8">
        <v>2915</v>
      </c>
      <c r="E26" s="8">
        <v>14</v>
      </c>
      <c r="F26" s="8">
        <v>1318</v>
      </c>
      <c r="G26" s="8">
        <v>594</v>
      </c>
      <c r="H26" s="8">
        <v>52</v>
      </c>
      <c r="I26" s="9"/>
      <c r="J26" s="9"/>
      <c r="K26" s="82"/>
      <c r="L26" s="57">
        <v>1040211</v>
      </c>
      <c r="M26" s="84">
        <v>557197</v>
      </c>
      <c r="N26" s="108">
        <f t="shared" si="0"/>
        <v>280.2316068566858</v>
      </c>
      <c r="O26" s="8">
        <v>2512</v>
      </c>
      <c r="P26" s="87">
        <v>419246</v>
      </c>
      <c r="Q26" s="56">
        <f>162855</f>
        <v>162855</v>
      </c>
      <c r="R26" s="8">
        <v>66082</v>
      </c>
      <c r="S26" s="8">
        <v>9527</v>
      </c>
      <c r="T26" s="8">
        <v>6275</v>
      </c>
      <c r="U26" s="10">
        <f t="shared" ref="U26" si="22">Z26+Z27</f>
        <v>15486</v>
      </c>
      <c r="V26" s="11">
        <f>W26/W27</f>
        <v>0.54278079868127638</v>
      </c>
      <c r="W26" s="56">
        <v>68882</v>
      </c>
      <c r="X26" s="8">
        <f>159123</f>
        <v>159123</v>
      </c>
      <c r="Y26" s="8">
        <v>44156</v>
      </c>
      <c r="Z26" s="8">
        <v>66</v>
      </c>
      <c r="AA26" s="11">
        <f>AB26/AD26</f>
        <v>0.13300065267551622</v>
      </c>
      <c r="AB26" s="12">
        <f>390152.6</f>
        <v>390152.6</v>
      </c>
      <c r="AC26" s="8">
        <v>192110</v>
      </c>
      <c r="AD26" s="12">
        <f>2933463.8</f>
        <v>2933463.8</v>
      </c>
      <c r="AE26" s="12">
        <f t="shared" si="20"/>
        <v>2820.0661212004102</v>
      </c>
    </row>
    <row r="27" spans="2:31">
      <c r="B27" s="47" t="s">
        <v>119</v>
      </c>
      <c r="C27" s="110"/>
      <c r="D27" s="13"/>
      <c r="E27" s="13"/>
      <c r="F27" s="14"/>
      <c r="G27" s="14"/>
      <c r="H27" s="14"/>
      <c r="I27" s="15"/>
      <c r="J27" s="15"/>
      <c r="K27" s="83"/>
      <c r="L27" s="15"/>
      <c r="M27" s="68"/>
      <c r="N27" s="108"/>
      <c r="O27" s="13"/>
      <c r="P27" s="14">
        <f t="shared" si="1"/>
        <v>0.40303938335587686</v>
      </c>
      <c r="Q27" s="14">
        <f>Q26/M26</f>
        <v>0.29227544297618258</v>
      </c>
      <c r="R27" s="13"/>
      <c r="S27" s="13"/>
      <c r="T27" s="14">
        <f>T26/S26</f>
        <v>0.65865435079248447</v>
      </c>
      <c r="U27" s="16"/>
      <c r="V27" s="16"/>
      <c r="W27" s="13">
        <f t="shared" ref="W27" si="23">0.122*L26</f>
        <v>126905.742</v>
      </c>
      <c r="X27" s="13"/>
      <c r="Y27" s="13"/>
      <c r="Z27" s="13">
        <v>15420</v>
      </c>
      <c r="AA27" s="17"/>
      <c r="AB27" s="18"/>
      <c r="AC27" s="13"/>
      <c r="AD27" s="18"/>
      <c r="AE27" s="12"/>
    </row>
    <row r="28" spans="2:31">
      <c r="B28" s="47" t="s">
        <v>119</v>
      </c>
      <c r="C28" s="109" t="s">
        <v>13</v>
      </c>
      <c r="D28" s="8">
        <v>2593</v>
      </c>
      <c r="E28" s="56">
        <v>24</v>
      </c>
      <c r="F28" s="56">
        <v>1217</v>
      </c>
      <c r="G28" s="56">
        <v>909</v>
      </c>
      <c r="H28" s="8">
        <v>56</v>
      </c>
      <c r="I28" s="9"/>
      <c r="J28" s="9"/>
      <c r="K28" s="82"/>
      <c r="L28" s="57">
        <v>887785</v>
      </c>
      <c r="M28" s="84">
        <v>471423</v>
      </c>
      <c r="N28" s="108">
        <f t="shared" si="0"/>
        <v>292.07522091497378</v>
      </c>
      <c r="O28" s="8">
        <v>2638</v>
      </c>
      <c r="P28" s="87">
        <v>282597</v>
      </c>
      <c r="Q28" s="56">
        <f>109787</f>
        <v>109787</v>
      </c>
      <c r="R28" s="8">
        <v>60724</v>
      </c>
      <c r="S28" s="8">
        <v>3542</v>
      </c>
      <c r="T28" s="8">
        <v>2381</v>
      </c>
      <c r="U28" s="10">
        <f t="shared" ref="U28" si="24">Z28+Z29</f>
        <v>28203</v>
      </c>
      <c r="V28" s="11">
        <f>W28/W29</f>
        <v>0.61836526843330941</v>
      </c>
      <c r="W28" s="56">
        <v>66975</v>
      </c>
      <c r="X28" s="56">
        <f>120683</f>
        <v>120683</v>
      </c>
      <c r="Y28" s="8">
        <f>23689</f>
        <v>23689</v>
      </c>
      <c r="Z28" s="8">
        <v>30</v>
      </c>
      <c r="AA28" s="11">
        <f>AB28/AD28</f>
        <v>0.10807911504165166</v>
      </c>
      <c r="AB28" s="12">
        <f>114945.9</f>
        <v>114945.9</v>
      </c>
      <c r="AC28" s="8">
        <v>51733</v>
      </c>
      <c r="AD28" s="12">
        <f>1063534.8</f>
        <v>1063534.8</v>
      </c>
      <c r="AE28" s="12">
        <f t="shared" si="20"/>
        <v>1197.964372004483</v>
      </c>
    </row>
    <row r="29" spans="2:31">
      <c r="B29" s="47" t="s">
        <v>119</v>
      </c>
      <c r="C29" s="110"/>
      <c r="D29" s="13"/>
      <c r="E29" s="13"/>
      <c r="F29" s="14"/>
      <c r="G29" s="14"/>
      <c r="H29" s="14"/>
      <c r="I29" s="15"/>
      <c r="J29" s="15"/>
      <c r="K29" s="83"/>
      <c r="L29" s="15"/>
      <c r="M29" s="68"/>
      <c r="N29" s="108"/>
      <c r="O29" s="13"/>
      <c r="P29" s="14">
        <f t="shared" si="1"/>
        <v>0.31831693484345874</v>
      </c>
      <c r="Q29" s="14">
        <f>Q28/M28</f>
        <v>0.2328842674201301</v>
      </c>
      <c r="R29" s="13"/>
      <c r="S29" s="13"/>
      <c r="T29" s="14">
        <f>T28/S28</f>
        <v>0.67221908526256358</v>
      </c>
      <c r="U29" s="16"/>
      <c r="V29" s="16"/>
      <c r="W29" s="13">
        <f t="shared" ref="W29" si="25">0.122*L28</f>
        <v>108309.77</v>
      </c>
      <c r="X29" s="13"/>
      <c r="Y29" s="13"/>
      <c r="Z29" s="13">
        <v>28173</v>
      </c>
      <c r="AA29" s="17"/>
      <c r="AB29" s="18"/>
      <c r="AC29" s="13"/>
      <c r="AD29" s="18"/>
      <c r="AE29" s="12"/>
    </row>
    <row r="30" spans="2:31">
      <c r="B30" s="47" t="s">
        <v>119</v>
      </c>
      <c r="C30" s="109" t="s">
        <v>14</v>
      </c>
      <c r="D30" s="8">
        <v>4187</v>
      </c>
      <c r="E30" s="56">
        <v>21</v>
      </c>
      <c r="F30" s="56">
        <v>2844</v>
      </c>
      <c r="G30" s="56">
        <v>639</v>
      </c>
      <c r="H30" s="8">
        <v>41</v>
      </c>
      <c r="I30" s="9"/>
      <c r="J30" s="9"/>
      <c r="K30" s="82"/>
      <c r="L30" s="57">
        <v>963627</v>
      </c>
      <c r="M30" s="84">
        <v>511035</v>
      </c>
      <c r="N30" s="108">
        <f t="shared" si="0"/>
        <v>434.50422206932762</v>
      </c>
      <c r="O30" s="8">
        <v>2200</v>
      </c>
      <c r="P30" s="87">
        <v>396491</v>
      </c>
      <c r="Q30" s="56">
        <f>151721</f>
        <v>151721</v>
      </c>
      <c r="R30" s="8">
        <v>93996</v>
      </c>
      <c r="S30" s="8">
        <v>2619</v>
      </c>
      <c r="T30" s="8">
        <v>2222</v>
      </c>
      <c r="U30" s="10">
        <f t="shared" ref="U30" si="26">Z30+Z31</f>
        <v>13954</v>
      </c>
      <c r="V30" s="11">
        <f>W30/W31</f>
        <v>0.82691338616889165</v>
      </c>
      <c r="W30" s="56">
        <v>97214</v>
      </c>
      <c r="X30" s="56">
        <f>215355</f>
        <v>215355</v>
      </c>
      <c r="Y30" s="8">
        <v>21004</v>
      </c>
      <c r="Z30" s="8">
        <v>3</v>
      </c>
      <c r="AA30" s="11">
        <f>AB30/AD30</f>
        <v>5.4744784439223954E-2</v>
      </c>
      <c r="AB30" s="12">
        <f>88133.3</f>
        <v>88133.3</v>
      </c>
      <c r="AC30" s="8">
        <v>187110</v>
      </c>
      <c r="AD30" s="12">
        <f>1609894</f>
        <v>1609894</v>
      </c>
      <c r="AE30" s="12">
        <f t="shared" si="20"/>
        <v>1670.6609507620688</v>
      </c>
    </row>
    <row r="31" spans="2:31">
      <c r="B31" s="47" t="s">
        <v>119</v>
      </c>
      <c r="C31" s="110"/>
      <c r="D31" s="13"/>
      <c r="E31" s="13"/>
      <c r="F31" s="14"/>
      <c r="G31" s="14"/>
      <c r="H31" s="14"/>
      <c r="I31" s="15"/>
      <c r="J31" s="15"/>
      <c r="K31" s="83"/>
      <c r="L31" s="15"/>
      <c r="M31" s="68"/>
      <c r="N31" s="108"/>
      <c r="O31" s="13"/>
      <c r="P31" s="14">
        <f t="shared" si="1"/>
        <v>0.41145692264745592</v>
      </c>
      <c r="Q31" s="14">
        <f>Q30/M30</f>
        <v>0.29688964552330077</v>
      </c>
      <c r="R31" s="13"/>
      <c r="S31" s="13"/>
      <c r="T31" s="14">
        <f>T30/S30</f>
        <v>0.84841542573501338</v>
      </c>
      <c r="U31" s="16"/>
      <c r="V31" s="16"/>
      <c r="W31" s="13">
        <f t="shared" ref="W31" si="27">0.122*L30</f>
        <v>117562.49399999999</v>
      </c>
      <c r="X31" s="13"/>
      <c r="Y31" s="13"/>
      <c r="Z31" s="13">
        <v>13951</v>
      </c>
      <c r="AA31" s="17"/>
      <c r="AB31" s="18"/>
      <c r="AC31" s="13"/>
      <c r="AD31" s="18"/>
      <c r="AE31" s="12"/>
    </row>
    <row r="32" spans="2:31">
      <c r="B32" s="47" t="s">
        <v>119</v>
      </c>
      <c r="C32" s="109" t="s">
        <v>15</v>
      </c>
      <c r="D32" s="8">
        <v>3637</v>
      </c>
      <c r="E32" s="56">
        <v>17</v>
      </c>
      <c r="F32" s="56">
        <v>2037</v>
      </c>
      <c r="G32" s="56">
        <v>820</v>
      </c>
      <c r="H32" s="8">
        <v>57</v>
      </c>
      <c r="I32" s="9"/>
      <c r="J32" s="9"/>
      <c r="K32" s="82"/>
      <c r="L32" s="57">
        <v>1199479</v>
      </c>
      <c r="M32" s="84">
        <v>642986</v>
      </c>
      <c r="N32" s="108">
        <f t="shared" si="0"/>
        <v>303.214979170123</v>
      </c>
      <c r="O32" s="8">
        <v>2979</v>
      </c>
      <c r="P32" s="87">
        <v>402064</v>
      </c>
      <c r="Q32" s="56">
        <f>152414</f>
        <v>152414</v>
      </c>
      <c r="R32" s="8">
        <v>70577</v>
      </c>
      <c r="S32" s="8">
        <v>5442</v>
      </c>
      <c r="T32" s="8">
        <v>3752</v>
      </c>
      <c r="U32" s="10">
        <f t="shared" ref="U32" si="28">Z32+Z33</f>
        <v>25884</v>
      </c>
      <c r="V32" s="11">
        <f>W32/W33</f>
        <v>0.54543489708284409</v>
      </c>
      <c r="W32" s="56">
        <f>79817</f>
        <v>79817</v>
      </c>
      <c r="X32" s="8">
        <f>142156</f>
        <v>142156</v>
      </c>
      <c r="Y32" s="8">
        <v>35003</v>
      </c>
      <c r="Z32" s="8">
        <v>74</v>
      </c>
      <c r="AA32" s="11">
        <f>AB32/AD32</f>
        <v>2.761643833454759E-3</v>
      </c>
      <c r="AB32" s="12">
        <f>2800.1</f>
        <v>2800.1</v>
      </c>
      <c r="AC32" s="8">
        <v>268905</v>
      </c>
      <c r="AD32" s="12">
        <f>1013925.1</f>
        <v>1013925.1</v>
      </c>
      <c r="AE32" s="12">
        <f t="shared" si="20"/>
        <v>845.30458640793211</v>
      </c>
    </row>
    <row r="33" spans="1:31">
      <c r="B33" s="47" t="s">
        <v>119</v>
      </c>
      <c r="C33" s="110"/>
      <c r="D33" s="13"/>
      <c r="E33" s="13"/>
      <c r="F33" s="14"/>
      <c r="G33" s="14"/>
      <c r="H33" s="14"/>
      <c r="I33" s="15"/>
      <c r="J33" s="15"/>
      <c r="K33" s="83"/>
      <c r="L33" s="15"/>
      <c r="M33" s="68"/>
      <c r="N33" s="108"/>
      <c r="O33" s="13"/>
      <c r="P33" s="14">
        <f t="shared" si="1"/>
        <v>0.33519886550744116</v>
      </c>
      <c r="Q33" s="14">
        <f>Q32/M32</f>
        <v>0.23704093090673825</v>
      </c>
      <c r="R33" s="13"/>
      <c r="S33" s="13"/>
      <c r="T33" s="14">
        <f>T32/S32</f>
        <v>0.68945240720323409</v>
      </c>
      <c r="U33" s="16"/>
      <c r="V33" s="16"/>
      <c r="W33" s="13">
        <f t="shared" ref="W33" si="29">0.122*L32</f>
        <v>146336.43799999999</v>
      </c>
      <c r="X33" s="13"/>
      <c r="Y33" s="13"/>
      <c r="Z33" s="13">
        <v>25810</v>
      </c>
      <c r="AA33" s="17"/>
      <c r="AB33" s="18"/>
      <c r="AC33" s="13"/>
      <c r="AD33" s="18"/>
      <c r="AE33" s="12"/>
    </row>
    <row r="34" spans="1:31">
      <c r="B34" s="47" t="s">
        <v>119</v>
      </c>
      <c r="C34" s="109" t="s">
        <v>16</v>
      </c>
      <c r="D34" s="8">
        <v>2506</v>
      </c>
      <c r="E34" s="56">
        <v>20</v>
      </c>
      <c r="F34" s="56">
        <v>1288</v>
      </c>
      <c r="G34" s="56">
        <v>614</v>
      </c>
      <c r="H34" s="8">
        <v>49</v>
      </c>
      <c r="I34" s="9"/>
      <c r="J34" s="9"/>
      <c r="K34" s="82"/>
      <c r="L34" s="57">
        <v>1389175</v>
      </c>
      <c r="M34" s="84">
        <v>749426</v>
      </c>
      <c r="N34" s="108">
        <f t="shared" si="0"/>
        <v>180.39483866323539</v>
      </c>
      <c r="O34" s="8">
        <v>2872</v>
      </c>
      <c r="P34" s="87">
        <v>491704</v>
      </c>
      <c r="Q34" s="56">
        <f>203360</f>
        <v>203360</v>
      </c>
      <c r="R34" s="8">
        <v>59677</v>
      </c>
      <c r="S34" s="8">
        <v>10852</v>
      </c>
      <c r="T34" s="8">
        <v>9412</v>
      </c>
      <c r="U34" s="10">
        <f t="shared" ref="U34" si="30">Z34+Z35</f>
        <v>7787</v>
      </c>
      <c r="V34" s="11">
        <f>W34/W35</f>
        <v>0.57064179205313215</v>
      </c>
      <c r="W34" s="56">
        <v>96712</v>
      </c>
      <c r="X34" s="56">
        <v>212731</v>
      </c>
      <c r="Y34" s="8">
        <v>25244</v>
      </c>
      <c r="Z34" s="8">
        <v>44</v>
      </c>
      <c r="AA34" s="11">
        <f>AB34/AD34</f>
        <v>0.36762742066055187</v>
      </c>
      <c r="AB34" s="12">
        <f>715326.2</f>
        <v>715326.2</v>
      </c>
      <c r="AC34" s="8">
        <f>135678</f>
        <v>135678</v>
      </c>
      <c r="AD34" s="12">
        <f>1945791.2</f>
        <v>1945791.2</v>
      </c>
      <c r="AE34" s="12">
        <f t="shared" si="20"/>
        <v>1400.6811236885201</v>
      </c>
    </row>
    <row r="35" spans="1:31">
      <c r="B35" s="47" t="s">
        <v>119</v>
      </c>
      <c r="C35" s="110"/>
      <c r="D35" s="13"/>
      <c r="E35" s="13"/>
      <c r="F35" s="14"/>
      <c r="G35" s="14"/>
      <c r="H35" s="14"/>
      <c r="I35" s="15"/>
      <c r="J35" s="15"/>
      <c r="K35" s="83"/>
      <c r="L35" s="15"/>
      <c r="M35" s="68"/>
      <c r="N35" s="108"/>
      <c r="O35" s="13"/>
      <c r="P35" s="14">
        <f t="shared" si="1"/>
        <v>0.35395396548311048</v>
      </c>
      <c r="Q35" s="14">
        <f>Q34/M34</f>
        <v>0.27135434319065527</v>
      </c>
      <c r="R35" s="13"/>
      <c r="S35" s="13"/>
      <c r="T35" s="14">
        <f>T34/S34</f>
        <v>0.86730556579432361</v>
      </c>
      <c r="U35" s="16"/>
      <c r="V35" s="16"/>
      <c r="W35" s="13">
        <f t="shared" ref="W35" si="31">0.122*L34</f>
        <v>169479.35</v>
      </c>
      <c r="X35" s="13"/>
      <c r="Y35" s="13"/>
      <c r="Z35" s="13">
        <v>7743</v>
      </c>
      <c r="AA35" s="17"/>
      <c r="AB35" s="18"/>
      <c r="AC35" s="13"/>
      <c r="AD35" s="18"/>
      <c r="AE35" s="12"/>
    </row>
    <row r="36" spans="1:31">
      <c r="B36" s="47" t="s">
        <v>119</v>
      </c>
      <c r="C36" s="109" t="s">
        <v>17</v>
      </c>
      <c r="D36" s="8">
        <v>2444</v>
      </c>
      <c r="E36" s="56">
        <v>13</v>
      </c>
      <c r="F36" s="56">
        <v>1221</v>
      </c>
      <c r="G36" s="56">
        <v>560</v>
      </c>
      <c r="H36" s="8">
        <v>26</v>
      </c>
      <c r="I36" s="9"/>
      <c r="J36" s="9"/>
      <c r="K36" s="82"/>
      <c r="L36" s="57">
        <v>1176810</v>
      </c>
      <c r="M36" s="84">
        <v>639800</v>
      </c>
      <c r="N36" s="108">
        <f t="shared" si="0"/>
        <v>207.6800842956807</v>
      </c>
      <c r="O36" s="8">
        <v>3075</v>
      </c>
      <c r="P36" s="87">
        <v>417400</v>
      </c>
      <c r="Q36" s="56">
        <f>114768</f>
        <v>114768</v>
      </c>
      <c r="R36" s="8">
        <v>50034</v>
      </c>
      <c r="S36" s="8">
        <v>9051</v>
      </c>
      <c r="T36" s="8">
        <v>3864</v>
      </c>
      <c r="U36" s="10">
        <f t="shared" ref="U36" si="32">Z36+Z37</f>
        <v>8542</v>
      </c>
      <c r="V36" s="11">
        <f>W36/W37</f>
        <v>0.45808054867973869</v>
      </c>
      <c r="W36" s="56">
        <v>65767</v>
      </c>
      <c r="X36" s="8">
        <v>161628</v>
      </c>
      <c r="Y36" s="8">
        <v>50627</v>
      </c>
      <c r="Z36" s="8">
        <v>98</v>
      </c>
      <c r="AA36" s="11">
        <f>AB36/AD36</f>
        <v>6.6656324000293504E-2</v>
      </c>
      <c r="AB36" s="12">
        <f>244730.2</f>
        <v>244730.2</v>
      </c>
      <c r="AC36" s="8">
        <v>173739</v>
      </c>
      <c r="AD36" s="12">
        <f>3671522.6</f>
        <v>3671522.6</v>
      </c>
      <c r="AE36" s="12">
        <f t="shared" si="20"/>
        <v>3119.8941205462224</v>
      </c>
    </row>
    <row r="37" spans="1:31">
      <c r="B37" s="47" t="s">
        <v>119</v>
      </c>
      <c r="C37" s="110"/>
      <c r="D37" s="13"/>
      <c r="E37" s="13"/>
      <c r="F37" s="14"/>
      <c r="G37" s="14"/>
      <c r="H37" s="14"/>
      <c r="I37" s="15"/>
      <c r="J37" s="15"/>
      <c r="K37" s="83"/>
      <c r="L37" s="15"/>
      <c r="M37" s="68"/>
      <c r="N37" s="108"/>
      <c r="O37" s="13"/>
      <c r="P37" s="14">
        <f t="shared" si="1"/>
        <v>0.35468767260645306</v>
      </c>
      <c r="Q37" s="14">
        <f>Q36/M36</f>
        <v>0.1793810565801813</v>
      </c>
      <c r="R37" s="13"/>
      <c r="S37" s="13"/>
      <c r="T37" s="14">
        <f>T36/S36</f>
        <v>0.42691415313225056</v>
      </c>
      <c r="U37" s="16"/>
      <c r="V37" s="16"/>
      <c r="W37" s="13">
        <f t="shared" ref="W37" si="33">0.122*L36</f>
        <v>143570.82</v>
      </c>
      <c r="X37" s="13"/>
      <c r="Y37" s="13"/>
      <c r="Z37" s="13">
        <v>8444</v>
      </c>
      <c r="AA37" s="17"/>
      <c r="AB37" s="18"/>
      <c r="AC37" s="13"/>
      <c r="AD37" s="18"/>
      <c r="AE37" s="12"/>
    </row>
    <row r="38" spans="1:31">
      <c r="B38" s="47" t="s">
        <v>119</v>
      </c>
      <c r="C38" s="109" t="s">
        <v>18</v>
      </c>
      <c r="D38" s="8">
        <v>20844</v>
      </c>
      <c r="E38" s="56">
        <v>21</v>
      </c>
      <c r="F38" s="56">
        <v>11434</v>
      </c>
      <c r="G38" s="56">
        <v>3684</v>
      </c>
      <c r="H38" s="8">
        <v>379</v>
      </c>
      <c r="I38" s="9"/>
      <c r="J38" s="9"/>
      <c r="K38" s="82"/>
      <c r="L38" s="57">
        <v>11466191</v>
      </c>
      <c r="M38" s="84">
        <v>6111574</v>
      </c>
      <c r="N38" s="108">
        <f t="shared" si="0"/>
        <v>181.78661074109093</v>
      </c>
      <c r="O38" s="8">
        <v>36720</v>
      </c>
      <c r="P38" s="87">
        <v>4201915</v>
      </c>
      <c r="Q38" s="56">
        <v>1999549</v>
      </c>
      <c r="R38" s="8">
        <v>1787268</v>
      </c>
      <c r="S38" s="8">
        <v>104633</v>
      </c>
      <c r="T38" s="8">
        <v>67178</v>
      </c>
      <c r="U38" s="10">
        <f t="shared" ref="U38" si="34">Z38+Z39</f>
        <v>23554</v>
      </c>
      <c r="V38" s="11">
        <f>W38/W39</f>
        <v>0.33521572604046163</v>
      </c>
      <c r="W38" s="56">
        <v>468925</v>
      </c>
      <c r="X38" s="56">
        <v>1549795</v>
      </c>
      <c r="Y38" s="8">
        <v>408166</v>
      </c>
      <c r="Z38" s="8">
        <v>370</v>
      </c>
      <c r="AA38" s="11">
        <f>AB38/AD38</f>
        <v>0.49836873197120446</v>
      </c>
      <c r="AB38" s="12">
        <f>12276950.8</f>
        <v>12276950.800000001</v>
      </c>
      <c r="AC38" s="8">
        <f>3824466</f>
        <v>3824466</v>
      </c>
      <c r="AD38" s="12">
        <f>24634271.8</f>
        <v>24634271.800000001</v>
      </c>
      <c r="AE38" s="12">
        <f t="shared" si="20"/>
        <v>2148.4267792155215</v>
      </c>
    </row>
    <row r="39" spans="1:31">
      <c r="B39" s="47" t="s">
        <v>119</v>
      </c>
      <c r="C39" s="110"/>
      <c r="D39" s="13"/>
      <c r="E39" s="13"/>
      <c r="F39" s="14"/>
      <c r="G39" s="14"/>
      <c r="H39" s="14"/>
      <c r="I39" s="15"/>
      <c r="J39" s="15"/>
      <c r="K39" s="83"/>
      <c r="L39" s="15"/>
      <c r="M39" s="68"/>
      <c r="N39" s="108"/>
      <c r="O39" s="13"/>
      <c r="P39" s="14">
        <f t="shared" si="1"/>
        <v>0.36646127733263817</v>
      </c>
      <c r="Q39" s="14">
        <f>Q38/M38</f>
        <v>0.32717414531837463</v>
      </c>
      <c r="R39" s="13"/>
      <c r="S39" s="13"/>
      <c r="T39" s="14">
        <f>T38/S38</f>
        <v>0.64203453977234715</v>
      </c>
      <c r="U39" s="16"/>
      <c r="V39" s="16"/>
      <c r="W39" s="13">
        <f t="shared" ref="W39" si="35">0.122*L38</f>
        <v>1398875.3019999999</v>
      </c>
      <c r="X39" s="13"/>
      <c r="Y39" s="13"/>
      <c r="Z39" s="13">
        <v>23184</v>
      </c>
      <c r="AA39" s="17"/>
      <c r="AB39" s="18"/>
      <c r="AC39" s="13"/>
      <c r="AD39" s="18"/>
      <c r="AE39" s="18"/>
    </row>
    <row r="40" spans="1:31" s="20" customFormat="1" ht="11.25" customHeight="1">
      <c r="A40" s="49" t="s">
        <v>127</v>
      </c>
      <c r="B40" s="50" t="s">
        <v>119</v>
      </c>
      <c r="C40" s="111" t="s">
        <v>19</v>
      </c>
      <c r="D40" s="24">
        <f>SUM(D4:D38)</f>
        <v>80847</v>
      </c>
      <c r="E40" s="24">
        <f>SUM(E4:E38)</f>
        <v>414</v>
      </c>
      <c r="F40" s="24">
        <f>SUM(F4:F38)</f>
        <v>41032</v>
      </c>
      <c r="G40" s="24">
        <f>G4+G6+G8+G10+G12+G14+G16+G18+G20+G22+G24+G26+G28+G30+G32+G34+G36+G38</f>
        <v>16872</v>
      </c>
      <c r="H40" s="24">
        <f t="shared" ref="H40:U40" si="36">SUM(H38,H36,H34,H32,H30,H28,H26,H24,H22,H20,H18,H16,H14,H12,H10,H8,H6,H4)</f>
        <v>1522</v>
      </c>
      <c r="I40" s="19">
        <f t="shared" si="36"/>
        <v>0</v>
      </c>
      <c r="J40" s="19">
        <f t="shared" si="36"/>
        <v>0</v>
      </c>
      <c r="K40" s="19">
        <f t="shared" si="36"/>
        <v>0</v>
      </c>
      <c r="L40" s="19">
        <f>SUM(L4+L6+L8+L10+L12+L14+L16+L18+L20+L22+L24+L26+L28+L30+L32+L34+L36+L38)</f>
        <v>36350208</v>
      </c>
      <c r="M40" s="19">
        <f t="shared" si="36"/>
        <v>19426853</v>
      </c>
      <c r="N40" s="108">
        <f t="shared" si="0"/>
        <v>222.41138207517272</v>
      </c>
      <c r="O40" s="24">
        <f>O4+O6+O8+O10+O12+O14+O16+O18+O20+O22+O24+O26+O28+O30+O32+O34+O36+O38</f>
        <v>102396</v>
      </c>
      <c r="P40" s="24">
        <f t="shared" si="36"/>
        <v>13564591</v>
      </c>
      <c r="Q40" s="24">
        <f t="shared" si="36"/>
        <v>5731541</v>
      </c>
      <c r="R40" s="24">
        <f t="shared" si="36"/>
        <v>3714397</v>
      </c>
      <c r="S40" s="24">
        <f t="shared" si="36"/>
        <v>284478</v>
      </c>
      <c r="T40" s="24">
        <f t="shared" si="36"/>
        <v>188526</v>
      </c>
      <c r="U40" s="24">
        <f t="shared" si="36"/>
        <v>343746</v>
      </c>
      <c r="V40" s="21">
        <f>W40/W41</f>
        <v>0.46884977618961349</v>
      </c>
      <c r="W40" s="24">
        <f>SUM(W38,W36,W34,W32,W30,W28,W26,W24,W22,W20,W18,W16,W14,W12,W10,W8,W6,W4)</f>
        <v>2079220</v>
      </c>
      <c r="X40" s="24">
        <f>SUM(X38,X36,X34,X32,X30,X28,X26,X24,X22,X20,X18,X16,X14,X12,X10,X8,X6,X4)</f>
        <v>5308961</v>
      </c>
      <c r="Y40" s="24">
        <f>SUM(Y4:Y38)</f>
        <v>1128135</v>
      </c>
      <c r="Z40" s="24">
        <f>SUM(Z38,Z36,Z34,Z32,Z30,Z28,Z26,Z24,Z22,Z20,Z18,Z16,Z14,Z12,Z10,Z8,Z6,Z4)</f>
        <v>1508</v>
      </c>
      <c r="AA40" s="21">
        <f>AB40/AD40</f>
        <v>0.2538986478483175</v>
      </c>
      <c r="AB40" s="22">
        <f>SUM(AB4:AB38)</f>
        <v>20588149.399999999</v>
      </c>
      <c r="AC40" s="24">
        <f>AC4+AC6+AC8+AC10+AC12+AC14+AC16+AC18+AC20+AC22+AC24+AC26+AC28+AC30+AC32+AC34+AC36+AC38</f>
        <v>8156731</v>
      </c>
      <c r="AD40" s="22">
        <f>SUM(AD4:AD38)</f>
        <v>81088062.400000006</v>
      </c>
      <c r="AE40" s="22">
        <f>AD40*1000/L40</f>
        <v>2230.7454856929567</v>
      </c>
    </row>
    <row r="41" spans="1:31" s="20" customFormat="1">
      <c r="A41" s="49" t="s">
        <v>127</v>
      </c>
      <c r="B41" s="50" t="s">
        <v>119</v>
      </c>
      <c r="C41" s="112"/>
      <c r="D41" s="26"/>
      <c r="E41" s="26"/>
      <c r="F41" s="23">
        <f>I40/L40/1.95</f>
        <v>0</v>
      </c>
      <c r="G41" s="23">
        <f>J40/L40/0.35</f>
        <v>0</v>
      </c>
      <c r="H41" s="23">
        <f>K40/L40/0.075</f>
        <v>0</v>
      </c>
      <c r="I41" s="19"/>
      <c r="J41" s="19"/>
      <c r="K41" s="19"/>
      <c r="L41" s="19"/>
      <c r="M41" s="19"/>
      <c r="N41" s="108"/>
      <c r="O41" s="26"/>
      <c r="P41" s="23">
        <f>P40/L40</f>
        <v>0.37316405452205392</v>
      </c>
      <c r="Q41" s="23">
        <f>Q40/M40</f>
        <v>0.29503188190078961</v>
      </c>
      <c r="R41" s="26"/>
      <c r="S41" s="26"/>
      <c r="T41" s="23">
        <f>T40/S40</f>
        <v>0.66270853985193934</v>
      </c>
      <c r="U41" s="28"/>
      <c r="V41" s="28"/>
      <c r="W41" s="26">
        <f>SUM(W39,W37,W35,W33,W31,W29,W27,W25,W23,W21,W19,W17,W15,W13,W11,W9,W7,W5)</f>
        <v>4434725.3760000011</v>
      </c>
      <c r="X41" s="26"/>
      <c r="Y41" s="26"/>
      <c r="Z41" s="26">
        <f>SUM(Z39,Z37,Z35,Z33,Z31,Z29,Z27,Z25,Z23,Z21,Z19,Z17,Z15,Z13,Z11,Z9,Z7,Z5)</f>
        <v>342238</v>
      </c>
      <c r="AA41" s="29"/>
      <c r="AB41" s="30"/>
      <c r="AC41" s="26"/>
      <c r="AD41" s="30"/>
      <c r="AE41" s="30"/>
    </row>
    <row r="42" spans="1:31">
      <c r="B42" s="47" t="s">
        <v>120</v>
      </c>
      <c r="C42" s="109" t="s">
        <v>20</v>
      </c>
      <c r="D42" s="8">
        <v>1659</v>
      </c>
      <c r="E42" s="8">
        <v>4</v>
      </c>
      <c r="F42" s="8">
        <v>604</v>
      </c>
      <c r="G42" s="8">
        <v>413</v>
      </c>
      <c r="H42" s="8">
        <v>36</v>
      </c>
      <c r="I42" s="9"/>
      <c r="J42" s="9"/>
      <c r="K42" s="9"/>
      <c r="L42" s="57">
        <v>583142</v>
      </c>
      <c r="M42" s="57">
        <v>313296</v>
      </c>
      <c r="N42" s="108">
        <f>D42/L42*100000</f>
        <v>284.49331380692871</v>
      </c>
      <c r="O42" s="8">
        <v>1606</v>
      </c>
      <c r="P42" s="56">
        <v>213478</v>
      </c>
      <c r="Q42" s="56">
        <v>75377</v>
      </c>
      <c r="R42" s="8">
        <v>41982</v>
      </c>
      <c r="S42" s="8">
        <v>3516</v>
      </c>
      <c r="T42" s="8">
        <v>1860</v>
      </c>
      <c r="U42" s="10">
        <f>Z42+Z43</f>
        <v>6297</v>
      </c>
      <c r="V42" s="11">
        <f>W42/W43</f>
        <v>0.59558645305917957</v>
      </c>
      <c r="W42" s="56">
        <v>42372</v>
      </c>
      <c r="X42" s="56">
        <f>74564</f>
        <v>74564</v>
      </c>
      <c r="Y42" s="8">
        <v>19653</v>
      </c>
      <c r="Z42" s="8">
        <v>10</v>
      </c>
      <c r="AA42" s="11">
        <f>AB42/AD42</f>
        <v>0.40201611828755751</v>
      </c>
      <c r="AB42" s="12">
        <f>801109.7</f>
        <v>801109.7</v>
      </c>
      <c r="AC42" s="8">
        <f>125081</f>
        <v>125081</v>
      </c>
      <c r="AD42" s="12">
        <f>1992730.3</f>
        <v>1992730.3</v>
      </c>
      <c r="AE42" s="12">
        <f>AD42*1000/L42</f>
        <v>3417.2299371336658</v>
      </c>
    </row>
    <row r="43" spans="1:31">
      <c r="B43" s="47" t="s">
        <v>120</v>
      </c>
      <c r="C43" s="110"/>
      <c r="D43" s="13"/>
      <c r="E43" s="13"/>
      <c r="F43" s="14"/>
      <c r="G43" s="14"/>
      <c r="H43" s="14"/>
      <c r="I43" s="15"/>
      <c r="J43" s="15"/>
      <c r="K43" s="15"/>
      <c r="M43" s="15"/>
      <c r="N43" s="108"/>
      <c r="O43" s="13"/>
      <c r="P43" s="14">
        <f>P42/L42</f>
        <v>0.36608236072860467</v>
      </c>
      <c r="Q43" s="14">
        <f>Q42/M42</f>
        <v>0.24059356008375465</v>
      </c>
      <c r="R43" s="13"/>
      <c r="S43" s="13"/>
      <c r="T43" s="14">
        <f>T42/S42</f>
        <v>0.52901023890784982</v>
      </c>
      <c r="U43" s="16"/>
      <c r="V43" s="16"/>
      <c r="W43" s="13">
        <f>0.122*L42</f>
        <v>71143.323999999993</v>
      </c>
      <c r="X43" s="13"/>
      <c r="Y43" s="13"/>
      <c r="Z43" s="13">
        <v>6287</v>
      </c>
      <c r="AA43" s="17"/>
      <c r="AB43" s="18"/>
      <c r="AC43" s="13"/>
      <c r="AD43" s="18"/>
      <c r="AE43" s="18"/>
    </row>
    <row r="44" spans="1:31">
      <c r="B44" s="47" t="s">
        <v>120</v>
      </c>
      <c r="C44" s="115" t="s">
        <v>21</v>
      </c>
      <c r="D44" s="8">
        <v>2318</v>
      </c>
      <c r="E44" s="8">
        <v>6</v>
      </c>
      <c r="F44" s="8">
        <v>869</v>
      </c>
      <c r="G44" s="8">
        <v>526</v>
      </c>
      <c r="H44" s="8">
        <v>44</v>
      </c>
      <c r="I44" s="9"/>
      <c r="J44" s="9"/>
      <c r="K44" s="9"/>
      <c r="L44" s="80">
        <v>797794</v>
      </c>
      <c r="M44" s="57">
        <v>417736</v>
      </c>
      <c r="N44" s="108">
        <f t="shared" si="0"/>
        <v>290.55119491999187</v>
      </c>
      <c r="O44" s="8">
        <v>2296</v>
      </c>
      <c r="P44" s="87">
        <v>262042</v>
      </c>
      <c r="Q44" s="56">
        <f>86479</f>
        <v>86479</v>
      </c>
      <c r="R44" s="8">
        <v>25118</v>
      </c>
      <c r="S44" s="8">
        <v>3614</v>
      </c>
      <c r="T44" s="8">
        <v>2382</v>
      </c>
      <c r="U44" s="10">
        <f t="shared" ref="U44" si="37">Z44+Z45</f>
        <v>9025</v>
      </c>
      <c r="V44" s="11">
        <f>W44/W45</f>
        <v>0.59883366086902667</v>
      </c>
      <c r="W44" s="56">
        <v>58285</v>
      </c>
      <c r="X44" s="56">
        <f>99218</f>
        <v>99218</v>
      </c>
      <c r="Y44" s="8">
        <v>34687</v>
      </c>
      <c r="Z44" s="8">
        <v>34</v>
      </c>
      <c r="AA44" s="11">
        <f>AB44/AD44</f>
        <v>0.53081290672114367</v>
      </c>
      <c r="AB44" s="12">
        <f>2435688.9</f>
        <v>2435688.9</v>
      </c>
      <c r="AC44" s="8">
        <v>159908</v>
      </c>
      <c r="AD44" s="53">
        <f>4588601.5</f>
        <v>4588601.5</v>
      </c>
      <c r="AE44" s="53">
        <f>AD44*1000/L44</f>
        <v>5751.6119449381667</v>
      </c>
    </row>
    <row r="45" spans="1:31">
      <c r="B45" s="47" t="s">
        <v>120</v>
      </c>
      <c r="C45" s="116"/>
      <c r="D45" s="13"/>
      <c r="E45" s="13"/>
      <c r="F45" s="14"/>
      <c r="G45" s="14"/>
      <c r="H45" s="14"/>
      <c r="I45" s="15"/>
      <c r="J45" s="15"/>
      <c r="K45" s="15"/>
      <c r="M45" s="15"/>
      <c r="N45" s="108"/>
      <c r="O45" s="13"/>
      <c r="P45" s="14">
        <f t="shared" ref="P45:P63" si="38">P44/L44</f>
        <v>0.32845822355144311</v>
      </c>
      <c r="Q45" s="14">
        <f>Q44/M44</f>
        <v>0.2070183082138001</v>
      </c>
      <c r="R45" s="13"/>
      <c r="S45" s="13"/>
      <c r="T45" s="14">
        <f>T44/S44</f>
        <v>0.65910348644161598</v>
      </c>
      <c r="U45" s="16"/>
      <c r="V45" s="16"/>
      <c r="W45" s="13">
        <f t="shared" ref="W45" si="39">0.122*L44</f>
        <v>97330.868000000002</v>
      </c>
      <c r="X45" s="13"/>
      <c r="Y45" s="13"/>
      <c r="Z45" s="13">
        <v>8991</v>
      </c>
      <c r="AA45" s="17"/>
      <c r="AB45" s="18"/>
      <c r="AC45" s="13"/>
      <c r="AD45" s="18"/>
      <c r="AE45" s="18"/>
    </row>
    <row r="46" spans="1:31" s="6" customFormat="1">
      <c r="A46" s="48"/>
      <c r="B46" s="47" t="s">
        <v>120</v>
      </c>
      <c r="C46" s="109" t="s">
        <v>22</v>
      </c>
      <c r="D46" s="8">
        <v>2411</v>
      </c>
      <c r="E46" s="8">
        <v>11</v>
      </c>
      <c r="F46" s="8">
        <v>1072</v>
      </c>
      <c r="G46" s="8">
        <v>613</v>
      </c>
      <c r="H46" s="8">
        <v>51</v>
      </c>
      <c r="I46" s="9"/>
      <c r="J46" s="9"/>
      <c r="K46" s="9"/>
      <c r="L46" s="57">
        <v>1046297</v>
      </c>
      <c r="M46" s="57">
        <v>550209</v>
      </c>
      <c r="N46" s="108">
        <f t="shared" si="0"/>
        <v>230.43170342646494</v>
      </c>
      <c r="O46" s="8">
        <v>2356</v>
      </c>
      <c r="P46" s="88">
        <v>336425</v>
      </c>
      <c r="Q46" s="56">
        <f>130975</f>
        <v>130975</v>
      </c>
      <c r="R46" s="8">
        <v>55185</v>
      </c>
      <c r="S46" s="8">
        <v>3500</v>
      </c>
      <c r="T46" s="8">
        <v>2308</v>
      </c>
      <c r="U46" s="10">
        <f t="shared" ref="U46" si="40">Z46+Z47</f>
        <v>8208</v>
      </c>
      <c r="V46" s="11">
        <f>W46/W47</f>
        <v>0.4907705969516194</v>
      </c>
      <c r="W46" s="56">
        <v>62646</v>
      </c>
      <c r="X46" s="56">
        <f>123742</f>
        <v>123742</v>
      </c>
      <c r="Y46" s="8">
        <v>28211</v>
      </c>
      <c r="Z46" s="8">
        <v>45</v>
      </c>
      <c r="AA46" s="11">
        <f>AB46/AD46</f>
        <v>0.27942045948113647</v>
      </c>
      <c r="AB46" s="12">
        <f>676002.7</f>
        <v>676002.7</v>
      </c>
      <c r="AC46" s="8">
        <f>145373</f>
        <v>145373</v>
      </c>
      <c r="AD46" s="12">
        <f>2419302.8</f>
        <v>2419302.7999999998</v>
      </c>
      <c r="AE46" s="53">
        <f t="shared" ref="AE46" si="41">AD46*1000/L46</f>
        <v>2312.2524483965835</v>
      </c>
    </row>
    <row r="47" spans="1:31" s="6" customFormat="1">
      <c r="A47" s="48"/>
      <c r="B47" s="47" t="s">
        <v>120</v>
      </c>
      <c r="C47" s="110"/>
      <c r="D47" s="13"/>
      <c r="E47" s="13"/>
      <c r="F47" s="14"/>
      <c r="G47" s="14"/>
      <c r="H47" s="14"/>
      <c r="I47" s="15"/>
      <c r="J47" s="15"/>
      <c r="K47" s="15"/>
      <c r="L47" s="81"/>
      <c r="M47" s="15"/>
      <c r="N47" s="108"/>
      <c r="O47" s="13"/>
      <c r="P47" s="14">
        <f t="shared" si="38"/>
        <v>0.32153872179696585</v>
      </c>
      <c r="Q47" s="14">
        <f>Q46/M46</f>
        <v>0.23804590619201066</v>
      </c>
      <c r="R47" s="13"/>
      <c r="S47" s="13"/>
      <c r="T47" s="14">
        <f>T46/S46</f>
        <v>0.65942857142857148</v>
      </c>
      <c r="U47" s="16"/>
      <c r="V47" s="16"/>
      <c r="W47" s="13">
        <f t="shared" ref="W47" si="42">0.122*L46</f>
        <v>127648.234</v>
      </c>
      <c r="X47" s="13"/>
      <c r="Y47" s="13"/>
      <c r="Z47" s="13">
        <v>8163</v>
      </c>
      <c r="AA47" s="17"/>
      <c r="AB47" s="18"/>
      <c r="AC47" s="13"/>
      <c r="AD47" s="18"/>
      <c r="AE47" s="18"/>
    </row>
    <row r="48" spans="1:31" s="6" customFormat="1">
      <c r="A48" s="48"/>
      <c r="B48" s="47" t="s">
        <v>120</v>
      </c>
      <c r="C48" s="109" t="s">
        <v>117</v>
      </c>
      <c r="D48" s="8">
        <v>97</v>
      </c>
      <c r="E48" s="104" t="s">
        <v>132</v>
      </c>
      <c r="F48" s="8">
        <v>36</v>
      </c>
      <c r="G48" s="8">
        <v>50</v>
      </c>
      <c r="H48" s="8">
        <v>1</v>
      </c>
      <c r="I48" s="9"/>
      <c r="J48" s="9"/>
      <c r="K48" s="9"/>
      <c r="L48" s="80">
        <v>40936</v>
      </c>
      <c r="M48" s="57">
        <v>20863</v>
      </c>
      <c r="N48" s="108">
        <f t="shared" si="0"/>
        <v>236.95524721516514</v>
      </c>
      <c r="O48" s="8">
        <v>139</v>
      </c>
      <c r="P48" s="88">
        <v>14838</v>
      </c>
      <c r="Q48" s="56">
        <f>5371</f>
        <v>5371</v>
      </c>
      <c r="R48" s="8">
        <v>1697</v>
      </c>
      <c r="S48" s="8">
        <v>71</v>
      </c>
      <c r="T48" s="8">
        <v>37</v>
      </c>
      <c r="U48" s="10">
        <f t="shared" ref="U48" si="43">Z48+Z49</f>
        <v>17</v>
      </c>
      <c r="V48" s="11">
        <f>W48/W49</f>
        <v>0.5139970589837155</v>
      </c>
      <c r="W48" s="56">
        <v>2567</v>
      </c>
      <c r="X48" s="56">
        <f>7394</f>
        <v>7394</v>
      </c>
      <c r="Y48" s="8">
        <v>11085</v>
      </c>
      <c r="Z48" s="8">
        <v>4</v>
      </c>
      <c r="AA48" s="11">
        <f>AB48/AD48</f>
        <v>0.12766756587261049</v>
      </c>
      <c r="AB48" s="12">
        <f>29843.8</f>
        <v>29843.8</v>
      </c>
      <c r="AC48" s="8">
        <v>9392</v>
      </c>
      <c r="AD48" s="53">
        <f>233761.8</f>
        <v>233761.8</v>
      </c>
      <c r="AE48" s="53">
        <f t="shared" ref="AE48" si="44">AD48*1000/L48</f>
        <v>5710.4211452022673</v>
      </c>
    </row>
    <row r="49" spans="1:31" s="6" customFormat="1">
      <c r="A49" s="48"/>
      <c r="B49" s="47" t="s">
        <v>120</v>
      </c>
      <c r="C49" s="110"/>
      <c r="D49" s="13"/>
      <c r="E49" s="13"/>
      <c r="F49" s="14"/>
      <c r="G49" s="14"/>
      <c r="H49" s="14"/>
      <c r="I49" s="15"/>
      <c r="J49" s="15"/>
      <c r="K49" s="15"/>
      <c r="L49" s="81"/>
      <c r="M49" s="15"/>
      <c r="N49" s="108"/>
      <c r="O49" s="13"/>
      <c r="P49" s="14">
        <f t="shared" si="38"/>
        <v>0.36246824311119796</v>
      </c>
      <c r="Q49" s="14">
        <f>Q48/M48</f>
        <v>0.25744140344149929</v>
      </c>
      <c r="R49" s="13"/>
      <c r="S49" s="13"/>
      <c r="T49" s="14">
        <f>T48/S48</f>
        <v>0.52112676056338025</v>
      </c>
      <c r="U49" s="16"/>
      <c r="V49" s="16"/>
      <c r="W49" s="13">
        <f t="shared" ref="W49" si="45">0.122*L48</f>
        <v>4994.192</v>
      </c>
      <c r="X49" s="13"/>
      <c r="Y49" s="13"/>
      <c r="Z49" s="13">
        <v>13</v>
      </c>
      <c r="AA49" s="17"/>
      <c r="AB49" s="18"/>
      <c r="AC49" s="13"/>
      <c r="AD49" s="18"/>
      <c r="AE49" s="18"/>
    </row>
    <row r="50" spans="1:31">
      <c r="B50" s="47" t="s">
        <v>120</v>
      </c>
      <c r="C50" s="109" t="s">
        <v>23</v>
      </c>
      <c r="D50" s="8">
        <v>2178</v>
      </c>
      <c r="E50" s="8">
        <v>9</v>
      </c>
      <c r="F50" s="8">
        <v>847</v>
      </c>
      <c r="G50" s="8">
        <v>661</v>
      </c>
      <c r="H50" s="8">
        <v>70</v>
      </c>
      <c r="I50" s="9"/>
      <c r="J50" s="9"/>
      <c r="K50" s="9"/>
      <c r="L50" s="57">
        <v>1096331</v>
      </c>
      <c r="M50" s="57">
        <v>583477</v>
      </c>
      <c r="N50" s="108">
        <f t="shared" si="0"/>
        <v>198.66263017282188</v>
      </c>
      <c r="O50" s="8">
        <v>2661</v>
      </c>
      <c r="P50" s="87">
        <v>338294</v>
      </c>
      <c r="Q50" s="56">
        <f>141766</f>
        <v>141766</v>
      </c>
      <c r="R50" s="8">
        <v>35081</v>
      </c>
      <c r="S50" s="8">
        <v>5288</v>
      </c>
      <c r="T50" s="8">
        <v>2510</v>
      </c>
      <c r="U50" s="10">
        <f t="shared" ref="U50" si="46">Z50+Z51</f>
        <v>4744</v>
      </c>
      <c r="V50" s="11">
        <f>W50/W51</f>
        <v>0.6857074141677717</v>
      </c>
      <c r="W50" s="56">
        <f>91715</f>
        <v>91715</v>
      </c>
      <c r="X50" s="56">
        <f>98989</f>
        <v>98989</v>
      </c>
      <c r="Y50" s="8">
        <v>24594</v>
      </c>
      <c r="Z50" s="8">
        <v>19</v>
      </c>
      <c r="AA50" s="11">
        <f>AB50/AD50</f>
        <v>0.43846128693195241</v>
      </c>
      <c r="AB50" s="12">
        <f>1658702.6</f>
        <v>1658702.6</v>
      </c>
      <c r="AC50" s="8">
        <f>165757</f>
        <v>165757</v>
      </c>
      <c r="AD50" s="12">
        <f>3783008.1</f>
        <v>3783008.1</v>
      </c>
      <c r="AE50" s="53">
        <f t="shared" ref="AE50" si="47">AD50*1000/L50</f>
        <v>3450.6076175899434</v>
      </c>
    </row>
    <row r="51" spans="1:31">
      <c r="B51" s="47" t="s">
        <v>120</v>
      </c>
      <c r="C51" s="110"/>
      <c r="D51" s="13"/>
      <c r="E51" s="13"/>
      <c r="F51" s="14"/>
      <c r="G51" s="14"/>
      <c r="H51" s="14"/>
      <c r="I51" s="15"/>
      <c r="J51" s="15"/>
      <c r="K51" s="15"/>
      <c r="M51" s="15"/>
      <c r="N51" s="108"/>
      <c r="O51" s="13"/>
      <c r="P51" s="14">
        <f>P50/L50</f>
        <v>0.30856921860277597</v>
      </c>
      <c r="Q51" s="14">
        <f>Q50/M50</f>
        <v>0.24296758912519259</v>
      </c>
      <c r="R51" s="13"/>
      <c r="S51" s="13"/>
      <c r="T51" s="14">
        <f>T50/S50</f>
        <v>0.47465960665658091</v>
      </c>
      <c r="U51" s="16"/>
      <c r="V51" s="16"/>
      <c r="W51" s="13">
        <f t="shared" ref="W51" si="48">0.122*L50</f>
        <v>133752.38199999998</v>
      </c>
      <c r="X51" s="13"/>
      <c r="Y51" s="13"/>
      <c r="Z51" s="13">
        <v>4725</v>
      </c>
      <c r="AA51" s="17"/>
      <c r="AB51" s="18"/>
      <c r="AC51" s="13"/>
      <c r="AD51" s="18"/>
      <c r="AE51" s="18"/>
    </row>
    <row r="52" spans="1:31">
      <c r="B52" s="47" t="s">
        <v>120</v>
      </c>
      <c r="C52" s="109" t="s">
        <v>24</v>
      </c>
      <c r="D52" s="8">
        <v>2024</v>
      </c>
      <c r="E52" s="8">
        <v>6</v>
      </c>
      <c r="F52" s="8">
        <v>1088</v>
      </c>
      <c r="G52" s="8">
        <v>472</v>
      </c>
      <c r="H52" s="8">
        <v>45</v>
      </c>
      <c r="I52" s="9"/>
      <c r="J52" s="9"/>
      <c r="K52" s="9"/>
      <c r="L52" s="80">
        <v>920500</v>
      </c>
      <c r="M52" s="57">
        <v>482554</v>
      </c>
      <c r="N52" s="108">
        <f t="shared" si="0"/>
        <v>219.88049972840847</v>
      </c>
      <c r="O52" s="8">
        <v>2583</v>
      </c>
      <c r="P52" s="87">
        <v>279386</v>
      </c>
      <c r="Q52" s="56">
        <f>107340</f>
        <v>107340</v>
      </c>
      <c r="R52" s="8">
        <v>42999</v>
      </c>
      <c r="S52" s="8">
        <v>5806</v>
      </c>
      <c r="T52" s="8">
        <v>1115</v>
      </c>
      <c r="U52" s="10">
        <f t="shared" ref="U52" si="49">Z52+Z53</f>
        <v>7801</v>
      </c>
      <c r="V52" s="11">
        <f>W52/W53</f>
        <v>0.46659424225964152</v>
      </c>
      <c r="W52" s="56">
        <f>52399</f>
        <v>52399</v>
      </c>
      <c r="X52" s="56">
        <f>95752</f>
        <v>95752</v>
      </c>
      <c r="Y52" s="8">
        <v>33591</v>
      </c>
      <c r="Z52" s="8">
        <v>30</v>
      </c>
      <c r="AA52" s="11">
        <f>AB52/AD52</f>
        <v>0.14609637025835515</v>
      </c>
      <c r="AB52" s="12">
        <f>443717</f>
        <v>443717</v>
      </c>
      <c r="AC52" s="8">
        <f>190630</f>
        <v>190630</v>
      </c>
      <c r="AD52" s="12">
        <f>3037152.8</f>
        <v>3037152.8</v>
      </c>
      <c r="AE52" s="53">
        <f t="shared" ref="AE52" si="50">AD52*1000/L52</f>
        <v>3299.4598587724063</v>
      </c>
    </row>
    <row r="53" spans="1:31">
      <c r="B53" s="47" t="s">
        <v>120</v>
      </c>
      <c r="C53" s="110"/>
      <c r="D53" s="13"/>
      <c r="E53" s="13"/>
      <c r="F53" s="14"/>
      <c r="G53" s="14"/>
      <c r="H53" s="14"/>
      <c r="I53" s="15"/>
      <c r="J53" s="15"/>
      <c r="K53" s="15"/>
      <c r="L53" s="15"/>
      <c r="M53" s="15"/>
      <c r="N53" s="108"/>
      <c r="O53" s="13"/>
      <c r="P53" s="14">
        <f t="shared" si="38"/>
        <v>0.30351548071700163</v>
      </c>
      <c r="Q53" s="14">
        <f>Q52/M52</f>
        <v>0.22244142624452393</v>
      </c>
      <c r="R53" s="13"/>
      <c r="S53" s="13"/>
      <c r="T53" s="14">
        <f>T52/S52</f>
        <v>0.19204271443334481</v>
      </c>
      <c r="U53" s="16"/>
      <c r="V53" s="16"/>
      <c r="W53" s="13">
        <f t="shared" ref="W53" si="51">0.122*L52</f>
        <v>112301</v>
      </c>
      <c r="X53" s="13"/>
      <c r="Y53" s="13"/>
      <c r="Z53" s="13">
        <v>7771</v>
      </c>
      <c r="AA53" s="17"/>
      <c r="AB53" s="18"/>
      <c r="AC53" s="13"/>
      <c r="AD53" s="18"/>
      <c r="AE53" s="18"/>
    </row>
    <row r="54" spans="1:31">
      <c r="B54" s="47" t="s">
        <v>120</v>
      </c>
      <c r="C54" s="109" t="s">
        <v>25</v>
      </c>
      <c r="D54" s="8">
        <v>3331</v>
      </c>
      <c r="E54" s="8">
        <v>24</v>
      </c>
      <c r="F54" s="8">
        <v>1610</v>
      </c>
      <c r="G54" s="8">
        <v>799</v>
      </c>
      <c r="H54" s="8">
        <v>75</v>
      </c>
      <c r="I54" s="9"/>
      <c r="J54" s="9"/>
      <c r="K54" s="9"/>
      <c r="L54" s="57">
        <v>1674504</v>
      </c>
      <c r="M54" s="57">
        <v>877336</v>
      </c>
      <c r="N54" s="108">
        <f t="shared" si="0"/>
        <v>198.92457706879173</v>
      </c>
      <c r="O54" s="8">
        <v>3790</v>
      </c>
      <c r="P54" s="87">
        <v>581664</v>
      </c>
      <c r="Q54" s="56">
        <f>242044</f>
        <v>242044</v>
      </c>
      <c r="R54" s="8">
        <v>94713</v>
      </c>
      <c r="S54" s="8">
        <v>6625</v>
      </c>
      <c r="T54" s="8">
        <v>4276</v>
      </c>
      <c r="U54" s="10">
        <f t="shared" ref="U54" si="52">Z54+Z55</f>
        <v>8511</v>
      </c>
      <c r="V54" s="11">
        <f>W54/W55</f>
        <v>0.41027563787325172</v>
      </c>
      <c r="W54" s="56">
        <f>83815</f>
        <v>83815</v>
      </c>
      <c r="X54" s="56">
        <f>203974</f>
        <v>203974</v>
      </c>
      <c r="Y54" s="8">
        <v>44514</v>
      </c>
      <c r="Z54" s="8">
        <v>34</v>
      </c>
      <c r="AA54" s="11">
        <f>AB54/AD54</f>
        <v>0.1332254936310544</v>
      </c>
      <c r="AB54" s="12">
        <f>635351.3</f>
        <v>635351.30000000005</v>
      </c>
      <c r="AC54" s="8">
        <f>266026</f>
        <v>266026</v>
      </c>
      <c r="AD54" s="12">
        <f>4768991.9</f>
        <v>4768991.9000000004</v>
      </c>
      <c r="AE54" s="53">
        <f t="shared" ref="AE54" si="53">AD54*1000/L54</f>
        <v>2848.0026921404788</v>
      </c>
    </row>
    <row r="55" spans="1:31">
      <c r="B55" s="47" t="s">
        <v>120</v>
      </c>
      <c r="C55" s="110"/>
      <c r="D55" s="13"/>
      <c r="E55" s="13"/>
      <c r="F55" s="14"/>
      <c r="G55" s="14"/>
      <c r="H55" s="14"/>
      <c r="I55" s="15"/>
      <c r="J55" s="15"/>
      <c r="K55" s="15"/>
      <c r="L55" s="15"/>
      <c r="M55" s="15"/>
      <c r="N55" s="108"/>
      <c r="O55" s="13"/>
      <c r="P55" s="14">
        <f t="shared" si="38"/>
        <v>0.34736495105416293</v>
      </c>
      <c r="Q55" s="14">
        <f>Q54/M54</f>
        <v>0.2758851796803049</v>
      </c>
      <c r="R55" s="13"/>
      <c r="S55" s="13"/>
      <c r="T55" s="14">
        <f>T54/S54</f>
        <v>0.64543396226415095</v>
      </c>
      <c r="U55" s="16"/>
      <c r="V55" s="16"/>
      <c r="W55" s="13">
        <f t="shared" ref="W55" si="54">0.122*L54</f>
        <v>204289.48799999998</v>
      </c>
      <c r="X55" s="13"/>
      <c r="Y55" s="13"/>
      <c r="Z55" s="13">
        <v>8477</v>
      </c>
      <c r="AA55" s="17"/>
      <c r="AB55" s="18"/>
      <c r="AC55" s="13"/>
      <c r="AD55" s="18"/>
      <c r="AE55" s="18"/>
    </row>
    <row r="56" spans="1:31">
      <c r="B56" s="47" t="s">
        <v>120</v>
      </c>
      <c r="C56" s="115" t="s">
        <v>26</v>
      </c>
      <c r="D56" s="8">
        <v>1263</v>
      </c>
      <c r="E56" s="8">
        <v>7</v>
      </c>
      <c r="F56" s="8">
        <v>311</v>
      </c>
      <c r="G56" s="8">
        <v>384</v>
      </c>
      <c r="H56" s="8">
        <v>36</v>
      </c>
      <c r="I56" s="9"/>
      <c r="J56" s="9"/>
      <c r="K56" s="9"/>
      <c r="L56" s="80">
        <v>715867</v>
      </c>
      <c r="M56" s="57">
        <v>369042</v>
      </c>
      <c r="N56" s="108">
        <f t="shared" si="0"/>
        <v>176.4294205487891</v>
      </c>
      <c r="O56" s="8">
        <v>2178</v>
      </c>
      <c r="P56" s="87">
        <v>259310</v>
      </c>
      <c r="Q56" s="56">
        <v>86279</v>
      </c>
      <c r="R56" s="8">
        <v>35954</v>
      </c>
      <c r="S56" s="8">
        <v>1935</v>
      </c>
      <c r="T56" s="8">
        <v>993</v>
      </c>
      <c r="U56" s="10">
        <f t="shared" ref="U56" si="55">Z56+Z57</f>
        <v>5528</v>
      </c>
      <c r="V56" s="11">
        <f>W56/W57</f>
        <v>0.34969633405893896</v>
      </c>
      <c r="W56" s="56">
        <v>30541</v>
      </c>
      <c r="X56" s="56">
        <f>83986</f>
        <v>83986</v>
      </c>
      <c r="Y56" s="8">
        <v>31015</v>
      </c>
      <c r="Z56" s="8">
        <v>29</v>
      </c>
      <c r="AA56" s="11">
        <f>AB56/AD56</f>
        <v>0.11964836535570979</v>
      </c>
      <c r="AB56" s="12">
        <f>314465.9</f>
        <v>314465.90000000002</v>
      </c>
      <c r="AC56" s="8">
        <v>90703</v>
      </c>
      <c r="AD56" s="12">
        <f>2628250.7</f>
        <v>2628250.7000000002</v>
      </c>
      <c r="AE56" s="53">
        <f t="shared" ref="AE56" si="56">AD56*1000/L56</f>
        <v>3671.4231833566851</v>
      </c>
    </row>
    <row r="57" spans="1:31">
      <c r="B57" s="47" t="s">
        <v>120</v>
      </c>
      <c r="C57" s="116"/>
      <c r="D57" s="13"/>
      <c r="E57" s="13"/>
      <c r="F57" s="14"/>
      <c r="G57" s="14"/>
      <c r="H57" s="14"/>
      <c r="I57" s="15"/>
      <c r="J57" s="15"/>
      <c r="K57" s="15"/>
      <c r="L57" s="15"/>
      <c r="M57" s="15"/>
      <c r="N57" s="108"/>
      <c r="O57" s="13"/>
      <c r="P57" s="14">
        <f t="shared" si="38"/>
        <v>0.36223209059783451</v>
      </c>
      <c r="Q57" s="14">
        <f>Q56/M56</f>
        <v>0.2337918177334829</v>
      </c>
      <c r="R57" s="13"/>
      <c r="S57" s="13"/>
      <c r="T57" s="14">
        <f>T56/S56</f>
        <v>0.51317829457364339</v>
      </c>
      <c r="U57" s="16"/>
      <c r="V57" s="16"/>
      <c r="W57" s="13">
        <f t="shared" ref="W57" si="57">0.122*L56</f>
        <v>87335.774000000005</v>
      </c>
      <c r="X57" s="13"/>
      <c r="Y57" s="13"/>
      <c r="Z57" s="13">
        <v>5499</v>
      </c>
      <c r="AA57" s="17"/>
      <c r="AB57" s="18"/>
      <c r="AC57" s="13"/>
      <c r="AD57" s="18"/>
      <c r="AE57" s="18"/>
    </row>
    <row r="58" spans="1:31">
      <c r="B58" s="47" t="s">
        <v>120</v>
      </c>
      <c r="C58" s="109" t="s">
        <v>27</v>
      </c>
      <c r="D58" s="8">
        <v>1762</v>
      </c>
      <c r="E58" s="8">
        <v>3</v>
      </c>
      <c r="F58" s="8">
        <v>858</v>
      </c>
      <c r="G58" s="8">
        <v>319</v>
      </c>
      <c r="H58" s="8">
        <v>33</v>
      </c>
      <c r="I58" s="9"/>
      <c r="J58" s="9"/>
      <c r="K58" s="9"/>
      <c r="L58" s="57">
        <v>565817</v>
      </c>
      <c r="M58" s="57">
        <v>306254</v>
      </c>
      <c r="N58" s="108">
        <f t="shared" si="0"/>
        <v>311.40810544752105</v>
      </c>
      <c r="O58" s="8">
        <v>1390</v>
      </c>
      <c r="P58" s="87">
        <v>202204</v>
      </c>
      <c r="Q58" s="56">
        <f>78326</f>
        <v>78326</v>
      </c>
      <c r="R58" s="8">
        <v>49380</v>
      </c>
      <c r="S58" s="8">
        <v>2406</v>
      </c>
      <c r="T58" s="8">
        <v>1752</v>
      </c>
      <c r="U58" s="10">
        <f t="shared" ref="U58" si="58">Z58+Z59</f>
        <v>8982</v>
      </c>
      <c r="V58" s="11">
        <f>W58/W59</f>
        <v>0.71938627437238079</v>
      </c>
      <c r="W58" s="56">
        <v>49659</v>
      </c>
      <c r="X58" s="56">
        <f>71776</f>
        <v>71776</v>
      </c>
      <c r="Y58" s="8">
        <v>11804</v>
      </c>
      <c r="Z58" s="8">
        <v>17</v>
      </c>
      <c r="AA58" s="11">
        <f>AB58/AD58</f>
        <v>0.18279832625972187</v>
      </c>
      <c r="AB58" s="12">
        <f>262816.1</f>
        <v>262816.09999999998</v>
      </c>
      <c r="AC58" s="8">
        <v>120622</v>
      </c>
      <c r="AD58" s="12">
        <f>1437738</f>
        <v>1437738</v>
      </c>
      <c r="AE58" s="53">
        <f t="shared" ref="AE58" si="59">AD58*1000/L58</f>
        <v>2540.994703234438</v>
      </c>
    </row>
    <row r="59" spans="1:31">
      <c r="B59" s="47" t="s">
        <v>120</v>
      </c>
      <c r="C59" s="110"/>
      <c r="D59" s="13"/>
      <c r="E59" s="13"/>
      <c r="F59" s="14"/>
      <c r="G59" s="14"/>
      <c r="H59" s="14"/>
      <c r="I59" s="15"/>
      <c r="J59" s="15"/>
      <c r="K59" s="15"/>
      <c r="L59" s="15"/>
      <c r="M59" s="15"/>
      <c r="N59" s="108"/>
      <c r="O59" s="13"/>
      <c r="P59" s="14">
        <f t="shared" si="38"/>
        <v>0.35736642766124027</v>
      </c>
      <c r="Q59" s="14">
        <f>Q58/M58</f>
        <v>0.25575502687311841</v>
      </c>
      <c r="R59" s="13"/>
      <c r="S59" s="13"/>
      <c r="T59" s="14">
        <f>T58/S58</f>
        <v>0.72817955112219457</v>
      </c>
      <c r="U59" s="16"/>
      <c r="V59" s="16"/>
      <c r="W59" s="13">
        <f t="shared" ref="W59" si="60">0.122*L58</f>
        <v>69029.673999999999</v>
      </c>
      <c r="X59" s="13"/>
      <c r="Y59" s="13"/>
      <c r="Z59" s="13">
        <v>8965</v>
      </c>
      <c r="AA59" s="17"/>
      <c r="AB59" s="18"/>
      <c r="AC59" s="13"/>
      <c r="AD59" s="18"/>
      <c r="AE59" s="18"/>
    </row>
    <row r="60" spans="1:31">
      <c r="B60" s="47" t="s">
        <v>120</v>
      </c>
      <c r="C60" s="109" t="s">
        <v>28</v>
      </c>
      <c r="D60" s="8">
        <v>1162</v>
      </c>
      <c r="E60" s="8">
        <v>9</v>
      </c>
      <c r="F60" s="8">
        <v>528</v>
      </c>
      <c r="G60" s="8">
        <v>337</v>
      </c>
      <c r="H60" s="8">
        <v>15</v>
      </c>
      <c r="I60" s="9"/>
      <c r="J60" s="9"/>
      <c r="K60" s="9"/>
      <c r="L60" s="80">
        <v>594031</v>
      </c>
      <c r="M60" s="57">
        <v>313850</v>
      </c>
      <c r="N60" s="108">
        <f t="shared" si="0"/>
        <v>195.61268687997764</v>
      </c>
      <c r="O60" s="8">
        <v>1400</v>
      </c>
      <c r="P60" s="87">
        <v>174162</v>
      </c>
      <c r="Q60" s="56">
        <v>58864</v>
      </c>
      <c r="R60" s="8">
        <v>16267</v>
      </c>
      <c r="S60" s="8">
        <v>3876</v>
      </c>
      <c r="T60" s="8">
        <v>2214</v>
      </c>
      <c r="U60" s="10">
        <f t="shared" ref="U60" si="61">Z60+Z61</f>
        <v>5027</v>
      </c>
      <c r="V60" s="11">
        <f>W60/W61</f>
        <v>0.75583901055448044</v>
      </c>
      <c r="W60" s="56">
        <v>54777</v>
      </c>
      <c r="X60" s="56">
        <v>54795</v>
      </c>
      <c r="Y60" s="8">
        <v>22090</v>
      </c>
      <c r="Z60" s="8">
        <v>26</v>
      </c>
      <c r="AA60" s="11">
        <f>AB60/AD60</f>
        <v>0.19683816799641823</v>
      </c>
      <c r="AB60" s="12">
        <f>1420849.9</f>
        <v>1420849.9</v>
      </c>
      <c r="AC60" s="8">
        <v>123087</v>
      </c>
      <c r="AD60" s="12">
        <f>7218365.8</f>
        <v>7218365.7999999998</v>
      </c>
      <c r="AE60" s="53">
        <f t="shared" ref="AE60" si="62">AD60*1000/L60</f>
        <v>12151.496807405674</v>
      </c>
    </row>
    <row r="61" spans="1:31">
      <c r="B61" s="47" t="s">
        <v>120</v>
      </c>
      <c r="C61" s="110"/>
      <c r="D61" s="13"/>
      <c r="E61" s="13"/>
      <c r="F61" s="14"/>
      <c r="G61" s="14"/>
      <c r="H61" s="14"/>
      <c r="I61" s="15"/>
      <c r="J61" s="15"/>
      <c r="K61" s="15"/>
      <c r="L61" s="15"/>
      <c r="M61" s="15"/>
      <c r="N61" s="108"/>
      <c r="O61" s="13"/>
      <c r="P61" s="14">
        <f t="shared" si="38"/>
        <v>0.29318671921162365</v>
      </c>
      <c r="Q61" s="14">
        <f>Q60/M60</f>
        <v>0.18755456428230047</v>
      </c>
      <c r="R61" s="13"/>
      <c r="S61" s="13"/>
      <c r="T61" s="14">
        <f>T60/S60</f>
        <v>0.57120743034055732</v>
      </c>
      <c r="U61" s="16"/>
      <c r="V61" s="16"/>
      <c r="W61" s="13">
        <f t="shared" ref="W61" si="63">0.122*L60</f>
        <v>72471.781999999992</v>
      </c>
      <c r="X61" s="13"/>
      <c r="Y61" s="13"/>
      <c r="Z61" s="13">
        <v>5001</v>
      </c>
      <c r="AA61" s="17"/>
      <c r="AB61" s="18"/>
      <c r="AC61" s="13"/>
      <c r="AD61" s="18"/>
      <c r="AE61" s="18"/>
    </row>
    <row r="62" spans="1:31">
      <c r="B62" s="47" t="s">
        <v>120</v>
      </c>
      <c r="C62" s="109" t="s">
        <v>29</v>
      </c>
      <c r="D62" s="8">
        <v>7479</v>
      </c>
      <c r="E62" s="8">
        <v>8</v>
      </c>
      <c r="F62" s="8">
        <v>2821</v>
      </c>
      <c r="G62" s="8">
        <v>1845</v>
      </c>
      <c r="H62" s="8">
        <v>312</v>
      </c>
      <c r="I62" s="9"/>
      <c r="J62" s="9"/>
      <c r="K62" s="9"/>
      <c r="L62" s="57">
        <v>4866066</v>
      </c>
      <c r="M62" s="57">
        <v>2637820</v>
      </c>
      <c r="N62" s="108">
        <f t="shared" si="0"/>
        <v>153.69705219781235</v>
      </c>
      <c r="O62" s="8">
        <v>19333</v>
      </c>
      <c r="P62" s="87">
        <v>1924175</v>
      </c>
      <c r="Q62" s="74">
        <v>930432</v>
      </c>
      <c r="R62" s="8">
        <v>900185</v>
      </c>
      <c r="S62" s="8">
        <v>41440</v>
      </c>
      <c r="T62" s="8">
        <v>29230</v>
      </c>
      <c r="U62" s="10">
        <f t="shared" ref="U62" si="64">Z62+Z63</f>
        <v>26637</v>
      </c>
      <c r="V62" s="11">
        <f>W62/W63</f>
        <v>0.32269814914209521</v>
      </c>
      <c r="W62" s="56">
        <v>191573</v>
      </c>
      <c r="X62" s="56">
        <f>743999</f>
        <v>743999</v>
      </c>
      <c r="Y62" s="8">
        <v>114841</v>
      </c>
      <c r="Z62" s="8">
        <v>541</v>
      </c>
      <c r="AA62" s="11">
        <f>AB62/AD62</f>
        <v>0.15521814880171061</v>
      </c>
      <c r="AB62" s="12">
        <f>2991335.2</f>
        <v>2991335.2</v>
      </c>
      <c r="AC62" s="8">
        <f>652197</f>
        <v>652197</v>
      </c>
      <c r="AD62" s="12">
        <f>19271813.4</f>
        <v>19271813.399999999</v>
      </c>
      <c r="AE62" s="53">
        <f t="shared" ref="AE62" si="65">AD62*1000/L62</f>
        <v>3960.4504747777773</v>
      </c>
    </row>
    <row r="63" spans="1:31">
      <c r="B63" s="47" t="s">
        <v>120</v>
      </c>
      <c r="C63" s="110"/>
      <c r="D63" s="13"/>
      <c r="E63" s="13"/>
      <c r="F63" s="14"/>
      <c r="G63" s="14"/>
      <c r="H63" s="14"/>
      <c r="I63" s="15"/>
      <c r="J63" s="15"/>
      <c r="K63" s="15"/>
      <c r="L63" s="15"/>
      <c r="M63" s="15"/>
      <c r="N63" s="108"/>
      <c r="O63" s="13"/>
      <c r="P63" s="14">
        <f t="shared" si="38"/>
        <v>0.39542723012799252</v>
      </c>
      <c r="Q63" s="14">
        <f>Q62/M62</f>
        <v>0.35272763114996475</v>
      </c>
      <c r="R63" s="13"/>
      <c r="S63" s="13"/>
      <c r="T63" s="14">
        <f>T62/S62</f>
        <v>0.7053571428571429</v>
      </c>
      <c r="U63" s="16"/>
      <c r="V63" s="16"/>
      <c r="W63" s="13">
        <f t="shared" ref="W63" si="66">0.122*L62</f>
        <v>593660.05200000003</v>
      </c>
      <c r="X63" s="13"/>
      <c r="Y63" s="13"/>
      <c r="Z63" s="13">
        <v>26096</v>
      </c>
      <c r="AA63" s="17"/>
      <c r="AB63" s="18"/>
      <c r="AC63" s="13"/>
      <c r="AD63" s="18"/>
      <c r="AE63" s="18"/>
    </row>
    <row r="64" spans="1:31" s="20" customFormat="1">
      <c r="A64" s="49" t="s">
        <v>127</v>
      </c>
      <c r="B64" s="50" t="s">
        <v>120</v>
      </c>
      <c r="C64" s="111" t="s">
        <v>30</v>
      </c>
      <c r="D64" s="24">
        <f t="shared" ref="D64:U64" si="67">SUM(D62,D60,D58,D56,D54,D52,D50,D48,D46,D44,D42)</f>
        <v>25684</v>
      </c>
      <c r="E64" s="24">
        <f t="shared" si="67"/>
        <v>87</v>
      </c>
      <c r="F64" s="24">
        <f t="shared" si="67"/>
        <v>10644</v>
      </c>
      <c r="G64" s="24">
        <f t="shared" si="67"/>
        <v>6419</v>
      </c>
      <c r="H64" s="24">
        <f t="shared" si="67"/>
        <v>718</v>
      </c>
      <c r="I64" s="19">
        <f t="shared" si="67"/>
        <v>0</v>
      </c>
      <c r="J64" s="19">
        <f t="shared" si="67"/>
        <v>0</v>
      </c>
      <c r="K64" s="19">
        <f t="shared" si="67"/>
        <v>0</v>
      </c>
      <c r="L64" s="19">
        <f>SUM(L42+L44+L46+L48+L50+L52+L54+L56+L58+L60+L62)</f>
        <v>12901285</v>
      </c>
      <c r="M64" s="19">
        <f t="shared" si="67"/>
        <v>6872437</v>
      </c>
      <c r="N64" s="108">
        <f t="shared" si="0"/>
        <v>199.0809442625289</v>
      </c>
      <c r="O64" s="24">
        <f t="shared" si="67"/>
        <v>39732</v>
      </c>
      <c r="P64" s="24">
        <f t="shared" si="67"/>
        <v>4585978</v>
      </c>
      <c r="Q64" s="24">
        <f t="shared" si="67"/>
        <v>1943253</v>
      </c>
      <c r="R64" s="24">
        <f t="shared" si="67"/>
        <v>1298561</v>
      </c>
      <c r="S64" s="24">
        <f t="shared" si="67"/>
        <v>78077</v>
      </c>
      <c r="T64" s="24">
        <f t="shared" si="67"/>
        <v>48677</v>
      </c>
      <c r="U64" s="24">
        <f t="shared" si="67"/>
        <v>90777</v>
      </c>
      <c r="V64" s="21">
        <f>W64/W65</f>
        <v>0.45766758892621934</v>
      </c>
      <c r="W64" s="24">
        <f>SUM(W62,W60,W58,W56,W54,W52,W50,W48,W46,W44,W42)</f>
        <v>720349</v>
      </c>
      <c r="X64" s="24">
        <f>SUM(X62,X60,X58,X56,X54,X52,X50,X48,X46,X44,X42)</f>
        <v>1658189</v>
      </c>
      <c r="Y64" s="24">
        <f>SUM(Y62,Y60,Y58,Y56,Y54,Y52,Y50,Y48,Y46,Y44,Y42)</f>
        <v>376085</v>
      </c>
      <c r="Z64" s="24">
        <f>SUM(Z62,Z60,Z58,Z56,Z54,Z52,Z50,Z48,Z46,Z44,Z42)</f>
        <v>789</v>
      </c>
      <c r="AA64" s="21">
        <f>AB64/AD64</f>
        <v>0.22713015482913193</v>
      </c>
      <c r="AB64" s="22">
        <f>SUM(AB42:AB62)</f>
        <v>11669883.099999998</v>
      </c>
      <c r="AC64" s="24">
        <f>SUM(AC42:AC62)</f>
        <v>2048776</v>
      </c>
      <c r="AD64" s="22">
        <f>SUM(AD42:AD62)</f>
        <v>51379717.100000001</v>
      </c>
      <c r="AE64" s="22">
        <f>AD64*1000/L64</f>
        <v>3982.5270971069936</v>
      </c>
    </row>
    <row r="65" spans="1:31" s="20" customFormat="1">
      <c r="A65" s="49" t="s">
        <v>127</v>
      </c>
      <c r="B65" s="50" t="s">
        <v>120</v>
      </c>
      <c r="C65" s="112"/>
      <c r="D65" s="26"/>
      <c r="E65" s="26"/>
      <c r="F65" s="23">
        <f>I64/L64/1.95</f>
        <v>0</v>
      </c>
      <c r="G65" s="23">
        <f>J64/L64/0.35</f>
        <v>0</v>
      </c>
      <c r="H65" s="23">
        <f>K64/L64/0.075</f>
        <v>0</v>
      </c>
      <c r="I65" s="19"/>
      <c r="J65" s="19"/>
      <c r="K65" s="19"/>
      <c r="L65" s="19"/>
      <c r="M65" s="19"/>
      <c r="N65" s="108"/>
      <c r="O65" s="26"/>
      <c r="P65" s="23">
        <f>P64/L64</f>
        <v>0.35546676164428581</v>
      </c>
      <c r="Q65" s="23">
        <f>Q64/M64</f>
        <v>0.2827603948933981</v>
      </c>
      <c r="R65" s="26"/>
      <c r="S65" s="26"/>
      <c r="T65" s="23">
        <f>T64/S64</f>
        <v>0.62344864684862378</v>
      </c>
      <c r="U65" s="28"/>
      <c r="V65" s="28"/>
      <c r="W65" s="26">
        <f>SUM(W63,W61,W59,W57,W55,W53,W51,W49,W47,W45,W43)</f>
        <v>1573956.77</v>
      </c>
      <c r="X65" s="26"/>
      <c r="Y65" s="26"/>
      <c r="Z65" s="26">
        <f>SUM(Z63,Z61,Z59,Z57,Z55,Z53,Z51,Z49,Z47,Z45,Z43)</f>
        <v>89988</v>
      </c>
      <c r="AA65" s="29"/>
      <c r="AB65" s="30"/>
      <c r="AC65" s="26"/>
      <c r="AD65" s="30"/>
      <c r="AE65" s="30"/>
    </row>
    <row r="66" spans="1:31">
      <c r="B66" s="47" t="s">
        <v>121</v>
      </c>
      <c r="C66" s="109" t="s">
        <v>31</v>
      </c>
      <c r="D66" s="8">
        <v>897</v>
      </c>
      <c r="E66" s="8">
        <v>3</v>
      </c>
      <c r="F66" s="8">
        <v>626</v>
      </c>
      <c r="G66" s="8">
        <v>190</v>
      </c>
      <c r="H66" s="8">
        <v>12</v>
      </c>
      <c r="I66" s="9"/>
      <c r="J66" s="9"/>
      <c r="K66" s="9"/>
      <c r="L66" s="57">
        <v>421302</v>
      </c>
      <c r="M66" s="57">
        <v>222843</v>
      </c>
      <c r="N66" s="108">
        <f t="shared" si="0"/>
        <v>212.9114032214421</v>
      </c>
      <c r="O66" s="8">
        <v>1066</v>
      </c>
      <c r="P66" s="56">
        <v>165365</v>
      </c>
      <c r="Q66" s="56">
        <f>55490</f>
        <v>55490</v>
      </c>
      <c r="R66" s="8">
        <v>6249</v>
      </c>
      <c r="S66" s="8">
        <v>381</v>
      </c>
      <c r="T66" s="8">
        <v>146</v>
      </c>
      <c r="U66" s="10">
        <f>Z66+Z67</f>
        <v>2094</v>
      </c>
      <c r="V66" s="11">
        <f>W66/W67</f>
        <v>0.58732838427261125</v>
      </c>
      <c r="W66" s="56">
        <v>30188</v>
      </c>
      <c r="X66" s="8">
        <f>80694</f>
        <v>80694</v>
      </c>
      <c r="Y66" s="8">
        <v>14824</v>
      </c>
      <c r="Z66" s="8">
        <v>15</v>
      </c>
      <c r="AA66" s="11">
        <f>AB66/AD66</f>
        <v>1.916648693042608E-2</v>
      </c>
      <c r="AB66" s="12">
        <f>11561.2</f>
        <v>11561.2</v>
      </c>
      <c r="AC66" s="8">
        <v>145031</v>
      </c>
      <c r="AD66" s="12">
        <f>603198.7</f>
        <v>603198.69999999995</v>
      </c>
      <c r="AE66" s="12">
        <f>AD66*1000/L66</f>
        <v>1431.7489591789263</v>
      </c>
    </row>
    <row r="67" spans="1:31">
      <c r="B67" s="47" t="s">
        <v>121</v>
      </c>
      <c r="C67" s="110"/>
      <c r="D67" s="13"/>
      <c r="E67" s="13"/>
      <c r="F67" s="14"/>
      <c r="G67" s="14"/>
      <c r="H67" s="14"/>
      <c r="I67" s="15"/>
      <c r="J67" s="15"/>
      <c r="K67" s="15"/>
      <c r="L67" s="15"/>
      <c r="M67" s="15"/>
      <c r="N67" s="108"/>
      <c r="O67" s="13"/>
      <c r="P67" s="14">
        <f>P66/L66</f>
        <v>0.39250941130115691</v>
      </c>
      <c r="Q67" s="14">
        <f>Q66/M66</f>
        <v>0.2490093922627141</v>
      </c>
      <c r="R67" s="13"/>
      <c r="S67" s="13"/>
      <c r="T67" s="14">
        <f>T66/S66</f>
        <v>0.38320209973753283</v>
      </c>
      <c r="U67" s="16"/>
      <c r="V67" s="16"/>
      <c r="W67" s="13">
        <f>0.122*L66</f>
        <v>51398.843999999997</v>
      </c>
      <c r="X67" s="13"/>
      <c r="Y67" s="13"/>
      <c r="Z67" s="13">
        <v>2079</v>
      </c>
      <c r="AA67" s="17"/>
      <c r="AB67" s="18"/>
      <c r="AC67" s="13"/>
      <c r="AD67" s="18"/>
      <c r="AE67" s="18"/>
    </row>
    <row r="68" spans="1:31">
      <c r="B68" s="47" t="s">
        <v>121</v>
      </c>
      <c r="C68" s="109" t="s">
        <v>32</v>
      </c>
      <c r="D68" s="8">
        <v>529</v>
      </c>
      <c r="E68" s="8">
        <v>2</v>
      </c>
      <c r="F68" s="8">
        <v>302</v>
      </c>
      <c r="G68" s="8">
        <v>187</v>
      </c>
      <c r="H68" s="8">
        <v>3</v>
      </c>
      <c r="I68" s="9"/>
      <c r="J68" s="9"/>
      <c r="K68" s="9"/>
      <c r="L68" s="57">
        <v>260227</v>
      </c>
      <c r="M68" s="57">
        <v>134638</v>
      </c>
      <c r="N68" s="108">
        <f t="shared" si="0"/>
        <v>203.28405584355198</v>
      </c>
      <c r="O68" s="8">
        <v>887</v>
      </c>
      <c r="P68" s="56">
        <v>84637</v>
      </c>
      <c r="Q68" s="56">
        <f>28654</f>
        <v>28654</v>
      </c>
      <c r="R68" s="8">
        <v>9680</v>
      </c>
      <c r="S68" s="8">
        <v>1397</v>
      </c>
      <c r="T68" s="8">
        <v>526</v>
      </c>
      <c r="U68" s="10">
        <f t="shared" ref="U68" si="68">Z68+Z69</f>
        <v>4730</v>
      </c>
      <c r="V68" s="11">
        <f>W68/W69</f>
        <v>0.43766958318295496</v>
      </c>
      <c r="W68" s="56">
        <v>13895</v>
      </c>
      <c r="X68" s="56">
        <f>11309</f>
        <v>11309</v>
      </c>
      <c r="Y68" s="8">
        <v>5456</v>
      </c>
      <c r="Z68" s="8">
        <v>3</v>
      </c>
      <c r="AA68" s="11">
        <f>AB68/AD68</f>
        <v>2.9192490755932173E-2</v>
      </c>
      <c r="AB68" s="12">
        <f>7047.8</f>
        <v>7047.8</v>
      </c>
      <c r="AC68" s="8">
        <v>30893</v>
      </c>
      <c r="AD68" s="12">
        <f>241425.1</f>
        <v>241425.1</v>
      </c>
      <c r="AE68" s="12">
        <f>AD68*1000/L68</f>
        <v>927.74808148270552</v>
      </c>
    </row>
    <row r="69" spans="1:31">
      <c r="B69" s="47" t="s">
        <v>121</v>
      </c>
      <c r="C69" s="110"/>
      <c r="D69" s="13"/>
      <c r="E69" s="13"/>
      <c r="F69" s="14"/>
      <c r="G69" s="14"/>
      <c r="H69" s="14"/>
      <c r="I69" s="15"/>
      <c r="J69" s="15"/>
      <c r="K69" s="15"/>
      <c r="L69" s="15"/>
      <c r="M69" s="15"/>
      <c r="N69" s="108"/>
      <c r="O69" s="13"/>
      <c r="P69" s="14">
        <f>P68/L68</f>
        <v>0.3252429609533215</v>
      </c>
      <c r="Q69" s="14">
        <f>Q68/M68</f>
        <v>0.21282253152898883</v>
      </c>
      <c r="R69" s="13"/>
      <c r="S69" s="13"/>
      <c r="T69" s="14">
        <f>T68/S68</f>
        <v>0.376521116678597</v>
      </c>
      <c r="U69" s="16"/>
      <c r="V69" s="16"/>
      <c r="W69" s="13">
        <f t="shared" ref="W69" si="69">0.122*L68</f>
        <v>31747.694</v>
      </c>
      <c r="X69" s="13"/>
      <c r="Y69" s="13"/>
      <c r="Z69" s="13">
        <v>4727</v>
      </c>
      <c r="AA69" s="17"/>
      <c r="AB69" s="18"/>
      <c r="AC69" s="13"/>
      <c r="AD69" s="18"/>
      <c r="AE69" s="18"/>
    </row>
    <row r="70" spans="1:31" s="54" customFormat="1">
      <c r="A70" s="47"/>
      <c r="B70" s="47" t="s">
        <v>121</v>
      </c>
      <c r="C70" s="123" t="s">
        <v>130</v>
      </c>
      <c r="D70" s="8">
        <v>2857</v>
      </c>
      <c r="E70" s="62">
        <v>35</v>
      </c>
      <c r="F70" s="63">
        <v>1511</v>
      </c>
      <c r="G70" s="63">
        <v>732</v>
      </c>
      <c r="H70" s="60">
        <v>22</v>
      </c>
      <c r="I70" s="64"/>
      <c r="J70" s="9"/>
      <c r="K70" s="9"/>
      <c r="L70" s="57">
        <v>1778518</v>
      </c>
      <c r="M70" s="57">
        <v>951252</v>
      </c>
      <c r="N70" s="108">
        <f t="shared" ref="N70:N92" si="70">D70/L70*100000</f>
        <v>160.63936378490405</v>
      </c>
      <c r="O70" s="8">
        <v>2860</v>
      </c>
      <c r="P70" s="60">
        <v>249312</v>
      </c>
      <c r="Q70" s="60">
        <v>59307</v>
      </c>
      <c r="R70" s="8">
        <v>12130</v>
      </c>
      <c r="S70" s="8">
        <v>10738</v>
      </c>
      <c r="T70" s="60">
        <v>6274</v>
      </c>
      <c r="U70" s="10">
        <f t="shared" ref="U70" si="71">Z70+Z71</f>
        <v>5091</v>
      </c>
      <c r="V70" s="61">
        <f>W70/W71</f>
        <v>0.28424384059382357</v>
      </c>
      <c r="W70" s="56">
        <v>61675</v>
      </c>
      <c r="X70" s="56">
        <v>20771</v>
      </c>
      <c r="Y70" s="8">
        <v>40320</v>
      </c>
      <c r="Z70" s="8">
        <v>22</v>
      </c>
      <c r="AA70" s="11">
        <f>AB70/AD70</f>
        <v>1.4953644917921944E-2</v>
      </c>
      <c r="AB70" s="12">
        <f>25185.5</f>
        <v>25185.5</v>
      </c>
      <c r="AC70" s="8">
        <v>72737</v>
      </c>
      <c r="AD70" s="69">
        <f>1684238.2</f>
        <v>1684238.2</v>
      </c>
      <c r="AE70" s="12">
        <f>AD70*1000/L70</f>
        <v>946.98968467004556</v>
      </c>
    </row>
    <row r="71" spans="1:31" s="54" customFormat="1">
      <c r="A71" s="47"/>
      <c r="B71" s="47" t="s">
        <v>121</v>
      </c>
      <c r="C71" s="124"/>
      <c r="D71" s="13"/>
      <c r="E71" s="65"/>
      <c r="F71" s="66"/>
      <c r="G71" s="66"/>
      <c r="H71" s="67"/>
      <c r="I71" s="68"/>
      <c r="J71" s="15"/>
      <c r="K71" s="15"/>
      <c r="L71" s="27"/>
      <c r="M71" s="27"/>
      <c r="N71" s="108"/>
      <c r="O71" s="26"/>
      <c r="P71" s="14">
        <f>P70/L70</f>
        <v>0.14017963270543227</v>
      </c>
      <c r="Q71" s="14">
        <f>Q70/M70</f>
        <v>6.2346255250974508E-2</v>
      </c>
      <c r="R71" s="13"/>
      <c r="S71" s="13"/>
      <c r="T71" s="14">
        <f>T70/S70</f>
        <v>0.58428012665300799</v>
      </c>
      <c r="U71" s="16"/>
      <c r="V71" s="16"/>
      <c r="W71" s="13">
        <f>0.122*L70</f>
        <v>216979.196</v>
      </c>
      <c r="X71" s="26"/>
      <c r="Y71" s="13"/>
      <c r="Z71" s="13">
        <v>5069</v>
      </c>
      <c r="AA71" s="17"/>
      <c r="AB71" s="18"/>
      <c r="AC71" s="13"/>
      <c r="AD71" s="70"/>
      <c r="AE71" s="18"/>
    </row>
    <row r="72" spans="1:31">
      <c r="B72" s="47" t="s">
        <v>121</v>
      </c>
      <c r="C72" s="109" t="s">
        <v>33</v>
      </c>
      <c r="D72" s="8">
        <v>10205</v>
      </c>
      <c r="E72" s="8">
        <v>83</v>
      </c>
      <c r="F72" s="8">
        <v>5306</v>
      </c>
      <c r="G72" s="8">
        <v>2168</v>
      </c>
      <c r="H72" s="8">
        <v>177</v>
      </c>
      <c r="I72" s="9"/>
      <c r="J72" s="9"/>
      <c r="K72" s="9"/>
      <c r="L72" s="57">
        <v>5173385</v>
      </c>
      <c r="M72" s="57">
        <v>2754350</v>
      </c>
      <c r="N72" s="108">
        <f t="shared" si="70"/>
        <v>197.25962788387099</v>
      </c>
      <c r="O72" s="8">
        <v>15589</v>
      </c>
      <c r="P72" s="56">
        <v>2477441</v>
      </c>
      <c r="Q72" s="56">
        <f>960810</f>
        <v>960810</v>
      </c>
      <c r="R72" s="8">
        <v>640107</v>
      </c>
      <c r="S72" s="8">
        <v>29435</v>
      </c>
      <c r="T72" s="8">
        <v>18030</v>
      </c>
      <c r="U72" s="10">
        <f t="shared" ref="U72" si="72">Z72+Z73</f>
        <v>148057</v>
      </c>
      <c r="V72" s="11">
        <f>W72/W73</f>
        <v>0.57527416847931501</v>
      </c>
      <c r="W72" s="56">
        <v>363086</v>
      </c>
      <c r="X72" s="56">
        <v>1435939</v>
      </c>
      <c r="Y72" s="8">
        <f>228498</f>
        <v>228498</v>
      </c>
      <c r="Z72" s="8">
        <v>282</v>
      </c>
      <c r="AA72" s="11">
        <f>AB72/AD72</f>
        <v>0.38714271297595182</v>
      </c>
      <c r="AB72" s="12">
        <f>9951245.6</f>
        <v>9951245.5999999996</v>
      </c>
      <c r="AC72" s="8">
        <v>1450934</v>
      </c>
      <c r="AD72" s="12">
        <f>25704334</f>
        <v>25704334</v>
      </c>
      <c r="AE72" s="12">
        <f>AD72*1000/L72</f>
        <v>4968.5716411981712</v>
      </c>
    </row>
    <row r="73" spans="1:31">
      <c r="B73" s="47" t="s">
        <v>121</v>
      </c>
      <c r="C73" s="110"/>
      <c r="D73" s="13"/>
      <c r="E73" s="13"/>
      <c r="F73" s="14"/>
      <c r="G73" s="14"/>
      <c r="H73" s="14"/>
      <c r="I73" s="15"/>
      <c r="J73" s="15"/>
      <c r="K73" s="15"/>
      <c r="L73" s="15"/>
      <c r="M73" s="15"/>
      <c r="N73" s="108"/>
      <c r="O73" s="13"/>
      <c r="P73" s="14">
        <f>P72/L72</f>
        <v>0.47888200858818741</v>
      </c>
      <c r="Q73" s="14">
        <f>Q72/M72</f>
        <v>0.34883366311470948</v>
      </c>
      <c r="R73" s="13"/>
      <c r="S73" s="13"/>
      <c r="T73" s="14">
        <f>T72/S72</f>
        <v>0.61253609648377783</v>
      </c>
      <c r="U73" s="16"/>
      <c r="V73" s="16"/>
      <c r="W73" s="13">
        <f t="shared" ref="W73" si="73">0.122*L72</f>
        <v>631152.97</v>
      </c>
      <c r="X73" s="13"/>
      <c r="Y73" s="13"/>
      <c r="Z73" s="13">
        <v>147775</v>
      </c>
      <c r="AA73" s="17"/>
      <c r="AB73" s="18"/>
      <c r="AC73" s="13"/>
      <c r="AD73" s="18"/>
      <c r="AE73" s="18"/>
    </row>
    <row r="74" spans="1:31">
      <c r="B74" s="47" t="s">
        <v>121</v>
      </c>
      <c r="C74" s="109" t="s">
        <v>34</v>
      </c>
      <c r="D74" s="8">
        <v>1681</v>
      </c>
      <c r="E74" s="8">
        <v>13</v>
      </c>
      <c r="F74" s="8">
        <v>729</v>
      </c>
      <c r="G74" s="8">
        <v>489</v>
      </c>
      <c r="H74" s="8">
        <v>21</v>
      </c>
      <c r="I74" s="9"/>
      <c r="J74" s="9"/>
      <c r="K74" s="9"/>
      <c r="L74" s="57">
        <v>943264</v>
      </c>
      <c r="M74" s="57">
        <v>494365</v>
      </c>
      <c r="N74" s="108">
        <f t="shared" si="70"/>
        <v>178.21097805068359</v>
      </c>
      <c r="O74" s="71">
        <v>1871</v>
      </c>
      <c r="P74" s="56">
        <v>400533</v>
      </c>
      <c r="Q74" s="56">
        <f>164779</f>
        <v>164779</v>
      </c>
      <c r="R74" s="8">
        <v>10579</v>
      </c>
      <c r="S74" s="8">
        <v>2161</v>
      </c>
      <c r="T74" s="8">
        <v>851</v>
      </c>
      <c r="U74" s="10">
        <f t="shared" ref="U74" si="74">Z74+Z75</f>
        <v>2039</v>
      </c>
      <c r="V74" s="11">
        <f>W74/W75</f>
        <v>0.41556086796207325</v>
      </c>
      <c r="W74" s="56">
        <v>47822</v>
      </c>
      <c r="X74" s="56">
        <f>66325</f>
        <v>66325</v>
      </c>
      <c r="Y74" s="8">
        <v>34420</v>
      </c>
      <c r="Z74" s="8">
        <v>8</v>
      </c>
      <c r="AA74" s="11">
        <f>AB74/AD74</f>
        <v>3.0891243953056438E-2</v>
      </c>
      <c r="AB74" s="12">
        <f>474862.8</f>
        <v>474862.8</v>
      </c>
      <c r="AC74" s="8">
        <v>116495</v>
      </c>
      <c r="AD74" s="12">
        <f>15372084.1</f>
        <v>15372084.1</v>
      </c>
      <c r="AE74" s="12">
        <f>AD74*1000/L74</f>
        <v>16296.693290531601</v>
      </c>
    </row>
    <row r="75" spans="1:31">
      <c r="B75" s="47" t="s">
        <v>121</v>
      </c>
      <c r="C75" s="110"/>
      <c r="D75" s="13"/>
      <c r="E75" s="13"/>
      <c r="F75" s="14"/>
      <c r="G75" s="14"/>
      <c r="H75" s="14"/>
      <c r="I75" s="15"/>
      <c r="J75" s="15"/>
      <c r="K75" s="15"/>
      <c r="L75" s="15"/>
      <c r="M75" s="15"/>
      <c r="N75" s="108"/>
      <c r="O75" s="13"/>
      <c r="P75" s="14">
        <f>P74/L74</f>
        <v>0.42462449536927094</v>
      </c>
      <c r="Q75" s="14">
        <f>Q74/M74</f>
        <v>0.33331445389540115</v>
      </c>
      <c r="R75" s="13"/>
      <c r="S75" s="13"/>
      <c r="T75" s="14">
        <f>T74/S74</f>
        <v>0.39379916705229062</v>
      </c>
      <c r="U75" s="16"/>
      <c r="V75" s="16"/>
      <c r="W75" s="13">
        <f t="shared" ref="W75" si="75">0.122*L74</f>
        <v>115078.208</v>
      </c>
      <c r="X75" s="13"/>
      <c r="Y75" s="13"/>
      <c r="Z75" s="13">
        <v>2031</v>
      </c>
      <c r="AA75" s="17"/>
      <c r="AB75" s="18"/>
      <c r="AC75" s="13"/>
      <c r="AD75" s="18"/>
      <c r="AE75" s="18"/>
    </row>
    <row r="76" spans="1:31" s="54" customFormat="1">
      <c r="A76" s="47"/>
      <c r="B76" s="47" t="s">
        <v>121</v>
      </c>
      <c r="C76" s="119" t="s">
        <v>35</v>
      </c>
      <c r="D76" s="8">
        <v>5133</v>
      </c>
      <c r="E76" s="8">
        <v>39</v>
      </c>
      <c r="F76" s="8">
        <v>2447</v>
      </c>
      <c r="G76" s="8">
        <v>1236</v>
      </c>
      <c r="H76" s="8">
        <v>57</v>
      </c>
      <c r="I76" s="9"/>
      <c r="J76" s="9"/>
      <c r="K76" s="9"/>
      <c r="L76" s="57">
        <v>2355280</v>
      </c>
      <c r="M76" s="57">
        <v>1250831</v>
      </c>
      <c r="N76" s="108">
        <f t="shared" si="70"/>
        <v>217.93587174348698</v>
      </c>
      <c r="O76" s="8">
        <v>5748</v>
      </c>
      <c r="P76" s="56">
        <v>843179</v>
      </c>
      <c r="Q76" s="56">
        <v>306539</v>
      </c>
      <c r="R76" s="8">
        <v>101465</v>
      </c>
      <c r="S76" s="8">
        <v>8729</v>
      </c>
      <c r="T76" s="8">
        <v>6706</v>
      </c>
      <c r="U76" s="10">
        <f t="shared" ref="U76" si="76">Z76+Z77</f>
        <v>25002</v>
      </c>
      <c r="V76" s="11">
        <f>W76/W77</f>
        <v>0.51091694363998907</v>
      </c>
      <c r="W76" s="56">
        <v>146809</v>
      </c>
      <c r="X76" s="56">
        <v>160162</v>
      </c>
      <c r="Y76" s="8">
        <v>49551</v>
      </c>
      <c r="Z76" s="8">
        <v>130</v>
      </c>
      <c r="AA76" s="11">
        <f>AB76/AD76</f>
        <v>0.17101100007127912</v>
      </c>
      <c r="AB76" s="12">
        <f>510304.4</f>
        <v>510304.4</v>
      </c>
      <c r="AC76" s="8">
        <v>208431</v>
      </c>
      <c r="AD76" s="53">
        <f>2984044.3</f>
        <v>2984044.3</v>
      </c>
      <c r="AE76" s="53">
        <f>AD76*1000/L76</f>
        <v>1266.9594697870316</v>
      </c>
    </row>
    <row r="77" spans="1:31" s="54" customFormat="1">
      <c r="A77" s="47"/>
      <c r="B77" s="47" t="s">
        <v>121</v>
      </c>
      <c r="C77" s="120"/>
      <c r="D77" s="13"/>
      <c r="E77" s="13"/>
      <c r="F77" s="14"/>
      <c r="G77" s="14"/>
      <c r="H77" s="14"/>
      <c r="I77" s="15"/>
      <c r="J77" s="15"/>
      <c r="K77" s="15"/>
      <c r="L77" s="15"/>
      <c r="M77" s="15"/>
      <c r="N77" s="108"/>
      <c r="O77" s="13"/>
      <c r="P77" s="14">
        <f>P76/L76</f>
        <v>0.35799522774362286</v>
      </c>
      <c r="Q77" s="14">
        <f>Q76/M76</f>
        <v>0.24506827860838115</v>
      </c>
      <c r="R77" s="13"/>
      <c r="S77" s="13"/>
      <c r="T77" s="14">
        <f>T76/S76</f>
        <v>0.7682437850842021</v>
      </c>
      <c r="U77" s="16"/>
      <c r="V77" s="16"/>
      <c r="W77" s="13">
        <f t="shared" ref="W77" si="77">0.122*L76</f>
        <v>287344.15999999997</v>
      </c>
      <c r="X77" s="13"/>
      <c r="Y77" s="13"/>
      <c r="Z77" s="13">
        <v>24872</v>
      </c>
      <c r="AA77" s="17"/>
      <c r="AB77" s="18"/>
      <c r="AC77" s="13"/>
      <c r="AD77" s="18"/>
      <c r="AE77" s="18"/>
    </row>
    <row r="78" spans="1:31" s="54" customFormat="1">
      <c r="A78" s="47"/>
      <c r="B78" s="47" t="s">
        <v>121</v>
      </c>
      <c r="C78" s="119" t="s">
        <v>36</v>
      </c>
      <c r="D78" s="8">
        <v>10223</v>
      </c>
      <c r="E78" s="8">
        <v>56</v>
      </c>
      <c r="F78" s="8">
        <v>5915</v>
      </c>
      <c r="G78" s="8">
        <v>1819</v>
      </c>
      <c r="H78" s="8">
        <v>157</v>
      </c>
      <c r="I78" s="9"/>
      <c r="J78" s="9"/>
      <c r="K78" s="9"/>
      <c r="L78" s="57">
        <v>3936744</v>
      </c>
      <c r="M78" s="57">
        <v>2091425</v>
      </c>
      <c r="N78" s="108">
        <f t="shared" si="70"/>
        <v>259.68160489988679</v>
      </c>
      <c r="O78" s="8">
        <v>9663</v>
      </c>
      <c r="P78" s="56">
        <v>1544285</v>
      </c>
      <c r="Q78" s="56">
        <f>579923</f>
        <v>579923</v>
      </c>
      <c r="R78" s="8">
        <v>231648</v>
      </c>
      <c r="S78" s="8">
        <v>18219</v>
      </c>
      <c r="T78" s="8">
        <v>11734</v>
      </c>
      <c r="U78" s="10">
        <f t="shared" ref="U78" si="78">Z78+Z79</f>
        <v>54768</v>
      </c>
      <c r="V78" s="11">
        <f>W78/W79</f>
        <v>0.5455536143657771</v>
      </c>
      <c r="W78" s="56">
        <v>262020</v>
      </c>
      <c r="X78" s="56">
        <f>639384</f>
        <v>639384</v>
      </c>
      <c r="Y78" s="8">
        <v>121268</v>
      </c>
      <c r="Z78" s="8">
        <v>73</v>
      </c>
      <c r="AA78" s="11">
        <f>AB78/AD78</f>
        <v>0.27179862955385858</v>
      </c>
      <c r="AB78" s="12">
        <f>2896426.2</f>
        <v>2896426.2</v>
      </c>
      <c r="AC78" s="8">
        <v>773918</v>
      </c>
      <c r="AD78" s="12">
        <f>10656515.1</f>
        <v>10656515.1</v>
      </c>
      <c r="AE78" s="12">
        <f>AD78*1000/L78</f>
        <v>2706.9362650962316</v>
      </c>
    </row>
    <row r="79" spans="1:31" s="54" customFormat="1">
      <c r="A79" s="47"/>
      <c r="B79" s="47" t="s">
        <v>121</v>
      </c>
      <c r="C79" s="120"/>
      <c r="D79" s="13"/>
      <c r="E79" s="13"/>
      <c r="F79" s="14"/>
      <c r="G79" s="14"/>
      <c r="H79" s="14"/>
      <c r="I79" s="15"/>
      <c r="J79" s="15"/>
      <c r="K79" s="15"/>
      <c r="L79" s="15"/>
      <c r="M79" s="15"/>
      <c r="N79" s="108"/>
      <c r="O79" s="13"/>
      <c r="P79" s="14">
        <f>P78/L78</f>
        <v>0.39227468181827418</v>
      </c>
      <c r="Q79" s="14">
        <f>Q78/M78</f>
        <v>0.27728606093931174</v>
      </c>
      <c r="R79" s="13"/>
      <c r="S79" s="13"/>
      <c r="T79" s="14">
        <f>T78/S78</f>
        <v>0.64405291179537849</v>
      </c>
      <c r="U79" s="16"/>
      <c r="V79" s="16"/>
      <c r="W79" s="13">
        <f t="shared" ref="W79:W81" si="79">0.122*L78</f>
        <v>480282.76799999998</v>
      </c>
      <c r="X79" s="13"/>
      <c r="Y79" s="13"/>
      <c r="Z79" s="13">
        <v>54695</v>
      </c>
      <c r="AA79" s="17"/>
      <c r="AB79" s="18"/>
      <c r="AC79" s="13"/>
      <c r="AD79" s="18"/>
      <c r="AE79" s="18"/>
    </row>
    <row r="80" spans="1:31" s="54" customFormat="1">
      <c r="A80" s="47"/>
      <c r="B80" s="47" t="s">
        <v>121</v>
      </c>
      <c r="C80" s="125" t="s">
        <v>131</v>
      </c>
      <c r="D80" s="71">
        <v>529</v>
      </c>
      <c r="E80" s="72">
        <v>6</v>
      </c>
      <c r="F80" s="63">
        <v>202</v>
      </c>
      <c r="G80" s="63">
        <v>168</v>
      </c>
      <c r="H80" s="60">
        <v>9</v>
      </c>
      <c r="I80" s="64"/>
      <c r="J80" s="9"/>
      <c r="K80" s="9"/>
      <c r="L80" s="57">
        <v>398881</v>
      </c>
      <c r="M80" s="57">
        <v>209725</v>
      </c>
      <c r="N80" s="108">
        <f t="shared" si="70"/>
        <v>132.62100726783174</v>
      </c>
      <c r="O80" s="8">
        <v>736</v>
      </c>
      <c r="P80" s="60">
        <v>51083</v>
      </c>
      <c r="Q80" s="60">
        <v>18320</v>
      </c>
      <c r="R80" s="8">
        <v>8981</v>
      </c>
      <c r="S80" s="8">
        <v>2414</v>
      </c>
      <c r="T80" s="60">
        <v>1264</v>
      </c>
      <c r="U80" s="10">
        <f t="shared" ref="U80" si="80">Z80+Z81</f>
        <v>1805</v>
      </c>
      <c r="V80" s="61">
        <f>W80/W81</f>
        <v>0.22949446979564678</v>
      </c>
      <c r="W80" s="56">
        <v>11168</v>
      </c>
      <c r="X80" s="89">
        <f>6965</f>
        <v>6965</v>
      </c>
      <c r="Y80" s="8">
        <v>7715</v>
      </c>
      <c r="Z80" s="8">
        <v>17</v>
      </c>
      <c r="AA80" s="11">
        <f>AB80/AD80</f>
        <v>0.5360057295177052</v>
      </c>
      <c r="AB80" s="12">
        <f>707549.7</f>
        <v>707549.7</v>
      </c>
      <c r="AC80" s="8">
        <v>20974</v>
      </c>
      <c r="AD80" s="69">
        <f>1320041.3</f>
        <v>1320041.3</v>
      </c>
      <c r="AE80" s="100">
        <f t="shared" ref="AE80" si="81">AD80*1000/L80</f>
        <v>3309.3611879232153</v>
      </c>
    </row>
    <row r="81" spans="1:31" s="54" customFormat="1">
      <c r="A81" s="47"/>
      <c r="B81" s="47" t="s">
        <v>121</v>
      </c>
      <c r="C81" s="126"/>
      <c r="D81" s="13"/>
      <c r="E81" s="65"/>
      <c r="F81" s="66">
        <f t="shared" ref="F81" si="82">I80/L80/1.95</f>
        <v>0</v>
      </c>
      <c r="G81" s="66">
        <f t="shared" ref="G81" si="83">J80/L80/0.35</f>
        <v>0</v>
      </c>
      <c r="H81" s="67">
        <f t="shared" ref="H81" si="84">K80/L80/0.075</f>
        <v>0</v>
      </c>
      <c r="I81" s="68"/>
      <c r="J81" s="15"/>
      <c r="K81" s="15"/>
      <c r="L81" s="27"/>
      <c r="M81" s="27"/>
      <c r="N81" s="108"/>
      <c r="O81" s="26"/>
      <c r="P81" s="14">
        <f>P80/L80</f>
        <v>0.12806576397471928</v>
      </c>
      <c r="Q81" s="14">
        <f>Q80/M80</f>
        <v>8.7352485397544408E-2</v>
      </c>
      <c r="R81" s="13"/>
      <c r="S81" s="13"/>
      <c r="T81" s="14">
        <f>T80/S80</f>
        <v>0.52361226180613085</v>
      </c>
      <c r="U81" s="16"/>
      <c r="V81" s="16"/>
      <c r="W81" s="13">
        <f t="shared" si="79"/>
        <v>48663.481999999996</v>
      </c>
      <c r="X81" s="26"/>
      <c r="Y81" s="26"/>
      <c r="Z81" s="13">
        <v>1788</v>
      </c>
      <c r="AA81" s="29"/>
      <c r="AB81" s="30"/>
      <c r="AC81" s="26"/>
      <c r="AD81" s="70"/>
      <c r="AE81" s="18"/>
    </row>
    <row r="82" spans="1:31" s="55" customFormat="1">
      <c r="A82" s="50" t="s">
        <v>127</v>
      </c>
      <c r="B82" s="50" t="s">
        <v>121</v>
      </c>
      <c r="C82" s="121" t="s">
        <v>37</v>
      </c>
      <c r="D82" s="24">
        <f t="shared" ref="D82:U82" si="85">SUM(D66+D68+D72+D74+D76+D78+D70+D80)</f>
        <v>32054</v>
      </c>
      <c r="E82" s="24">
        <f t="shared" si="85"/>
        <v>237</v>
      </c>
      <c r="F82" s="24">
        <f t="shared" si="85"/>
        <v>17038</v>
      </c>
      <c r="G82" s="24">
        <f t="shared" si="85"/>
        <v>6989</v>
      </c>
      <c r="H82" s="24">
        <f t="shared" si="85"/>
        <v>458</v>
      </c>
      <c r="I82" s="25">
        <f t="shared" si="85"/>
        <v>0</v>
      </c>
      <c r="J82" s="25">
        <f t="shared" si="85"/>
        <v>0</v>
      </c>
      <c r="K82" s="25">
        <f t="shared" si="85"/>
        <v>0</v>
      </c>
      <c r="L82" s="25">
        <f t="shared" si="85"/>
        <v>15267601</v>
      </c>
      <c r="M82" s="25">
        <f t="shared" si="85"/>
        <v>8109429</v>
      </c>
      <c r="N82" s="108">
        <f t="shared" si="70"/>
        <v>209.94784969819423</v>
      </c>
      <c r="O82" s="24">
        <f t="shared" si="85"/>
        <v>38420</v>
      </c>
      <c r="P82" s="24">
        <f t="shared" si="85"/>
        <v>5815835</v>
      </c>
      <c r="Q82" s="24">
        <f t="shared" si="85"/>
        <v>2173822</v>
      </c>
      <c r="R82" s="24">
        <f t="shared" si="85"/>
        <v>1020839</v>
      </c>
      <c r="S82" s="24">
        <f t="shared" si="85"/>
        <v>73474</v>
      </c>
      <c r="T82" s="24">
        <f t="shared" si="85"/>
        <v>45531</v>
      </c>
      <c r="U82" s="24">
        <f t="shared" si="85"/>
        <v>243586</v>
      </c>
      <c r="V82" s="21">
        <f>W82/W83</f>
        <v>0.50286653245460711</v>
      </c>
      <c r="W82" s="24">
        <f>SUM(W66+W68+W72+W74+W76+W78+W70+W80)</f>
        <v>936663</v>
      </c>
      <c r="X82" s="24">
        <f>SUM(X66+X68+X72+X74+X76+X78+X70+X80)</f>
        <v>2421549</v>
      </c>
      <c r="Y82" s="24">
        <f>SUM(Y66+Y68+Y72+Y74+Y76+Y78+Y70+Y80)</f>
        <v>502052</v>
      </c>
      <c r="Z82" s="24">
        <f>SUM(Z66+Z68+Z72+Z74+Z76+Z78+Z70+Z80)</f>
        <v>550</v>
      </c>
      <c r="AA82" s="21">
        <f>AB82/AD82</f>
        <v>0.24902183661856581</v>
      </c>
      <c r="AB82" s="22">
        <f>SUM(AB66+AB68+AB72+AB74+AB76+AB78+AB70+AB80)</f>
        <v>14584183.199999999</v>
      </c>
      <c r="AC82" s="22">
        <f>SUM(AC66+AC68+AC72+AC74+AC76+AC78+AC70+AC80)</f>
        <v>2819413</v>
      </c>
      <c r="AD82" s="22">
        <f>SUM(AD66+AD68+AD72+AD74+AD76+AD78+AD70+AD80)</f>
        <v>58565880.799999997</v>
      </c>
      <c r="AE82" s="22">
        <f>AD82*1000/L82</f>
        <v>3835.9583015039493</v>
      </c>
    </row>
    <row r="83" spans="1:31" s="55" customFormat="1">
      <c r="A83" s="50" t="s">
        <v>127</v>
      </c>
      <c r="B83" s="50" t="s">
        <v>121</v>
      </c>
      <c r="C83" s="122"/>
      <c r="D83" s="26"/>
      <c r="E83" s="26"/>
      <c r="F83" s="23">
        <f>I82/L82/1.95</f>
        <v>0</v>
      </c>
      <c r="G83" s="23">
        <f>J82/L82/0.35</f>
        <v>0</v>
      </c>
      <c r="H83" s="23">
        <f>K82/L82/0.075</f>
        <v>0</v>
      </c>
      <c r="I83" s="19"/>
      <c r="J83" s="19"/>
      <c r="K83" s="19"/>
      <c r="L83" s="19"/>
      <c r="M83" s="19"/>
      <c r="N83" s="108"/>
      <c r="O83" s="26"/>
      <c r="P83" s="23">
        <f>P82/L82</f>
        <v>0.38092657779044659</v>
      </c>
      <c r="Q83" s="23">
        <f>Q82/M82</f>
        <v>0.26806104350873533</v>
      </c>
      <c r="R83" s="26"/>
      <c r="S83" s="26"/>
      <c r="T83" s="23">
        <f>T82/S82</f>
        <v>0.61968859732694559</v>
      </c>
      <c r="U83" s="28"/>
      <c r="V83" s="28"/>
      <c r="W83" s="24">
        <f>SUM(W67+W69+W73+W75+W77+W79+W71+W81)</f>
        <v>1862647.3219999999</v>
      </c>
      <c r="X83" s="26"/>
      <c r="Y83" s="26"/>
      <c r="Z83" s="24">
        <f>SUM(Z67+Z69+Z73+Z75+Z77+Z79+Z71+Z81)</f>
        <v>243036</v>
      </c>
      <c r="AA83" s="29"/>
      <c r="AB83" s="30"/>
      <c r="AC83" s="26"/>
      <c r="AD83" s="30"/>
      <c r="AE83" s="30"/>
    </row>
    <row r="84" spans="1:31">
      <c r="B84" s="47" t="s">
        <v>122</v>
      </c>
      <c r="C84" s="109" t="s">
        <v>38</v>
      </c>
      <c r="D84" s="8">
        <v>3614</v>
      </c>
      <c r="E84" s="8">
        <v>12</v>
      </c>
      <c r="F84" s="8">
        <v>2122</v>
      </c>
      <c r="G84" s="8">
        <v>907</v>
      </c>
      <c r="H84" s="8">
        <v>21</v>
      </c>
      <c r="I84" s="9"/>
      <c r="J84" s="9"/>
      <c r="K84" s="9"/>
      <c r="L84" s="57">
        <v>2828581</v>
      </c>
      <c r="M84" s="57">
        <v>1465767</v>
      </c>
      <c r="N84" s="108">
        <f t="shared" si="70"/>
        <v>127.76724442397089</v>
      </c>
      <c r="O84" s="8">
        <v>6790</v>
      </c>
      <c r="P84" s="8">
        <v>1277043</v>
      </c>
      <c r="Q84" s="8">
        <v>391617</v>
      </c>
      <c r="R84" s="8">
        <v>65128</v>
      </c>
      <c r="S84" s="8">
        <v>1065</v>
      </c>
      <c r="T84" s="8">
        <v>278</v>
      </c>
      <c r="U84" s="10">
        <f>Z84+Z85</f>
        <v>24437</v>
      </c>
      <c r="V84" s="11">
        <f>W84/W85</f>
        <v>0.27595949010892856</v>
      </c>
      <c r="W84" s="8">
        <v>95230</v>
      </c>
      <c r="X84" s="8">
        <f>632560</f>
        <v>632560</v>
      </c>
      <c r="Y84" s="8">
        <v>102562</v>
      </c>
      <c r="Z84" s="8">
        <v>96</v>
      </c>
      <c r="AA84" s="11">
        <f>AB84/AD84</f>
        <v>7.3245055423993323E-3</v>
      </c>
      <c r="AB84" s="12">
        <f>20545</f>
        <v>20545</v>
      </c>
      <c r="AC84" s="8">
        <f>1278502</f>
        <v>1278502</v>
      </c>
      <c r="AD84" s="12">
        <f>2804967.5</f>
        <v>2804967.5</v>
      </c>
      <c r="AE84" s="12">
        <f>AD84*1000/L84</f>
        <v>991.65182117818085</v>
      </c>
    </row>
    <row r="85" spans="1:31">
      <c r="B85" s="47" t="s">
        <v>122</v>
      </c>
      <c r="C85" s="110"/>
      <c r="D85" s="13"/>
      <c r="E85" s="13"/>
      <c r="F85" s="14"/>
      <c r="G85" s="14"/>
      <c r="H85" s="14"/>
      <c r="I85" s="15"/>
      <c r="J85" s="15"/>
      <c r="K85" s="15"/>
      <c r="L85" s="15"/>
      <c r="M85" s="15"/>
      <c r="N85" s="108"/>
      <c r="O85" s="13"/>
      <c r="P85" s="14">
        <f>P84/L84</f>
        <v>0.45147832075517724</v>
      </c>
      <c r="Q85" s="14">
        <f>Q84/M84</f>
        <v>0.2671754787766405</v>
      </c>
      <c r="R85" s="13"/>
      <c r="S85" s="13"/>
      <c r="T85" s="14">
        <f>T84/S84</f>
        <v>0.26103286384976526</v>
      </c>
      <c r="U85" s="16"/>
      <c r="V85" s="16"/>
      <c r="W85" s="13">
        <f>0.122*L84</f>
        <v>345086.88199999998</v>
      </c>
      <c r="X85" s="13"/>
      <c r="Y85" s="13"/>
      <c r="Z85" s="13">
        <v>24341</v>
      </c>
      <c r="AA85" s="17"/>
      <c r="AB85" s="18"/>
      <c r="AC85" s="13"/>
      <c r="AD85" s="18"/>
      <c r="AE85" s="18"/>
    </row>
    <row r="86" spans="1:31">
      <c r="B86" s="47" t="s">
        <v>122</v>
      </c>
      <c r="C86" s="109" t="s">
        <v>39</v>
      </c>
      <c r="D86" s="8">
        <v>357</v>
      </c>
      <c r="E86" s="8">
        <v>4</v>
      </c>
      <c r="F86" s="8">
        <v>183</v>
      </c>
      <c r="G86" s="8">
        <v>155</v>
      </c>
      <c r="H86" s="8">
        <v>5</v>
      </c>
      <c r="I86" s="9"/>
      <c r="J86" s="9"/>
      <c r="K86" s="9"/>
      <c r="L86" s="57">
        <v>448507</v>
      </c>
      <c r="M86" s="57">
        <v>246693</v>
      </c>
      <c r="N86" s="108">
        <f t="shared" si="70"/>
        <v>79.597419884193556</v>
      </c>
      <c r="O86" s="8">
        <v>1207</v>
      </c>
      <c r="P86" s="8">
        <v>72158</v>
      </c>
      <c r="Q86" s="8">
        <f>2485</f>
        <v>2485</v>
      </c>
      <c r="R86" s="8">
        <v>24339</v>
      </c>
      <c r="S86" s="8">
        <v>1146</v>
      </c>
      <c r="T86" s="8">
        <v>570</v>
      </c>
      <c r="U86" s="10">
        <f t="shared" ref="U86" si="86">Z86+Z87</f>
        <v>1037</v>
      </c>
      <c r="V86" s="11">
        <f>W86/W87</f>
        <v>0.16117225649967926</v>
      </c>
      <c r="W86" s="8">
        <v>8819</v>
      </c>
      <c r="X86" s="8">
        <f>3736</f>
        <v>3736</v>
      </c>
      <c r="Y86" s="8">
        <v>20190</v>
      </c>
      <c r="Z86" s="8">
        <v>6</v>
      </c>
      <c r="AA86" s="11">
        <f>AB86/AD86</f>
        <v>2.3399699127027137E-3</v>
      </c>
      <c r="AB86" s="12">
        <f>1697</f>
        <v>1697</v>
      </c>
      <c r="AC86" s="8">
        <v>72158</v>
      </c>
      <c r="AD86" s="12">
        <f>725223</f>
        <v>725223</v>
      </c>
      <c r="AE86" s="12">
        <f>AD86*1000/L86</f>
        <v>1616.9714185062887</v>
      </c>
    </row>
    <row r="87" spans="1:31">
      <c r="B87" s="47" t="s">
        <v>122</v>
      </c>
      <c r="C87" s="110"/>
      <c r="D87" s="13"/>
      <c r="E87" s="13"/>
      <c r="F87" s="14"/>
      <c r="G87" s="14"/>
      <c r="H87" s="14"/>
      <c r="I87" s="15"/>
      <c r="J87" s="15"/>
      <c r="K87" s="15"/>
      <c r="L87" s="15"/>
      <c r="M87" s="15"/>
      <c r="N87" s="108"/>
      <c r="O87" s="13"/>
      <c r="P87" s="14">
        <f>P86/L86</f>
        <v>0.16088489142867335</v>
      </c>
      <c r="Q87" s="14">
        <f>Q86/M86</f>
        <v>1.0073248936937814E-2</v>
      </c>
      <c r="R87" s="13"/>
      <c r="S87" s="13"/>
      <c r="T87" s="14">
        <f>T86/S86</f>
        <v>0.49738219895287961</v>
      </c>
      <c r="U87" s="16"/>
      <c r="V87" s="16"/>
      <c r="W87" s="13">
        <f t="shared" ref="W87" si="87">0.122*L86</f>
        <v>54717.853999999999</v>
      </c>
      <c r="X87" s="13"/>
      <c r="Y87" s="13"/>
      <c r="Z87" s="13">
        <v>1031</v>
      </c>
      <c r="AA87" s="17"/>
      <c r="AB87" s="18"/>
      <c r="AC87" s="13"/>
      <c r="AD87" s="18"/>
      <c r="AE87" s="18"/>
    </row>
    <row r="88" spans="1:31">
      <c r="B88" s="47" t="s">
        <v>122</v>
      </c>
      <c r="C88" s="109" t="s">
        <v>40</v>
      </c>
      <c r="D88" s="8">
        <v>1645</v>
      </c>
      <c r="E88" s="8">
        <v>12</v>
      </c>
      <c r="F88" s="8">
        <v>939</v>
      </c>
      <c r="G88" s="8">
        <v>503</v>
      </c>
      <c r="H88" s="8">
        <v>16</v>
      </c>
      <c r="I88" s="9"/>
      <c r="J88" s="9"/>
      <c r="K88" s="9"/>
      <c r="L88" s="57">
        <v>806093</v>
      </c>
      <c r="M88" s="57">
        <v>427645</v>
      </c>
      <c r="N88" s="108">
        <f t="shared" si="70"/>
        <v>204.07074617941103</v>
      </c>
      <c r="O88" s="8">
        <v>1950</v>
      </c>
      <c r="P88" s="8">
        <v>272738</v>
      </c>
      <c r="Q88" s="8">
        <v>79058</v>
      </c>
      <c r="R88" s="8">
        <v>13349</v>
      </c>
      <c r="S88" s="8">
        <v>2801</v>
      </c>
      <c r="T88" s="8">
        <v>1571</v>
      </c>
      <c r="U88" s="10">
        <f t="shared" ref="U88" si="88">Z88+Z89</f>
        <v>4753</v>
      </c>
      <c r="V88" s="11">
        <f>W88/W89</f>
        <v>0.42101475782611664</v>
      </c>
      <c r="W88" s="8">
        <v>41404</v>
      </c>
      <c r="X88" s="8">
        <f>21000</f>
        <v>21000</v>
      </c>
      <c r="Y88" s="8">
        <v>38181</v>
      </c>
      <c r="Z88" s="8">
        <v>41</v>
      </c>
      <c r="AA88" s="11">
        <f>AB88/AD88</f>
        <v>1.0216248702831044E-2</v>
      </c>
      <c r="AB88" s="12">
        <f>7742.9</f>
        <v>7742.9</v>
      </c>
      <c r="AC88" s="8">
        <v>94405</v>
      </c>
      <c r="AD88" s="12">
        <f>757900.5</f>
        <v>757900.5</v>
      </c>
      <c r="AE88" s="12">
        <f>AD88*1000/L88</f>
        <v>940.21471467932361</v>
      </c>
    </row>
    <row r="89" spans="1:31">
      <c r="B89" s="47" t="s">
        <v>122</v>
      </c>
      <c r="C89" s="110"/>
      <c r="D89" s="13"/>
      <c r="E89" s="13"/>
      <c r="F89" s="14"/>
      <c r="G89" s="14"/>
      <c r="H89" s="14"/>
      <c r="I89" s="15"/>
      <c r="J89" s="15"/>
      <c r="K89" s="15"/>
      <c r="L89" s="15"/>
      <c r="M89" s="15"/>
      <c r="N89" s="108"/>
      <c r="O89" s="13"/>
      <c r="P89" s="14">
        <f>P88/L88</f>
        <v>0.33834557551051803</v>
      </c>
      <c r="Q89" s="14">
        <f>Q88/M88</f>
        <v>0.18486829028750482</v>
      </c>
      <c r="R89" s="13"/>
      <c r="S89" s="13"/>
      <c r="T89" s="14">
        <f>T88/S88</f>
        <v>0.56087111745805074</v>
      </c>
      <c r="U89" s="16"/>
      <c r="V89" s="16"/>
      <c r="W89" s="13">
        <f t="shared" ref="W89" si="89">0.122*L88</f>
        <v>98343.346000000005</v>
      </c>
      <c r="X89" s="13"/>
      <c r="Y89" s="13"/>
      <c r="Z89" s="13">
        <v>4712</v>
      </c>
      <c r="AA89" s="17"/>
      <c r="AB89" s="18"/>
      <c r="AC89" s="13"/>
      <c r="AD89" s="18"/>
      <c r="AE89" s="18"/>
    </row>
    <row r="90" spans="1:31">
      <c r="B90" s="47" t="s">
        <v>122</v>
      </c>
      <c r="C90" s="109" t="s">
        <v>41</v>
      </c>
      <c r="D90" s="8">
        <v>598</v>
      </c>
      <c r="E90" s="8">
        <v>4</v>
      </c>
      <c r="F90" s="8">
        <v>309</v>
      </c>
      <c r="G90" s="8">
        <v>244</v>
      </c>
      <c r="H90" s="8">
        <v>13</v>
      </c>
      <c r="I90" s="9"/>
      <c r="J90" s="9"/>
      <c r="K90" s="9"/>
      <c r="L90" s="57">
        <v>435627</v>
      </c>
      <c r="M90" s="57">
        <v>233336</v>
      </c>
      <c r="N90" s="108">
        <f t="shared" si="70"/>
        <v>137.27340132728227</v>
      </c>
      <c r="O90" s="8">
        <v>1065</v>
      </c>
      <c r="P90" s="8">
        <v>160932</v>
      </c>
      <c r="Q90" s="8">
        <v>37518</v>
      </c>
      <c r="R90" s="8">
        <v>24627</v>
      </c>
      <c r="S90" s="8">
        <v>1958</v>
      </c>
      <c r="T90" s="8">
        <v>1565</v>
      </c>
      <c r="U90" s="10">
        <f t="shared" ref="U90" si="90">Z90+Z91</f>
        <v>307</v>
      </c>
      <c r="V90" s="11">
        <f>W90/W91</f>
        <v>0.29403632909444599</v>
      </c>
      <c r="W90" s="8">
        <f>15627</f>
        <v>15627</v>
      </c>
      <c r="X90" s="8">
        <f>29670</f>
        <v>29670</v>
      </c>
      <c r="Y90" s="8">
        <v>14824</v>
      </c>
      <c r="Z90" s="8">
        <v>17</v>
      </c>
      <c r="AA90" s="11">
        <f>AB90/AD90</f>
        <v>0</v>
      </c>
      <c r="AB90" s="12">
        <v>0</v>
      </c>
      <c r="AC90" s="8">
        <v>161066</v>
      </c>
      <c r="AD90" s="12">
        <f>4341387.1</f>
        <v>4341387.0999999996</v>
      </c>
      <c r="AE90" s="53">
        <f>AD90*1000/L90</f>
        <v>9965.8356805248532</v>
      </c>
    </row>
    <row r="91" spans="1:31">
      <c r="B91" s="47" t="s">
        <v>122</v>
      </c>
      <c r="C91" s="110"/>
      <c r="D91" s="13"/>
      <c r="E91" s="13"/>
      <c r="F91" s="14"/>
      <c r="G91" s="14"/>
      <c r="H91" s="14"/>
      <c r="I91" s="15"/>
      <c r="J91" s="15"/>
      <c r="K91" s="15"/>
      <c r="L91" s="15"/>
      <c r="M91" s="15"/>
      <c r="N91" s="108"/>
      <c r="O91" s="13"/>
      <c r="P91" s="14">
        <f>P90/L90</f>
        <v>0.36942613749836445</v>
      </c>
      <c r="Q91" s="14">
        <f>Q90/M90</f>
        <v>0.16078959097610313</v>
      </c>
      <c r="R91" s="13"/>
      <c r="S91" s="13"/>
      <c r="T91" s="14">
        <f>T90/S90</f>
        <v>0.79928498467824316</v>
      </c>
      <c r="U91" s="16"/>
      <c r="V91" s="16"/>
      <c r="W91" s="13">
        <f t="shared" ref="W91" si="91">0.122*L90</f>
        <v>53146.493999999999</v>
      </c>
      <c r="X91" s="13"/>
      <c r="Y91" s="13"/>
      <c r="Z91" s="13">
        <v>290</v>
      </c>
      <c r="AA91" s="17"/>
      <c r="AB91" s="18"/>
      <c r="AC91" s="13"/>
      <c r="AD91" s="18"/>
      <c r="AE91" s="18"/>
    </row>
    <row r="92" spans="1:31">
      <c r="B92" s="47" t="s">
        <v>122</v>
      </c>
      <c r="C92" s="109" t="s">
        <v>42</v>
      </c>
      <c r="D92" s="8">
        <v>1091</v>
      </c>
      <c r="E92" s="8">
        <v>15</v>
      </c>
      <c r="F92" s="8">
        <v>556</v>
      </c>
      <c r="G92" s="8">
        <v>449</v>
      </c>
      <c r="H92" s="8">
        <v>25</v>
      </c>
      <c r="I92" s="9"/>
      <c r="J92" s="9"/>
      <c r="K92" s="9"/>
      <c r="L92" s="57">
        <v>647977</v>
      </c>
      <c r="M92" s="57">
        <v>345859</v>
      </c>
      <c r="N92" s="108">
        <f t="shared" si="70"/>
        <v>168.3701736327061</v>
      </c>
      <c r="O92" s="8">
        <v>1964</v>
      </c>
      <c r="P92" s="8">
        <v>209997</v>
      </c>
      <c r="Q92" s="8">
        <v>72924</v>
      </c>
      <c r="R92" s="8">
        <v>24042</v>
      </c>
      <c r="S92" s="8">
        <v>3449</v>
      </c>
      <c r="T92" s="8">
        <v>1480</v>
      </c>
      <c r="U92" s="10">
        <f t="shared" ref="U92" si="92">Z92+Z93</f>
        <v>4710</v>
      </c>
      <c r="V92" s="11">
        <f>W92/W93</f>
        <v>0.35753141106480779</v>
      </c>
      <c r="W92" s="8">
        <v>28264</v>
      </c>
      <c r="X92" s="8">
        <v>11659</v>
      </c>
      <c r="Y92" s="8">
        <v>29239</v>
      </c>
      <c r="Z92" s="8">
        <v>58</v>
      </c>
      <c r="AA92" s="11">
        <f>AB92/AD92</f>
        <v>9.1433921784512175E-3</v>
      </c>
      <c r="AB92" s="12">
        <f>6978.3</f>
        <v>6978.3</v>
      </c>
      <c r="AC92" s="8">
        <v>103000</v>
      </c>
      <c r="AD92" s="12">
        <f>763206.9</f>
        <v>763206.9</v>
      </c>
      <c r="AE92" s="12">
        <f>AD92*1000/L92</f>
        <v>1177.8302316285917</v>
      </c>
    </row>
    <row r="93" spans="1:31">
      <c r="B93" s="47" t="s">
        <v>122</v>
      </c>
      <c r="C93" s="110"/>
      <c r="D93" s="13"/>
      <c r="E93" s="13"/>
      <c r="F93" s="14"/>
      <c r="G93" s="14"/>
      <c r="H93" s="14"/>
      <c r="I93" s="15"/>
      <c r="J93" s="15"/>
      <c r="K93" s="15"/>
      <c r="L93" s="15"/>
      <c r="M93" s="15"/>
      <c r="N93" s="108"/>
      <c r="O93" s="13"/>
      <c r="P93" s="14">
        <f>P92/L92</f>
        <v>0.32408094731757453</v>
      </c>
      <c r="Q93" s="14">
        <f>Q92/M92</f>
        <v>0.21084892976617639</v>
      </c>
      <c r="R93" s="13"/>
      <c r="S93" s="13"/>
      <c r="T93" s="14">
        <f>T92/S92</f>
        <v>0.42910988692374602</v>
      </c>
      <c r="U93" s="16"/>
      <c r="V93" s="16"/>
      <c r="W93" s="13">
        <f t="shared" ref="W93" si="93">0.122*L92</f>
        <v>79053.194000000003</v>
      </c>
      <c r="X93" s="13"/>
      <c r="Y93" s="13"/>
      <c r="Z93" s="13">
        <v>4652</v>
      </c>
      <c r="AA93" s="17"/>
      <c r="AB93" s="18"/>
      <c r="AC93" s="13"/>
      <c r="AD93" s="18"/>
      <c r="AE93" s="18"/>
    </row>
    <row r="94" spans="1:31">
      <c r="B94" s="47" t="s">
        <v>122</v>
      </c>
      <c r="C94" s="109" t="s">
        <v>43</v>
      </c>
      <c r="D94" s="8">
        <v>1408</v>
      </c>
      <c r="E94" s="8">
        <v>13</v>
      </c>
      <c r="F94" s="8">
        <v>745</v>
      </c>
      <c r="G94" s="8">
        <v>497</v>
      </c>
      <c r="H94" s="8">
        <v>10</v>
      </c>
      <c r="I94" s="9"/>
      <c r="J94" s="9"/>
      <c r="K94" s="9"/>
      <c r="L94" s="57">
        <v>1308977</v>
      </c>
      <c r="M94" s="57">
        <v>665158</v>
      </c>
      <c r="N94" s="108">
        <f>D94/L94*100000</f>
        <v>107.56491519713487</v>
      </c>
      <c r="O94" s="8">
        <v>5224</v>
      </c>
      <c r="P94" s="8">
        <v>506232</v>
      </c>
      <c r="Q94" s="8">
        <v>122730</v>
      </c>
      <c r="R94" s="8">
        <v>48218</v>
      </c>
      <c r="S94" s="8">
        <v>5569</v>
      </c>
      <c r="T94" s="8">
        <v>2485</v>
      </c>
      <c r="U94" s="10">
        <f t="shared" ref="U94" si="94">Z94+Z95</f>
        <v>11952</v>
      </c>
      <c r="V94" s="11">
        <f>W94/W95</f>
        <v>0.22505373580622598</v>
      </c>
      <c r="W94" s="8">
        <v>35940</v>
      </c>
      <c r="X94" s="8">
        <f>63928</f>
        <v>63928</v>
      </c>
      <c r="Y94" s="8">
        <v>92977</v>
      </c>
      <c r="Z94" s="8">
        <v>65</v>
      </c>
      <c r="AA94" s="11">
        <f>AB94/AD94</f>
        <v>6.6814478540027072E-3</v>
      </c>
      <c r="AB94" s="12">
        <f>20370.3</f>
        <v>20370.3</v>
      </c>
      <c r="AC94" s="8">
        <v>202330</v>
      </c>
      <c r="AD94" s="12">
        <f>3048785.3</f>
        <v>3048785.3</v>
      </c>
      <c r="AE94" s="12">
        <f>AD94*1000/L94</f>
        <v>2329.1358824486601</v>
      </c>
    </row>
    <row r="95" spans="1:31">
      <c r="B95" s="47" t="s">
        <v>122</v>
      </c>
      <c r="C95" s="110"/>
      <c r="D95" s="13"/>
      <c r="E95" s="13"/>
      <c r="F95" s="14"/>
      <c r="G95" s="14"/>
      <c r="H95" s="14"/>
      <c r="I95" s="15"/>
      <c r="J95" s="15"/>
      <c r="K95" s="15"/>
      <c r="L95" s="15"/>
      <c r="M95" s="15"/>
      <c r="N95" s="108"/>
      <c r="O95" s="13"/>
      <c r="P95" s="14">
        <f>P94/L94</f>
        <v>0.38673865163406235</v>
      </c>
      <c r="Q95" s="14">
        <f>Q94/M94</f>
        <v>0.18451255190496094</v>
      </c>
      <c r="R95" s="13"/>
      <c r="S95" s="13"/>
      <c r="T95" s="14">
        <f>T94/S94</f>
        <v>0.44622014724367032</v>
      </c>
      <c r="U95" s="16"/>
      <c r="V95" s="16"/>
      <c r="W95" s="13">
        <f t="shared" ref="W95" si="95">0.122*L94</f>
        <v>159695.19399999999</v>
      </c>
      <c r="X95" s="13"/>
      <c r="Y95" s="13"/>
      <c r="Z95" s="13">
        <v>11887</v>
      </c>
      <c r="AA95" s="17"/>
      <c r="AB95" s="18"/>
      <c r="AC95" s="13"/>
      <c r="AD95" s="18"/>
      <c r="AE95" s="18"/>
    </row>
    <row r="96" spans="1:31">
      <c r="B96" s="47" t="s">
        <v>122</v>
      </c>
      <c r="C96" s="109" t="s">
        <v>44</v>
      </c>
      <c r="D96" s="8">
        <v>4659</v>
      </c>
      <c r="E96" s="8">
        <v>41</v>
      </c>
      <c r="F96" s="8">
        <v>2792</v>
      </c>
      <c r="G96" s="8">
        <v>1126</v>
      </c>
      <c r="H96" s="8">
        <v>85</v>
      </c>
      <c r="I96" s="9"/>
      <c r="J96" s="9"/>
      <c r="K96" s="9"/>
      <c r="L96" s="57">
        <v>2609592</v>
      </c>
      <c r="M96" s="57">
        <v>1382263</v>
      </c>
      <c r="N96" s="108">
        <f t="shared" ref="N96:N118" si="96">D96/L96*100000</f>
        <v>178.5336558358548</v>
      </c>
      <c r="O96" s="8">
        <v>5340</v>
      </c>
      <c r="P96" s="56">
        <v>925882</v>
      </c>
      <c r="Q96" s="56">
        <v>368991</v>
      </c>
      <c r="R96" s="8">
        <v>163034</v>
      </c>
      <c r="S96" s="8">
        <v>9732</v>
      </c>
      <c r="T96" s="8">
        <v>5642</v>
      </c>
      <c r="U96" s="10">
        <f t="shared" ref="U96" si="97">Z96+Z97</f>
        <v>13084</v>
      </c>
      <c r="V96" s="11">
        <f>W96/W97</f>
        <v>0.54519231672871515</v>
      </c>
      <c r="W96" s="8">
        <v>173573</v>
      </c>
      <c r="X96" s="56">
        <f>379876</f>
        <v>379876</v>
      </c>
      <c r="Y96" s="8">
        <v>55892</v>
      </c>
      <c r="Z96" s="8">
        <v>63</v>
      </c>
      <c r="AA96" s="11">
        <f>AB96/AD96</f>
        <v>0.2315416050736559</v>
      </c>
      <c r="AB96" s="12">
        <f>831711.5</f>
        <v>831711.5</v>
      </c>
      <c r="AC96" s="8">
        <v>511914</v>
      </c>
      <c r="AD96" s="12">
        <f>3592060.7</f>
        <v>3592060.7</v>
      </c>
      <c r="AE96" s="12">
        <f>AD96*1000/L96</f>
        <v>1376.4836418873142</v>
      </c>
    </row>
    <row r="97" spans="1:31">
      <c r="B97" s="47" t="s">
        <v>122</v>
      </c>
      <c r="C97" s="110"/>
      <c r="D97" s="13"/>
      <c r="E97" s="13"/>
      <c r="F97" s="14">
        <f>I96/L96/1.95</f>
        <v>0</v>
      </c>
      <c r="G97" s="14">
        <f>J96/L96/0.35</f>
        <v>0</v>
      </c>
      <c r="H97" s="14">
        <f>K96/L96/0.075</f>
        <v>0</v>
      </c>
      <c r="I97" s="15"/>
      <c r="J97" s="15"/>
      <c r="K97" s="15"/>
      <c r="L97" s="15"/>
      <c r="M97" s="15"/>
      <c r="N97" s="108"/>
      <c r="O97" s="13"/>
      <c r="P97" s="14">
        <f>P96/L96</f>
        <v>0.35479952421681243</v>
      </c>
      <c r="Q97" s="14">
        <f>Q96/M96</f>
        <v>0.26694702817047117</v>
      </c>
      <c r="R97" s="13"/>
      <c r="S97" s="13"/>
      <c r="T97" s="14">
        <f>T96/S96</f>
        <v>0.57973695026715988</v>
      </c>
      <c r="U97" s="16"/>
      <c r="V97" s="16"/>
      <c r="W97" s="13">
        <f t="shared" ref="W97" si="98">0.122*L96</f>
        <v>318370.22399999999</v>
      </c>
      <c r="X97" s="13"/>
      <c r="Y97" s="13"/>
      <c r="Z97" s="13">
        <v>13021</v>
      </c>
      <c r="AA97" s="17"/>
      <c r="AB97" s="18"/>
      <c r="AC97" s="13"/>
      <c r="AD97" s="18"/>
      <c r="AE97" s="18"/>
    </row>
    <row r="98" spans="1:31" s="20" customFormat="1">
      <c r="A98" s="49" t="s">
        <v>127</v>
      </c>
      <c r="B98" s="50" t="s">
        <v>122</v>
      </c>
      <c r="C98" s="111" t="s">
        <v>45</v>
      </c>
      <c r="D98" s="24">
        <f t="shared" ref="D98:U98" si="99">SUM(D96,D94,D92,D90,D88,D86,D84)</f>
        <v>13372</v>
      </c>
      <c r="E98" s="24">
        <f t="shared" si="99"/>
        <v>101</v>
      </c>
      <c r="F98" s="24">
        <f t="shared" si="99"/>
        <v>7646</v>
      </c>
      <c r="G98" s="24">
        <f t="shared" si="99"/>
        <v>3881</v>
      </c>
      <c r="H98" s="24">
        <f t="shared" si="99"/>
        <v>175</v>
      </c>
      <c r="I98" s="19">
        <f t="shared" si="99"/>
        <v>0</v>
      </c>
      <c r="J98" s="19">
        <f t="shared" si="99"/>
        <v>0</v>
      </c>
      <c r="K98" s="19">
        <f t="shared" si="99"/>
        <v>0</v>
      </c>
      <c r="L98" s="19">
        <f t="shared" si="99"/>
        <v>9085354</v>
      </c>
      <c r="M98" s="19">
        <f t="shared" si="99"/>
        <v>4766721</v>
      </c>
      <c r="N98" s="108">
        <f t="shared" si="96"/>
        <v>147.18193699441983</v>
      </c>
      <c r="O98" s="24">
        <f t="shared" si="99"/>
        <v>23540</v>
      </c>
      <c r="P98" s="24">
        <f t="shared" si="99"/>
        <v>3424982</v>
      </c>
      <c r="Q98" s="24">
        <f t="shared" si="99"/>
        <v>1075323</v>
      </c>
      <c r="R98" s="24">
        <f t="shared" si="99"/>
        <v>362737</v>
      </c>
      <c r="S98" s="24">
        <f t="shared" si="99"/>
        <v>25720</v>
      </c>
      <c r="T98" s="24">
        <f t="shared" si="99"/>
        <v>13591</v>
      </c>
      <c r="U98" s="24">
        <f t="shared" si="99"/>
        <v>60280</v>
      </c>
      <c r="V98" s="21">
        <f>W98/W99</f>
        <v>0.35984505085119933</v>
      </c>
      <c r="W98" s="24">
        <f>SUM(W96,W94,W92,W90,W88,W86,W84)</f>
        <v>398857</v>
      </c>
      <c r="X98" s="24">
        <f>SUM(X96,X94,X92,X90,X88,X86,X84)</f>
        <v>1142429</v>
      </c>
      <c r="Y98" s="24">
        <f>SUM(Y96,Y94,Y92,Y90,Y88,Y86,Y84)</f>
        <v>353865</v>
      </c>
      <c r="Z98" s="24">
        <f>SUM(Z96,Z94,Z92,Z90,Z88,Z86,Z84)</f>
        <v>346</v>
      </c>
      <c r="AA98" s="21">
        <f>AB98/AD98</f>
        <v>5.5449108496437874E-2</v>
      </c>
      <c r="AB98" s="22">
        <f>SUM(AB84:AB96)</f>
        <v>889045</v>
      </c>
      <c r="AC98" s="24">
        <f>SUM(AC96,AC94,AC92,AC90,AC88,AC86,AC84)</f>
        <v>2423375</v>
      </c>
      <c r="AD98" s="22">
        <f>SUM(AD84:AD96)</f>
        <v>16033531</v>
      </c>
      <c r="AE98" s="22">
        <f>AD98*1000/L98</f>
        <v>1764.7667883937158</v>
      </c>
    </row>
    <row r="99" spans="1:31" s="20" customFormat="1">
      <c r="A99" s="49" t="s">
        <v>127</v>
      </c>
      <c r="B99" s="50" t="s">
        <v>122</v>
      </c>
      <c r="C99" s="112"/>
      <c r="D99" s="26"/>
      <c r="E99" s="26"/>
      <c r="F99" s="23">
        <f>I98/L98/1.95</f>
        <v>0</v>
      </c>
      <c r="G99" s="23">
        <f>J98/L98/0.35</f>
        <v>0</v>
      </c>
      <c r="H99" s="23">
        <f>K98/L98/0.075</f>
        <v>0</v>
      </c>
      <c r="I99" s="19"/>
      <c r="J99" s="19"/>
      <c r="K99" s="19"/>
      <c r="L99" s="19"/>
      <c r="M99" s="19"/>
      <c r="N99" s="108"/>
      <c r="O99" s="26"/>
      <c r="P99" s="23">
        <f>P98/L98</f>
        <v>0.37697837640668708</v>
      </c>
      <c r="Q99" s="23">
        <f>Q98/M98</f>
        <v>0.22558966635555133</v>
      </c>
      <c r="R99" s="26"/>
      <c r="S99" s="26"/>
      <c r="T99" s="23">
        <f>T98/S98</f>
        <v>0.52842146189735617</v>
      </c>
      <c r="U99" s="28"/>
      <c r="V99" s="28"/>
      <c r="W99" s="26">
        <f>SUM(W97,W95,W93,W91,W89,W87,W85)</f>
        <v>1108413.1880000001</v>
      </c>
      <c r="X99" s="26"/>
      <c r="Y99" s="26"/>
      <c r="Z99" s="26">
        <f>SUM(Z97,Z95,Z93,Z91,Z89,Z87,Z85)</f>
        <v>59934</v>
      </c>
      <c r="AA99" s="29"/>
      <c r="AB99" s="30"/>
      <c r="AC99" s="26"/>
      <c r="AD99" s="30"/>
      <c r="AE99" s="30"/>
    </row>
    <row r="100" spans="1:31">
      <c r="B100" s="47" t="s">
        <v>123</v>
      </c>
      <c r="C100" s="109" t="s">
        <v>46</v>
      </c>
      <c r="D100" s="8">
        <v>11618</v>
      </c>
      <c r="E100" s="8">
        <v>29</v>
      </c>
      <c r="F100" s="8">
        <v>6405</v>
      </c>
      <c r="G100" s="8">
        <v>2615</v>
      </c>
      <c r="H100" s="8">
        <v>204</v>
      </c>
      <c r="I100" s="9"/>
      <c r="J100" s="9"/>
      <c r="K100" s="9"/>
      <c r="L100" s="57">
        <v>3759946</v>
      </c>
      <c r="M100" s="57">
        <v>1977950</v>
      </c>
      <c r="N100" s="108">
        <f t="shared" si="96"/>
        <v>308.99379937903365</v>
      </c>
      <c r="O100" s="8">
        <v>8026</v>
      </c>
      <c r="P100" s="56">
        <v>1375243</v>
      </c>
      <c r="Q100" s="56">
        <v>557342</v>
      </c>
      <c r="R100" s="8">
        <v>189277</v>
      </c>
      <c r="S100" s="8">
        <v>20189</v>
      </c>
      <c r="T100" s="8">
        <v>11886</v>
      </c>
      <c r="U100" s="10">
        <f>Z100+Z101</f>
        <v>29659</v>
      </c>
      <c r="V100" s="11">
        <f>W100/W101</f>
        <v>0.65559670184659868</v>
      </c>
      <c r="W100" s="56">
        <v>300731</v>
      </c>
      <c r="X100" s="56">
        <v>520034</v>
      </c>
      <c r="Y100" s="8">
        <v>111426</v>
      </c>
      <c r="Z100" s="8">
        <v>164</v>
      </c>
      <c r="AA100" s="11">
        <f>AB100/AD100</f>
        <v>0.53307675823713352</v>
      </c>
      <c r="AB100" s="12">
        <f>4468763.7</f>
        <v>4468763.7</v>
      </c>
      <c r="AC100" s="8">
        <v>634981</v>
      </c>
      <c r="AD100" s="12">
        <f>8382964.8</f>
        <v>8382964.7999999998</v>
      </c>
      <c r="AE100" s="12">
        <f>AD100*1000/L100</f>
        <v>2229.543934939491</v>
      </c>
    </row>
    <row r="101" spans="1:31">
      <c r="B101" s="47" t="s">
        <v>123</v>
      </c>
      <c r="C101" s="110"/>
      <c r="D101" s="13"/>
      <c r="E101" s="13"/>
      <c r="F101" s="14"/>
      <c r="G101" s="14"/>
      <c r="H101" s="14"/>
      <c r="I101" s="15"/>
      <c r="J101" s="15"/>
      <c r="K101" s="15"/>
      <c r="L101" s="15"/>
      <c r="M101" s="15"/>
      <c r="N101" s="108"/>
      <c r="O101" s="13"/>
      <c r="P101" s="14">
        <f>P100/L100</f>
        <v>0.365761369977122</v>
      </c>
      <c r="Q101" s="14">
        <f>Q100/M100</f>
        <v>0.28177759801815011</v>
      </c>
      <c r="R101" s="13"/>
      <c r="S101" s="13"/>
      <c r="T101" s="14">
        <f>T100/S100</f>
        <v>0.58873644063598984</v>
      </c>
      <c r="U101" s="16"/>
      <c r="V101" s="16"/>
      <c r="W101" s="13">
        <f>0.122*L100</f>
        <v>458713.41200000001</v>
      </c>
      <c r="X101" s="13"/>
      <c r="Y101" s="13"/>
      <c r="Z101" s="13">
        <v>29495</v>
      </c>
      <c r="AA101" s="17"/>
      <c r="AB101" s="18"/>
      <c r="AC101" s="13"/>
      <c r="AD101" s="18"/>
      <c r="AE101" s="18"/>
    </row>
    <row r="102" spans="1:31">
      <c r="B102" s="47" t="s">
        <v>123</v>
      </c>
      <c r="C102" s="109" t="s">
        <v>47</v>
      </c>
      <c r="D102" s="8">
        <v>1703</v>
      </c>
      <c r="E102" s="8">
        <v>6</v>
      </c>
      <c r="F102" s="8">
        <v>999</v>
      </c>
      <c r="G102" s="8">
        <v>388</v>
      </c>
      <c r="H102" s="8">
        <v>36</v>
      </c>
      <c r="I102" s="9"/>
      <c r="J102" s="9"/>
      <c r="K102" s="9"/>
      <c r="L102" s="57">
        <v>635216</v>
      </c>
      <c r="M102" s="57">
        <v>335255</v>
      </c>
      <c r="N102" s="108">
        <f t="shared" si="96"/>
        <v>268.09778091231959</v>
      </c>
      <c r="O102" s="8">
        <v>1178</v>
      </c>
      <c r="P102" s="56">
        <v>253624</v>
      </c>
      <c r="Q102" s="56">
        <f>112366</f>
        <v>112366</v>
      </c>
      <c r="R102" s="8">
        <v>14500</v>
      </c>
      <c r="S102" s="8">
        <v>3802</v>
      </c>
      <c r="T102" s="8">
        <v>3029</v>
      </c>
      <c r="U102" s="10">
        <f t="shared" ref="U102" si="100">Z102+Z103</f>
        <v>37971</v>
      </c>
      <c r="V102" s="11">
        <f>W102/W103</f>
        <v>0.58605339255194877</v>
      </c>
      <c r="W102" s="56">
        <v>45417</v>
      </c>
      <c r="X102" s="56">
        <f>111141</f>
        <v>111141</v>
      </c>
      <c r="Y102" s="8">
        <v>14374</v>
      </c>
      <c r="Z102" s="8">
        <v>19</v>
      </c>
      <c r="AA102" s="11">
        <f>AB102/AD102</f>
        <v>0.11506185382340313</v>
      </c>
      <c r="AB102" s="12">
        <f>76695.1</f>
        <v>76695.100000000006</v>
      </c>
      <c r="AC102" s="8">
        <f>176783</f>
        <v>176783</v>
      </c>
      <c r="AD102" s="12">
        <f>666555.4</f>
        <v>666555.4</v>
      </c>
      <c r="AE102" s="12">
        <f>AD102*1000/L102</f>
        <v>1049.3366036119996</v>
      </c>
    </row>
    <row r="103" spans="1:31">
      <c r="B103" s="47" t="s">
        <v>123</v>
      </c>
      <c r="C103" s="110"/>
      <c r="D103" s="13"/>
      <c r="E103" s="13"/>
      <c r="F103" s="14"/>
      <c r="G103" s="14"/>
      <c r="H103" s="14"/>
      <c r="I103" s="15"/>
      <c r="J103" s="15"/>
      <c r="K103" s="15"/>
      <c r="L103" s="15"/>
      <c r="M103" s="15"/>
      <c r="N103" s="108"/>
      <c r="O103" s="13"/>
      <c r="P103" s="14">
        <f>P102/L102</f>
        <v>0.39927205863832144</v>
      </c>
      <c r="Q103" s="14">
        <f>Q102/M102</f>
        <v>0.33516576933975628</v>
      </c>
      <c r="R103" s="13"/>
      <c r="S103" s="13"/>
      <c r="T103" s="14">
        <f>T102/S102</f>
        <v>0.79668595476065229</v>
      </c>
      <c r="U103" s="16"/>
      <c r="V103" s="16"/>
      <c r="W103" s="13">
        <f t="shared" ref="W103" si="101">0.122*L102</f>
        <v>77496.351999999999</v>
      </c>
      <c r="X103" s="13"/>
      <c r="Y103" s="13"/>
      <c r="Z103" s="13">
        <v>37952</v>
      </c>
      <c r="AA103" s="17"/>
      <c r="AB103" s="18"/>
      <c r="AC103" s="13"/>
      <c r="AD103" s="18"/>
      <c r="AE103" s="18"/>
    </row>
    <row r="104" spans="1:31">
      <c r="B104" s="47" t="s">
        <v>123</v>
      </c>
      <c r="C104" s="109" t="s">
        <v>48</v>
      </c>
      <c r="D104" s="8">
        <v>2063</v>
      </c>
      <c r="E104" s="8">
        <v>5</v>
      </c>
      <c r="F104" s="8">
        <v>1212</v>
      </c>
      <c r="G104" s="8">
        <v>546</v>
      </c>
      <c r="H104" s="8">
        <v>30</v>
      </c>
      <c r="I104" s="9"/>
      <c r="J104" s="9"/>
      <c r="K104" s="9"/>
      <c r="L104" s="57">
        <v>755645</v>
      </c>
      <c r="M104" s="57">
        <v>395497</v>
      </c>
      <c r="N104" s="108">
        <f t="shared" si="96"/>
        <v>273.01179786804653</v>
      </c>
      <c r="O104" s="8">
        <v>2461</v>
      </c>
      <c r="P104" s="56">
        <v>310806</v>
      </c>
      <c r="Q104" s="56">
        <v>136400</v>
      </c>
      <c r="R104" s="8">
        <v>17468</v>
      </c>
      <c r="S104" s="8">
        <v>6406</v>
      </c>
      <c r="T104" s="8">
        <v>3760</v>
      </c>
      <c r="U104" s="10">
        <f t="shared" ref="U104" si="102">Z104+Z105</f>
        <v>9276</v>
      </c>
      <c r="V104" s="11">
        <f>W104/W105</f>
        <v>0.82966793432035968</v>
      </c>
      <c r="W104" s="56">
        <f>76486</f>
        <v>76486</v>
      </c>
      <c r="X104" s="56">
        <f>92960</f>
        <v>92960</v>
      </c>
      <c r="Y104" s="8">
        <v>26571</v>
      </c>
      <c r="Z104" s="8">
        <v>58</v>
      </c>
      <c r="AA104" s="11">
        <f>AB104/AD104</f>
        <v>1.7907148465144465E-3</v>
      </c>
      <c r="AB104" s="12">
        <f>6439.2</f>
        <v>6439.2</v>
      </c>
      <c r="AC104" s="8">
        <v>199019</v>
      </c>
      <c r="AD104" s="12">
        <f>3595882.4</f>
        <v>3595882.4</v>
      </c>
      <c r="AE104" s="12">
        <f>AD104*1000/L104</f>
        <v>4758.6927723997378</v>
      </c>
    </row>
    <row r="105" spans="1:31">
      <c r="B105" s="47" t="s">
        <v>123</v>
      </c>
      <c r="C105" s="110"/>
      <c r="D105" s="13"/>
      <c r="E105" s="13"/>
      <c r="F105" s="14"/>
      <c r="G105" s="14"/>
      <c r="H105" s="14"/>
      <c r="I105" s="15"/>
      <c r="J105" s="15"/>
      <c r="K105" s="15"/>
      <c r="L105" s="15"/>
      <c r="M105" s="15"/>
      <c r="N105" s="108"/>
      <c r="O105" s="13"/>
      <c r="P105" s="14">
        <f>P104/L104</f>
        <v>0.4113121902480662</v>
      </c>
      <c r="Q105" s="14">
        <f>Q104/M104</f>
        <v>0.34488251491161753</v>
      </c>
      <c r="R105" s="13"/>
      <c r="S105" s="13"/>
      <c r="T105" s="14">
        <f>T104/S104</f>
        <v>0.58694973462379019</v>
      </c>
      <c r="U105" s="16"/>
      <c r="V105" s="16"/>
      <c r="W105" s="13">
        <f t="shared" ref="W105" si="103">0.122*L104</f>
        <v>92188.69</v>
      </c>
      <c r="X105" s="13"/>
      <c r="Y105" s="13"/>
      <c r="Z105" s="13">
        <v>9218</v>
      </c>
      <c r="AA105" s="17"/>
      <c r="AB105" s="18"/>
      <c r="AC105" s="13"/>
      <c r="AD105" s="18"/>
      <c r="AE105" s="18"/>
    </row>
    <row r="106" spans="1:31">
      <c r="B106" s="47" t="s">
        <v>123</v>
      </c>
      <c r="C106" s="109" t="s">
        <v>49</v>
      </c>
      <c r="D106" s="8">
        <v>10844</v>
      </c>
      <c r="E106" s="8">
        <v>46</v>
      </c>
      <c r="F106" s="8">
        <v>3861</v>
      </c>
      <c r="G106" s="8">
        <v>1979</v>
      </c>
      <c r="H106" s="8">
        <v>205</v>
      </c>
      <c r="I106" s="9"/>
      <c r="J106" s="9"/>
      <c r="K106" s="9"/>
      <c r="L106" s="57">
        <v>3587484</v>
      </c>
      <c r="M106" s="57">
        <v>1907049</v>
      </c>
      <c r="N106" s="108">
        <f t="shared" si="96"/>
        <v>302.27312512055806</v>
      </c>
      <c r="O106" s="8">
        <v>9076</v>
      </c>
      <c r="P106" s="56">
        <v>1556647</v>
      </c>
      <c r="Q106" s="56">
        <v>653112</v>
      </c>
      <c r="R106" s="8">
        <v>212015</v>
      </c>
      <c r="S106" s="8">
        <v>71706</v>
      </c>
      <c r="T106" s="8">
        <v>20545</v>
      </c>
      <c r="U106" s="10">
        <f t="shared" ref="U106" si="104">Z106+Z107</f>
        <v>19758</v>
      </c>
      <c r="V106" s="11">
        <f>W106/W107</f>
        <v>0.66461483367374263</v>
      </c>
      <c r="W106" s="56">
        <f>290884</f>
        <v>290884</v>
      </c>
      <c r="X106" s="56">
        <f>803709</f>
        <v>803709</v>
      </c>
      <c r="Y106" s="8">
        <f>103729</f>
        <v>103729</v>
      </c>
      <c r="Z106" s="8">
        <v>225</v>
      </c>
      <c r="AA106" s="11">
        <f>AB106/AD106</f>
        <v>0.73186126126370321</v>
      </c>
      <c r="AB106" s="12">
        <f>19710183.4</f>
        <v>19710183.399999999</v>
      </c>
      <c r="AC106" s="8">
        <v>436067</v>
      </c>
      <c r="AD106" s="12">
        <f>26931584.5</f>
        <v>26931584.5</v>
      </c>
      <c r="AE106" s="12">
        <f>AD106*1000/L106</f>
        <v>7507.0953626552764</v>
      </c>
    </row>
    <row r="107" spans="1:31">
      <c r="B107" s="47" t="s">
        <v>123</v>
      </c>
      <c r="C107" s="110"/>
      <c r="D107" s="13"/>
      <c r="E107" s="13"/>
      <c r="F107" s="14"/>
      <c r="G107" s="14"/>
      <c r="H107" s="14"/>
      <c r="I107" s="15"/>
      <c r="J107" s="15"/>
      <c r="K107" s="15"/>
      <c r="L107" s="15"/>
      <c r="M107" s="15"/>
      <c r="N107" s="108"/>
      <c r="O107" s="13"/>
      <c r="P107" s="14">
        <f>P106/L106</f>
        <v>0.43391050663919339</v>
      </c>
      <c r="Q107" s="14">
        <f>Q106/M106</f>
        <v>0.34247258460584912</v>
      </c>
      <c r="R107" s="13"/>
      <c r="S107" s="13"/>
      <c r="T107" s="14">
        <f>T106/S106</f>
        <v>0.2865171673221209</v>
      </c>
      <c r="U107" s="16"/>
      <c r="V107" s="16"/>
      <c r="W107" s="13">
        <f t="shared" ref="W107" si="105">0.122*L106</f>
        <v>437673.04800000001</v>
      </c>
      <c r="X107" s="13"/>
      <c r="Y107" s="13"/>
      <c r="Z107" s="13">
        <v>19533</v>
      </c>
      <c r="AA107" s="17"/>
      <c r="AB107" s="18"/>
      <c r="AC107" s="13"/>
      <c r="AD107" s="18"/>
      <c r="AE107" s="18"/>
    </row>
    <row r="108" spans="1:31">
      <c r="B108" s="47" t="s">
        <v>123</v>
      </c>
      <c r="C108" s="109" t="s">
        <v>50</v>
      </c>
      <c r="D108" s="8">
        <v>3421</v>
      </c>
      <c r="E108" s="8">
        <v>33</v>
      </c>
      <c r="F108" s="8">
        <v>1367</v>
      </c>
      <c r="G108" s="8">
        <v>806</v>
      </c>
      <c r="H108" s="8">
        <v>72</v>
      </c>
      <c r="I108" s="9"/>
      <c r="J108" s="9"/>
      <c r="K108" s="9"/>
      <c r="L108" s="57">
        <v>1409126</v>
      </c>
      <c r="M108" s="57">
        <v>752611</v>
      </c>
      <c r="N108" s="108">
        <f t="shared" si="96"/>
        <v>242.77459929062411</v>
      </c>
      <c r="O108" s="8">
        <v>3684</v>
      </c>
      <c r="P108" s="56">
        <v>508102</v>
      </c>
      <c r="Q108" s="56">
        <v>220717</v>
      </c>
      <c r="R108" s="8">
        <v>33995</v>
      </c>
      <c r="S108" s="8">
        <v>7698</v>
      </c>
      <c r="T108" s="8">
        <v>5659</v>
      </c>
      <c r="U108" s="10">
        <f t="shared" ref="U108" si="106">Z108+Z109</f>
        <v>18619</v>
      </c>
      <c r="V108" s="11">
        <f>W108/W109</f>
        <v>0.52312393709548088</v>
      </c>
      <c r="W108" s="56">
        <f>89932</f>
        <v>89932</v>
      </c>
      <c r="X108" s="56">
        <f>194830</f>
        <v>194830</v>
      </c>
      <c r="Y108" s="8">
        <v>60557</v>
      </c>
      <c r="Z108" s="8">
        <v>52</v>
      </c>
      <c r="AA108" s="11">
        <f>AB108/AD108</f>
        <v>8.4511918734295324E-2</v>
      </c>
      <c r="AB108" s="12">
        <f>148188.1</f>
        <v>148188.1</v>
      </c>
      <c r="AC108" s="8">
        <v>176639</v>
      </c>
      <c r="AD108" s="12">
        <f>1753458</f>
        <v>1753458</v>
      </c>
      <c r="AE108" s="12">
        <f>AD108*1000/L108</f>
        <v>1244.3585598448967</v>
      </c>
    </row>
    <row r="109" spans="1:31">
      <c r="B109" s="47" t="s">
        <v>123</v>
      </c>
      <c r="C109" s="110"/>
      <c r="D109" s="13"/>
      <c r="E109" s="13"/>
      <c r="F109" s="14"/>
      <c r="G109" s="14"/>
      <c r="H109" s="14"/>
      <c r="I109" s="15"/>
      <c r="J109" s="15"/>
      <c r="K109" s="15"/>
      <c r="L109" s="15"/>
      <c r="M109" s="15"/>
      <c r="N109" s="108"/>
      <c r="O109" s="13"/>
      <c r="P109" s="14">
        <f>P108/L108</f>
        <v>0.36057953653541275</v>
      </c>
      <c r="Q109" s="14">
        <f>Q108/M108</f>
        <v>0.29326836838685588</v>
      </c>
      <c r="R109" s="13"/>
      <c r="S109" s="13"/>
      <c r="T109" s="14">
        <f>T108/S108</f>
        <v>0.73512600675500128</v>
      </c>
      <c r="U109" s="16"/>
      <c r="V109" s="16"/>
      <c r="W109" s="13">
        <f t="shared" ref="W109" si="107">0.122*L108</f>
        <v>171913.372</v>
      </c>
      <c r="X109" s="13"/>
      <c r="Y109" s="13"/>
      <c r="Z109" s="13">
        <v>18567</v>
      </c>
      <c r="AA109" s="17"/>
      <c r="AB109" s="18"/>
      <c r="AC109" s="13"/>
      <c r="AD109" s="18"/>
      <c r="AE109" s="18"/>
    </row>
    <row r="110" spans="1:31">
      <c r="B110" s="47" t="s">
        <v>123</v>
      </c>
      <c r="C110" s="109" t="s">
        <v>51</v>
      </c>
      <c r="D110" s="8">
        <v>4475</v>
      </c>
      <c r="E110" s="8">
        <v>11</v>
      </c>
      <c r="F110" s="8">
        <v>2308</v>
      </c>
      <c r="G110" s="8">
        <v>758</v>
      </c>
      <c r="H110" s="8">
        <v>79</v>
      </c>
      <c r="I110" s="9"/>
      <c r="J110" s="9"/>
      <c r="K110" s="9"/>
      <c r="L110" s="57">
        <v>1143375</v>
      </c>
      <c r="M110" s="57">
        <v>601326</v>
      </c>
      <c r="N110" s="108">
        <f t="shared" si="96"/>
        <v>391.38515360227393</v>
      </c>
      <c r="O110" s="8">
        <v>2384</v>
      </c>
      <c r="P110" s="56">
        <v>478292</v>
      </c>
      <c r="Q110" s="56">
        <v>207126</v>
      </c>
      <c r="R110" s="8">
        <v>136188</v>
      </c>
      <c r="S110" s="8">
        <v>6834</v>
      </c>
      <c r="T110" s="8">
        <v>6145</v>
      </c>
      <c r="U110" s="10">
        <f t="shared" ref="U110" si="108">Z110+Z111</f>
        <v>36337</v>
      </c>
      <c r="V110" s="11">
        <f>W110/W111</f>
        <v>0.77750834726784912</v>
      </c>
      <c r="W110" s="56">
        <v>108456</v>
      </c>
      <c r="X110" s="56">
        <f>201614</f>
        <v>201614</v>
      </c>
      <c r="Y110" s="8">
        <v>38058</v>
      </c>
      <c r="Z110" s="8">
        <v>62</v>
      </c>
      <c r="AA110" s="11">
        <f>AB110/AD110</f>
        <v>8.5583805351172493E-2</v>
      </c>
      <c r="AB110" s="12">
        <f>232013.4</f>
        <v>232013.4</v>
      </c>
      <c r="AC110" s="8">
        <v>319603</v>
      </c>
      <c r="AD110" s="12">
        <f>2710949.8</f>
        <v>2710949.8</v>
      </c>
      <c r="AE110" s="12">
        <f>AD110*1000/L110</f>
        <v>2371.0067125833607</v>
      </c>
    </row>
    <row r="111" spans="1:31">
      <c r="B111" s="47" t="s">
        <v>123</v>
      </c>
      <c r="C111" s="110"/>
      <c r="D111" s="13"/>
      <c r="E111" s="13"/>
      <c r="F111" s="14"/>
      <c r="G111" s="14"/>
      <c r="H111" s="14"/>
      <c r="I111" s="15"/>
      <c r="J111" s="15"/>
      <c r="K111" s="15"/>
      <c r="L111" s="15"/>
      <c r="M111" s="15"/>
      <c r="N111" s="108"/>
      <c r="O111" s="13"/>
      <c r="P111" s="14">
        <f>P110/L110</f>
        <v>0.41831595058489124</v>
      </c>
      <c r="Q111" s="14">
        <f>Q110/M110</f>
        <v>0.34444876822222886</v>
      </c>
      <c r="R111" s="13"/>
      <c r="S111" s="13"/>
      <c r="T111" s="14">
        <f>T110/S110</f>
        <v>0.89918056774948785</v>
      </c>
      <c r="U111" s="16"/>
      <c r="V111" s="16"/>
      <c r="W111" s="13">
        <f t="shared" ref="W111" si="109">0.122*L110</f>
        <v>139491.75</v>
      </c>
      <c r="X111" s="13"/>
      <c r="Y111" s="13"/>
      <c r="Z111" s="13">
        <v>36275</v>
      </c>
      <c r="AA111" s="17"/>
      <c r="AB111" s="18"/>
      <c r="AC111" s="13"/>
      <c r="AD111" s="18"/>
      <c r="AE111" s="18"/>
    </row>
    <row r="112" spans="1:31">
      <c r="B112" s="47" t="s">
        <v>123</v>
      </c>
      <c r="C112" s="109" t="s">
        <v>52</v>
      </c>
      <c r="D112" s="8">
        <v>5318</v>
      </c>
      <c r="E112" s="8">
        <v>27</v>
      </c>
      <c r="F112" s="8">
        <v>2208</v>
      </c>
      <c r="G112" s="8">
        <v>1154</v>
      </c>
      <c r="H112" s="8">
        <v>62</v>
      </c>
      <c r="I112" s="9"/>
      <c r="J112" s="9"/>
      <c r="K112" s="9"/>
      <c r="L112" s="57">
        <v>2440762</v>
      </c>
      <c r="M112" s="57">
        <v>1306555</v>
      </c>
      <c r="N112" s="108">
        <f t="shared" si="96"/>
        <v>217.88277595275576</v>
      </c>
      <c r="O112" s="8">
        <v>6385</v>
      </c>
      <c r="P112" s="56">
        <v>817625</v>
      </c>
      <c r="Q112" s="56">
        <v>324478</v>
      </c>
      <c r="R112" s="8">
        <v>134637</v>
      </c>
      <c r="S112" s="8">
        <v>14179</v>
      </c>
      <c r="T112" s="8">
        <v>8811</v>
      </c>
      <c r="U112" s="10">
        <f t="shared" ref="U112" si="110">Z112+Z113</f>
        <v>11814</v>
      </c>
      <c r="V112" s="11">
        <f>W112/W113</f>
        <v>0.56460464960143264</v>
      </c>
      <c r="W112" s="56">
        <v>168124</v>
      </c>
      <c r="X112" s="56">
        <f>288896</f>
        <v>288896</v>
      </c>
      <c r="Y112" s="8">
        <v>84240</v>
      </c>
      <c r="Z112" s="8">
        <v>83</v>
      </c>
      <c r="AA112" s="11">
        <f>AB112/AD112</f>
        <v>0.25069177807249687</v>
      </c>
      <c r="AB112" s="12">
        <f>1661284.3</f>
        <v>1661284.3</v>
      </c>
      <c r="AC112" s="8">
        <v>240395</v>
      </c>
      <c r="AD112" s="12">
        <f>6626800.1</f>
        <v>6626800.0999999996</v>
      </c>
      <c r="AE112" s="12">
        <f>AD112*1000/L112</f>
        <v>2715.0537823843538</v>
      </c>
    </row>
    <row r="113" spans="1:31">
      <c r="B113" s="47" t="s">
        <v>123</v>
      </c>
      <c r="C113" s="110"/>
      <c r="D113" s="13"/>
      <c r="E113" s="13"/>
      <c r="F113" s="14"/>
      <c r="G113" s="14"/>
      <c r="H113" s="14"/>
      <c r="I113" s="15"/>
      <c r="J113" s="15"/>
      <c r="K113" s="15"/>
      <c r="L113" s="15"/>
      <c r="M113" s="15"/>
      <c r="N113" s="108"/>
      <c r="O113" s="13"/>
      <c r="P113" s="14">
        <f>P112/L112</f>
        <v>0.33498759813533641</v>
      </c>
      <c r="Q113" s="14">
        <f>Q112/M112</f>
        <v>0.24834622346552576</v>
      </c>
      <c r="R113" s="13"/>
      <c r="S113" s="13"/>
      <c r="T113" s="14">
        <f>T112/S112</f>
        <v>0.62141194724592708</v>
      </c>
      <c r="U113" s="16"/>
      <c r="V113" s="16"/>
      <c r="W113" s="13">
        <f t="shared" ref="W113" si="111">0.122*L112</f>
        <v>297772.96399999998</v>
      </c>
      <c r="X113" s="13"/>
      <c r="Y113" s="13"/>
      <c r="Z113" s="13">
        <v>11731</v>
      </c>
      <c r="AA113" s="17"/>
      <c r="AB113" s="18"/>
      <c r="AC113" s="13"/>
      <c r="AD113" s="18"/>
      <c r="AE113" s="18"/>
    </row>
    <row r="114" spans="1:31">
      <c r="B114" s="47" t="s">
        <v>123</v>
      </c>
      <c r="C114" s="109" t="s">
        <v>53</v>
      </c>
      <c r="D114" s="8">
        <v>2756</v>
      </c>
      <c r="E114" s="8">
        <v>28</v>
      </c>
      <c r="F114" s="8">
        <v>1100</v>
      </c>
      <c r="G114" s="8">
        <v>825</v>
      </c>
      <c r="H114" s="8">
        <v>28</v>
      </c>
      <c r="I114" s="9"/>
      <c r="J114" s="9"/>
      <c r="K114" s="9"/>
      <c r="L114" s="57">
        <v>1192257</v>
      </c>
      <c r="M114" s="57">
        <v>633003</v>
      </c>
      <c r="N114" s="108">
        <f t="shared" si="96"/>
        <v>231.15821504927212</v>
      </c>
      <c r="O114" s="8">
        <v>2694</v>
      </c>
      <c r="P114" s="56">
        <v>405310</v>
      </c>
      <c r="Q114" s="56">
        <v>158178</v>
      </c>
      <c r="R114" s="8">
        <v>59874</v>
      </c>
      <c r="S114" s="8">
        <v>4586</v>
      </c>
      <c r="T114" s="8">
        <v>2804</v>
      </c>
      <c r="U114" s="10">
        <f t="shared" ref="U114" si="112">Z114+Z115</f>
        <v>14027</v>
      </c>
      <c r="V114" s="11">
        <f>W114/W115</f>
        <v>0.47236487424175533</v>
      </c>
      <c r="W114" s="56">
        <v>68708</v>
      </c>
      <c r="X114" s="56">
        <f>107794</f>
        <v>107794</v>
      </c>
      <c r="Y114" s="8">
        <v>40200</v>
      </c>
      <c r="Z114" s="8">
        <v>85</v>
      </c>
      <c r="AA114" s="11">
        <f>AB114/AD114</f>
        <v>0.24061144276242291</v>
      </c>
      <c r="AB114" s="12">
        <f>669237.1</f>
        <v>669237.1</v>
      </c>
      <c r="AC114" s="8">
        <v>215321</v>
      </c>
      <c r="AD114" s="12">
        <f>2781401.8</f>
        <v>2781401.8</v>
      </c>
      <c r="AE114" s="12">
        <f>AD114*1000/L114</f>
        <v>2332.8877918099874</v>
      </c>
    </row>
    <row r="115" spans="1:31">
      <c r="B115" s="47" t="s">
        <v>123</v>
      </c>
      <c r="C115" s="110"/>
      <c r="D115" s="13"/>
      <c r="E115" s="13"/>
      <c r="F115" s="14"/>
      <c r="G115" s="14"/>
      <c r="H115" s="14"/>
      <c r="I115" s="15"/>
      <c r="J115" s="15"/>
      <c r="K115" s="15"/>
      <c r="L115" s="15"/>
      <c r="M115" s="15"/>
      <c r="N115" s="108"/>
      <c r="O115" s="13"/>
      <c r="P115" s="14">
        <f>P114/L114</f>
        <v>0.33995187279252709</v>
      </c>
      <c r="Q115" s="14">
        <f>Q114/M114</f>
        <v>0.24988507163473159</v>
      </c>
      <c r="R115" s="13"/>
      <c r="S115" s="13"/>
      <c r="T115" s="14">
        <f>T114/S114</f>
        <v>0.61142607937200177</v>
      </c>
      <c r="U115" s="16"/>
      <c r="V115" s="16"/>
      <c r="W115" s="13">
        <f t="shared" ref="W115" si="113">0.122*L114</f>
        <v>145455.35399999999</v>
      </c>
      <c r="X115" s="13"/>
      <c r="Y115" s="13"/>
      <c r="Z115" s="13">
        <v>13942</v>
      </c>
      <c r="AA115" s="17"/>
      <c r="AB115" s="18"/>
      <c r="AC115" s="13"/>
      <c r="AD115" s="18"/>
      <c r="AE115" s="18"/>
    </row>
    <row r="116" spans="1:31">
      <c r="B116" s="47" t="s">
        <v>123</v>
      </c>
      <c r="C116" s="109" t="s">
        <v>54</v>
      </c>
      <c r="D116" s="8">
        <v>6555</v>
      </c>
      <c r="E116" s="8">
        <v>50</v>
      </c>
      <c r="F116" s="8">
        <v>2938</v>
      </c>
      <c r="G116" s="8">
        <v>1818</v>
      </c>
      <c r="H116" s="8">
        <v>214</v>
      </c>
      <c r="I116" s="9"/>
      <c r="J116" s="9"/>
      <c r="K116" s="9"/>
      <c r="L116" s="57">
        <v>3004668</v>
      </c>
      <c r="M116" s="57">
        <v>1618783</v>
      </c>
      <c r="N116" s="108">
        <f t="shared" si="96"/>
        <v>218.16054219634248</v>
      </c>
      <c r="O116" s="8">
        <v>7933</v>
      </c>
      <c r="P116" s="56">
        <v>1154189</v>
      </c>
      <c r="Q116" s="56">
        <v>452849</v>
      </c>
      <c r="R116" s="8">
        <v>222744</v>
      </c>
      <c r="S116" s="8">
        <v>17002</v>
      </c>
      <c r="T116" s="8">
        <v>7850</v>
      </c>
      <c r="U116" s="10">
        <f t="shared" ref="U116" si="114">Z116+Z117</f>
        <v>19419</v>
      </c>
      <c r="V116" s="11">
        <f>W116/W117</f>
        <v>0.47956254385116653</v>
      </c>
      <c r="W116" s="56">
        <f>175793</f>
        <v>175793</v>
      </c>
      <c r="X116" s="56">
        <f>294390</f>
        <v>294390</v>
      </c>
      <c r="Y116" s="8">
        <f>85968</f>
        <v>85968</v>
      </c>
      <c r="Z116" s="8">
        <v>156</v>
      </c>
      <c r="AA116" s="11">
        <f>AB116/AD116</f>
        <v>7.3346403880112543E-2</v>
      </c>
      <c r="AB116" s="12">
        <f>675798.7</f>
        <v>675798.7</v>
      </c>
      <c r="AC116" s="8">
        <v>366871</v>
      </c>
      <c r="AD116" s="12">
        <f>9213794.6</f>
        <v>9213794.5999999996</v>
      </c>
      <c r="AE116" s="12">
        <f>AD116*1000/L116</f>
        <v>3066.4934029317051</v>
      </c>
    </row>
    <row r="117" spans="1:31">
      <c r="B117" s="47" t="s">
        <v>123</v>
      </c>
      <c r="C117" s="110"/>
      <c r="D117" s="13"/>
      <c r="E117" s="13"/>
      <c r="F117" s="14"/>
      <c r="G117" s="14"/>
      <c r="H117" s="14"/>
      <c r="I117" s="15"/>
      <c r="J117" s="15"/>
      <c r="K117" s="15"/>
      <c r="L117" s="15"/>
      <c r="M117" s="15"/>
      <c r="N117" s="108"/>
      <c r="O117" s="13"/>
      <c r="P117" s="14">
        <f>P116/L116</f>
        <v>0.38413195734104399</v>
      </c>
      <c r="Q117" s="14">
        <f>Q116/M116</f>
        <v>0.27974657505051637</v>
      </c>
      <c r="R117" s="13"/>
      <c r="S117" s="13"/>
      <c r="T117" s="14">
        <f>T116/S116</f>
        <v>0.46171038701329253</v>
      </c>
      <c r="U117" s="16"/>
      <c r="V117" s="16"/>
      <c r="W117" s="13">
        <f t="shared" ref="W117" si="115">0.122*L116</f>
        <v>366569.49599999998</v>
      </c>
      <c r="X117" s="13"/>
      <c r="Y117" s="13"/>
      <c r="Z117" s="13">
        <v>19263</v>
      </c>
      <c r="AA117" s="17"/>
      <c r="AB117" s="18"/>
      <c r="AC117" s="13"/>
      <c r="AD117" s="18"/>
      <c r="AE117" s="18"/>
    </row>
    <row r="118" spans="1:31">
      <c r="B118" s="47" t="s">
        <v>123</v>
      </c>
      <c r="C118" s="109" t="s">
        <v>55</v>
      </c>
      <c r="D118" s="8">
        <v>5195</v>
      </c>
      <c r="E118" s="8">
        <v>33</v>
      </c>
      <c r="F118" s="8">
        <v>2637</v>
      </c>
      <c r="G118" s="8">
        <v>1195</v>
      </c>
      <c r="H118" s="8">
        <v>60</v>
      </c>
      <c r="I118" s="9"/>
      <c r="J118" s="9"/>
      <c r="K118" s="9"/>
      <c r="L118" s="57">
        <v>1846175</v>
      </c>
      <c r="M118" s="57">
        <v>977435</v>
      </c>
      <c r="N118" s="108">
        <f t="shared" si="96"/>
        <v>281.39260904302137</v>
      </c>
      <c r="O118" s="8">
        <v>4108</v>
      </c>
      <c r="P118" s="56">
        <v>663669</v>
      </c>
      <c r="Q118" s="56">
        <v>242828</v>
      </c>
      <c r="R118" s="8">
        <v>121975</v>
      </c>
      <c r="S118" s="8">
        <v>10453</v>
      </c>
      <c r="T118" s="8">
        <v>5969</v>
      </c>
      <c r="U118" s="10">
        <f t="shared" ref="U118" si="116">Z118+Z119</f>
        <v>23789</v>
      </c>
      <c r="V118" s="11">
        <f>W118/W119</f>
        <v>0.61456707010751288</v>
      </c>
      <c r="W118" s="56">
        <v>138421</v>
      </c>
      <c r="X118" s="56">
        <f>204798</f>
        <v>204798</v>
      </c>
      <c r="Y118" s="8">
        <v>76311</v>
      </c>
      <c r="Z118" s="8">
        <v>54</v>
      </c>
      <c r="AA118" s="11">
        <f>AB118/AD118</f>
        <v>0.22991396170615236</v>
      </c>
      <c r="AB118" s="12">
        <f>784635.7</f>
        <v>784635.7</v>
      </c>
      <c r="AC118" s="8">
        <v>445737</v>
      </c>
      <c r="AD118" s="12">
        <f>3412736.2</f>
        <v>3412736.2</v>
      </c>
      <c r="AE118" s="12">
        <f>AD118*1000/L118</f>
        <v>1848.5442604303491</v>
      </c>
    </row>
    <row r="119" spans="1:31">
      <c r="B119" s="47" t="s">
        <v>123</v>
      </c>
      <c r="C119" s="110"/>
      <c r="D119" s="13"/>
      <c r="E119" s="13"/>
      <c r="F119" s="14"/>
      <c r="G119" s="14"/>
      <c r="H119" s="14"/>
      <c r="I119" s="15"/>
      <c r="J119" s="15"/>
      <c r="K119" s="15"/>
      <c r="L119" s="15"/>
      <c r="M119" s="15"/>
      <c r="N119" s="108"/>
      <c r="O119" s="13"/>
      <c r="P119" s="14">
        <f>P118/L118</f>
        <v>0.35948325592102592</v>
      </c>
      <c r="Q119" s="14">
        <f>Q118/M118</f>
        <v>0.24843391120637179</v>
      </c>
      <c r="R119" s="13"/>
      <c r="S119" s="13"/>
      <c r="T119" s="14">
        <f>T118/S118</f>
        <v>0.57103223954845495</v>
      </c>
      <c r="U119" s="16"/>
      <c r="V119" s="16"/>
      <c r="W119" s="13">
        <f t="shared" ref="W119" si="117">0.122*L118</f>
        <v>225233.35</v>
      </c>
      <c r="X119" s="13"/>
      <c r="Y119" s="13"/>
      <c r="Z119" s="13">
        <v>23735</v>
      </c>
      <c r="AA119" s="17"/>
      <c r="AB119" s="18"/>
      <c r="AC119" s="13"/>
      <c r="AD119" s="18"/>
      <c r="AE119" s="18"/>
    </row>
    <row r="120" spans="1:31">
      <c r="B120" s="47" t="s">
        <v>123</v>
      </c>
      <c r="C120" s="109" t="s">
        <v>56</v>
      </c>
      <c r="D120" s="8">
        <v>4127</v>
      </c>
      <c r="E120" s="8">
        <v>26</v>
      </c>
      <c r="F120" s="8">
        <v>2285</v>
      </c>
      <c r="G120" s="8">
        <v>883</v>
      </c>
      <c r="H120" s="8">
        <v>73</v>
      </c>
      <c r="I120" s="9"/>
      <c r="J120" s="9"/>
      <c r="K120" s="9"/>
      <c r="L120" s="57">
        <v>1248296</v>
      </c>
      <c r="M120" s="57">
        <v>668335</v>
      </c>
      <c r="N120" s="108">
        <f>D120/L120*100000</f>
        <v>330.61068849055033</v>
      </c>
      <c r="O120" s="8">
        <v>3268</v>
      </c>
      <c r="P120" s="56">
        <v>519477</v>
      </c>
      <c r="Q120" s="56">
        <v>210030</v>
      </c>
      <c r="R120" s="8">
        <v>72530</v>
      </c>
      <c r="S120" s="8">
        <v>7087</v>
      </c>
      <c r="T120" s="8">
        <v>4026</v>
      </c>
      <c r="U120" s="10">
        <f t="shared" ref="U120" si="118">Z120+Z121</f>
        <v>34354</v>
      </c>
      <c r="V120" s="11">
        <f>W120/W121</f>
        <v>0.73613136312667338</v>
      </c>
      <c r="W120" s="56">
        <v>112107</v>
      </c>
      <c r="X120" s="56">
        <f>173914</f>
        <v>173914</v>
      </c>
      <c r="Y120" s="8">
        <v>47028</v>
      </c>
      <c r="Z120" s="8">
        <v>47</v>
      </c>
      <c r="AA120" s="11">
        <f>AB120/AD120</f>
        <v>0.27604663495882048</v>
      </c>
      <c r="AB120" s="12">
        <f>495019.8</f>
        <v>495019.8</v>
      </c>
      <c r="AC120" s="8">
        <f>296952</f>
        <v>296952</v>
      </c>
      <c r="AD120" s="12">
        <f>1793247</f>
        <v>1793247</v>
      </c>
      <c r="AE120" s="12">
        <f>AD120*1000/L120</f>
        <v>1436.5559130206298</v>
      </c>
    </row>
    <row r="121" spans="1:31">
      <c r="B121" s="47" t="s">
        <v>123</v>
      </c>
      <c r="C121" s="110"/>
      <c r="D121" s="13"/>
      <c r="E121" s="13"/>
      <c r="F121" s="14"/>
      <c r="G121" s="14"/>
      <c r="H121" s="14"/>
      <c r="I121" s="15"/>
      <c r="J121" s="15"/>
      <c r="K121" s="15"/>
      <c r="L121" s="15"/>
      <c r="M121" s="15"/>
      <c r="N121" s="108"/>
      <c r="O121" s="13"/>
      <c r="P121" s="14">
        <f>P120/L120</f>
        <v>0.41614889417253598</v>
      </c>
      <c r="Q121" s="14">
        <f>Q120/M120</f>
        <v>0.31425856793374579</v>
      </c>
      <c r="R121" s="13"/>
      <c r="S121" s="13"/>
      <c r="T121" s="14">
        <f>T120/S120</f>
        <v>0.56808240440242697</v>
      </c>
      <c r="U121" s="16"/>
      <c r="V121" s="16"/>
      <c r="W121" s="13">
        <f t="shared" ref="W121" si="119">0.122*L120</f>
        <v>152292.11199999999</v>
      </c>
      <c r="X121" s="13"/>
      <c r="Y121" s="13"/>
      <c r="Z121" s="13">
        <v>34307</v>
      </c>
      <c r="AA121" s="17"/>
      <c r="AB121" s="18"/>
      <c r="AC121" s="13"/>
      <c r="AD121" s="18"/>
      <c r="AE121" s="18"/>
    </row>
    <row r="122" spans="1:31">
      <c r="B122" s="47" t="s">
        <v>123</v>
      </c>
      <c r="C122" s="109" t="s">
        <v>57</v>
      </c>
      <c r="D122" s="8">
        <v>4785</v>
      </c>
      <c r="E122" s="8">
        <v>38</v>
      </c>
      <c r="F122" s="8">
        <v>2404</v>
      </c>
      <c r="G122" s="8">
        <v>1480</v>
      </c>
      <c r="H122" s="8">
        <v>107</v>
      </c>
      <c r="I122" s="9"/>
      <c r="J122" s="9"/>
      <c r="K122" s="9"/>
      <c r="L122" s="57">
        <v>2980051</v>
      </c>
      <c r="M122" s="57">
        <v>1602955</v>
      </c>
      <c r="N122" s="108">
        <f t="shared" ref="N122:N140" si="120">D122/L122*100000</f>
        <v>160.56772182757945</v>
      </c>
      <c r="O122" s="8">
        <v>7583</v>
      </c>
      <c r="P122" s="56">
        <v>1013173</v>
      </c>
      <c r="Q122" s="56">
        <f>397922</f>
        <v>397922</v>
      </c>
      <c r="R122" s="8">
        <v>167028</v>
      </c>
      <c r="S122" s="8">
        <v>18403</v>
      </c>
      <c r="T122" s="8">
        <v>11947</v>
      </c>
      <c r="U122" s="10">
        <f t="shared" ref="U122" si="121">Z122+Z123</f>
        <v>9056</v>
      </c>
      <c r="V122" s="11">
        <f>W122/W123</f>
        <v>0.36687676667608576</v>
      </c>
      <c r="W122" s="56">
        <v>133384</v>
      </c>
      <c r="X122" s="56">
        <f>261308</f>
        <v>261308</v>
      </c>
      <c r="Y122" s="8">
        <v>75862</v>
      </c>
      <c r="Z122" s="8">
        <v>145</v>
      </c>
      <c r="AA122" s="11">
        <f>AB122/AD122</f>
        <v>7.6220364066502247E-2</v>
      </c>
      <c r="AB122" s="12">
        <f>760965.7</f>
        <v>760965.7</v>
      </c>
      <c r="AC122" s="8">
        <v>503413</v>
      </c>
      <c r="AD122" s="12">
        <f>9983758.4</f>
        <v>9983758.4000000004</v>
      </c>
      <c r="AE122" s="12">
        <f>AD122*1000/L122</f>
        <v>3350.1971610552973</v>
      </c>
    </row>
    <row r="123" spans="1:31">
      <c r="B123" s="47" t="s">
        <v>123</v>
      </c>
      <c r="C123" s="110"/>
      <c r="D123" s="13"/>
      <c r="E123" s="13"/>
      <c r="F123" s="14"/>
      <c r="G123" s="14"/>
      <c r="H123" s="14"/>
      <c r="I123" s="15"/>
      <c r="J123" s="15"/>
      <c r="K123" s="15"/>
      <c r="L123" s="15"/>
      <c r="M123" s="15"/>
      <c r="N123" s="108"/>
      <c r="O123" s="13"/>
      <c r="P123" s="14">
        <f>P122/L122</f>
        <v>0.33998512106000872</v>
      </c>
      <c r="Q123" s="14">
        <f>Q122/M122</f>
        <v>0.24824277662192637</v>
      </c>
      <c r="R123" s="13"/>
      <c r="S123" s="13"/>
      <c r="T123" s="14">
        <f>T122/S122</f>
        <v>0.64918763245123079</v>
      </c>
      <c r="U123" s="16"/>
      <c r="V123" s="16"/>
      <c r="W123" s="13">
        <f t="shared" ref="W123" si="122">0.122*L122</f>
        <v>363566.22200000001</v>
      </c>
      <c r="X123" s="13"/>
      <c r="Y123" s="13"/>
      <c r="Z123" s="13">
        <v>8911</v>
      </c>
      <c r="AA123" s="17"/>
      <c r="AB123" s="18"/>
      <c r="AC123" s="13"/>
      <c r="AD123" s="18"/>
      <c r="AE123" s="18"/>
    </row>
    <row r="124" spans="1:31">
      <c r="B124" s="47" t="s">
        <v>123</v>
      </c>
      <c r="C124" s="109" t="s">
        <v>58</v>
      </c>
      <c r="D124" s="8">
        <v>4079</v>
      </c>
      <c r="E124" s="8">
        <v>25</v>
      </c>
      <c r="F124" s="8">
        <v>1684</v>
      </c>
      <c r="G124" s="8">
        <v>1390</v>
      </c>
      <c r="H124" s="8">
        <v>68</v>
      </c>
      <c r="I124" s="9"/>
      <c r="J124" s="9"/>
      <c r="K124" s="9"/>
      <c r="L124" s="57">
        <v>2311073</v>
      </c>
      <c r="M124" s="57">
        <v>1240746</v>
      </c>
      <c r="N124" s="108">
        <f t="shared" si="120"/>
        <v>176.49810282929184</v>
      </c>
      <c r="O124" s="8">
        <v>6078</v>
      </c>
      <c r="P124" s="56">
        <v>770061</v>
      </c>
      <c r="Q124" s="56">
        <f>298290</f>
        <v>298290</v>
      </c>
      <c r="R124" s="8">
        <v>82470</v>
      </c>
      <c r="S124" s="8">
        <v>14525</v>
      </c>
      <c r="T124" s="8">
        <v>11750</v>
      </c>
      <c r="U124" s="10">
        <f t="shared" ref="U124" si="123">Z124+Z125</f>
        <v>16110</v>
      </c>
      <c r="V124" s="11">
        <f>W124/W125</f>
        <v>0.65202840667587703</v>
      </c>
      <c r="W124" s="56">
        <v>183840</v>
      </c>
      <c r="X124" s="56">
        <f>187900</f>
        <v>187900</v>
      </c>
      <c r="Y124" s="8">
        <v>54516</v>
      </c>
      <c r="Z124" s="8">
        <v>61</v>
      </c>
      <c r="AA124" s="11">
        <f>AB124/AD124</f>
        <v>0.25788366391569606</v>
      </c>
      <c r="AB124" s="12">
        <f>351488.6</f>
        <v>351488.6</v>
      </c>
      <c r="AC124" s="8">
        <v>253422</v>
      </c>
      <c r="AD124" s="12">
        <f>1362973.5</f>
        <v>1362973.5</v>
      </c>
      <c r="AE124" s="12">
        <f>AD124*1000/L124</f>
        <v>589.75787437263989</v>
      </c>
    </row>
    <row r="125" spans="1:31">
      <c r="B125" s="47" t="s">
        <v>123</v>
      </c>
      <c r="C125" s="110"/>
      <c r="D125" s="13"/>
      <c r="E125" s="13"/>
      <c r="F125" s="14"/>
      <c r="G125" s="14"/>
      <c r="H125" s="14"/>
      <c r="I125" s="15"/>
      <c r="J125" s="15"/>
      <c r="K125" s="15"/>
      <c r="L125" s="15"/>
      <c r="M125" s="15"/>
      <c r="N125" s="108"/>
      <c r="O125" s="13"/>
      <c r="P125" s="14">
        <f>P124/L124</f>
        <v>0.33320496583188847</v>
      </c>
      <c r="Q125" s="14">
        <f>Q124/M124</f>
        <v>0.24041181676185133</v>
      </c>
      <c r="R125" s="13"/>
      <c r="S125" s="13"/>
      <c r="T125" s="14">
        <f>T124/S124</f>
        <v>0.80895008605851981</v>
      </c>
      <c r="U125" s="16"/>
      <c r="V125" s="16"/>
      <c r="W125" s="13">
        <f t="shared" ref="W125" si="124">0.122*L124</f>
        <v>281950.90600000002</v>
      </c>
      <c r="X125" s="13"/>
      <c r="Y125" s="13"/>
      <c r="Z125" s="13">
        <v>16049</v>
      </c>
      <c r="AA125" s="17"/>
      <c r="AB125" s="18"/>
      <c r="AC125" s="13"/>
      <c r="AD125" s="18"/>
      <c r="AE125" s="18"/>
    </row>
    <row r="126" spans="1:31">
      <c r="B126" s="47" t="s">
        <v>123</v>
      </c>
      <c r="C126" s="109" t="s">
        <v>59</v>
      </c>
      <c r="D126" s="8">
        <v>2651</v>
      </c>
      <c r="E126" s="8">
        <v>14</v>
      </c>
      <c r="F126" s="8">
        <v>1053</v>
      </c>
      <c r="G126" s="8">
        <v>740</v>
      </c>
      <c r="H126" s="8">
        <v>43</v>
      </c>
      <c r="I126" s="9"/>
      <c r="J126" s="9"/>
      <c r="K126" s="9"/>
      <c r="L126" s="57">
        <v>1164999</v>
      </c>
      <c r="M126" s="57">
        <v>622146</v>
      </c>
      <c r="N126" s="108">
        <f t="shared" si="120"/>
        <v>227.55384339385702</v>
      </c>
      <c r="O126" s="8">
        <v>2513</v>
      </c>
      <c r="P126" s="56">
        <v>438767</v>
      </c>
      <c r="Q126" s="56">
        <v>155648</v>
      </c>
      <c r="R126" s="8">
        <v>54797</v>
      </c>
      <c r="S126" s="8">
        <v>6193</v>
      </c>
      <c r="T126" s="8">
        <v>2460</v>
      </c>
      <c r="U126" s="10">
        <f t="shared" ref="U126" si="125">Z126+Z127</f>
        <v>22412</v>
      </c>
      <c r="V126" s="11">
        <f>W126/W127</f>
        <v>0.48094743316391225</v>
      </c>
      <c r="W126" s="56">
        <v>68357</v>
      </c>
      <c r="X126" s="56">
        <v>219177</v>
      </c>
      <c r="Y126" s="8">
        <v>39132</v>
      </c>
      <c r="Z126" s="8">
        <v>61</v>
      </c>
      <c r="AA126" s="11">
        <f>AB126/AD126</f>
        <v>3.7415305225397023E-2</v>
      </c>
      <c r="AB126" s="12">
        <f>99825.4</f>
        <v>99825.4</v>
      </c>
      <c r="AC126" s="8">
        <f>134982</f>
        <v>134982</v>
      </c>
      <c r="AD126" s="12">
        <f>2668036.5</f>
        <v>2668036.5</v>
      </c>
      <c r="AE126" s="12">
        <f>AD126*1000/L126</f>
        <v>2290.1620516412459</v>
      </c>
    </row>
    <row r="127" spans="1:31">
      <c r="B127" s="47" t="s">
        <v>123</v>
      </c>
      <c r="C127" s="110"/>
      <c r="D127" s="13"/>
      <c r="E127" s="13"/>
      <c r="F127" s="14">
        <f>I126/L126/1.95</f>
        <v>0</v>
      </c>
      <c r="G127" s="14">
        <f>J126/L126/0.35</f>
        <v>0</v>
      </c>
      <c r="H127" s="14">
        <f>K126/L126/0.075</f>
        <v>0</v>
      </c>
      <c r="I127" s="15"/>
      <c r="J127" s="15"/>
      <c r="K127" s="15"/>
      <c r="L127" s="15"/>
      <c r="M127" s="15"/>
      <c r="N127" s="108"/>
      <c r="O127" s="13"/>
      <c r="P127" s="14">
        <f>P126/L126</f>
        <v>0.37662435761747437</v>
      </c>
      <c r="Q127" s="14">
        <f>Q126/M126</f>
        <v>0.25017921838282331</v>
      </c>
      <c r="R127" s="13"/>
      <c r="S127" s="13"/>
      <c r="T127" s="14">
        <f>T126/S126</f>
        <v>0.39722267075730666</v>
      </c>
      <c r="U127" s="16"/>
      <c r="V127" s="16"/>
      <c r="W127" s="13">
        <f t="shared" ref="W127" si="126">0.122*L126</f>
        <v>142129.878</v>
      </c>
      <c r="X127" s="13"/>
      <c r="Y127" s="13"/>
      <c r="Z127" s="13">
        <v>22351</v>
      </c>
      <c r="AA127" s="17"/>
      <c r="AB127" s="18"/>
      <c r="AC127" s="13"/>
      <c r="AD127" s="18"/>
      <c r="AE127" s="18"/>
    </row>
    <row r="128" spans="1:31" s="20" customFormat="1">
      <c r="A128" s="49" t="s">
        <v>127</v>
      </c>
      <c r="B128" s="50" t="s">
        <v>123</v>
      </c>
      <c r="C128" s="111" t="s">
        <v>60</v>
      </c>
      <c r="D128" s="24">
        <f t="shared" ref="D128:U128" si="127">SUM(D126,D124,D122,D120,D118,D116,D114,D112,D110,D108,D106,D104,D102,D100)</f>
        <v>69590</v>
      </c>
      <c r="E128" s="24">
        <f t="shared" si="127"/>
        <v>371</v>
      </c>
      <c r="F128" s="24">
        <f t="shared" si="127"/>
        <v>32461</v>
      </c>
      <c r="G128" s="24">
        <f t="shared" si="127"/>
        <v>16577</v>
      </c>
      <c r="H128" s="24">
        <f t="shared" si="127"/>
        <v>1281</v>
      </c>
      <c r="I128" s="19">
        <f t="shared" si="127"/>
        <v>0</v>
      </c>
      <c r="J128" s="19">
        <f t="shared" si="127"/>
        <v>0</v>
      </c>
      <c r="K128" s="19">
        <f t="shared" si="127"/>
        <v>0</v>
      </c>
      <c r="L128" s="19">
        <f t="shared" si="127"/>
        <v>27479073</v>
      </c>
      <c r="M128" s="19">
        <f t="shared" si="127"/>
        <v>14639646</v>
      </c>
      <c r="N128" s="108">
        <f t="shared" si="120"/>
        <v>253.2472620164443</v>
      </c>
      <c r="O128" s="24">
        <f t="shared" si="127"/>
        <v>67371</v>
      </c>
      <c r="P128" s="24">
        <f t="shared" si="127"/>
        <v>10264985</v>
      </c>
      <c r="Q128" s="24">
        <f t="shared" si="127"/>
        <v>4127286</v>
      </c>
      <c r="R128" s="24">
        <f t="shared" si="127"/>
        <v>1519498</v>
      </c>
      <c r="S128" s="24">
        <f t="shared" si="127"/>
        <v>209063</v>
      </c>
      <c r="T128" s="24">
        <f t="shared" si="127"/>
        <v>106641</v>
      </c>
      <c r="U128" s="24">
        <f t="shared" si="127"/>
        <v>302601</v>
      </c>
      <c r="V128" s="21">
        <f>W128/W129</f>
        <v>0.58483849408352118</v>
      </c>
      <c r="W128" s="24">
        <f>SUM(W126,W124,W122,W120,W118,W116,W114,W112,W110,W108,W106,W104,W102,W100)</f>
        <v>1960640</v>
      </c>
      <c r="X128" s="24">
        <f>SUM(X126,X124,X122,X120,X118,X116,X114,X112,X110,X108,X106,X104,X102,X100)</f>
        <v>3662465</v>
      </c>
      <c r="Y128" s="24">
        <f>SUM(Y126,Y124,Y122,Y120,Y118,Y116,Y114,Y112,Y110,Y108,Y106,Y104,Y102,Y100)</f>
        <v>857972</v>
      </c>
      <c r="Z128" s="24">
        <f>SUM(Z126,Z124,Z122,Z120,Z118,Z116,Z114,Z112,Z110,Z108,Z106,Z104,Z102,Z100)</f>
        <v>1272</v>
      </c>
      <c r="AA128" s="21">
        <f>AB128/AD128</f>
        <v>0.36808760641239169</v>
      </c>
      <c r="AB128" s="22">
        <f>SUM(AB100:AB126)</f>
        <v>30140538.199999999</v>
      </c>
      <c r="AC128" s="24">
        <f>SUM(AC126,AC124,AC122,AC120,AC118,AC116,AC114,AC112,AC110,AC108,AC106,AC104,AC102,AC100)</f>
        <v>4400185</v>
      </c>
      <c r="AD128" s="22">
        <f>SUM(AD100:AD127)</f>
        <v>81884143</v>
      </c>
      <c r="AE128" s="22">
        <f>AD128*1000/L128</f>
        <v>2979.872829043396</v>
      </c>
    </row>
    <row r="129" spans="1:31" s="20" customFormat="1">
      <c r="A129" s="49" t="s">
        <v>127</v>
      </c>
      <c r="B129" s="50" t="s">
        <v>123</v>
      </c>
      <c r="C129" s="112"/>
      <c r="D129" s="26"/>
      <c r="E129" s="26"/>
      <c r="F129" s="23">
        <f>I128/L128/1.95</f>
        <v>0</v>
      </c>
      <c r="G129" s="23">
        <f>J128/L128/0.35</f>
        <v>0</v>
      </c>
      <c r="H129" s="23">
        <f>K128/L128/0.075</f>
        <v>0</v>
      </c>
      <c r="I129" s="19"/>
      <c r="J129" s="19"/>
      <c r="K129" s="19"/>
      <c r="L129" s="19"/>
      <c r="M129" s="19"/>
      <c r="N129" s="108"/>
      <c r="O129" s="26"/>
      <c r="P129" s="23">
        <f>P128/L128</f>
        <v>0.37355645148582706</v>
      </c>
      <c r="Q129" s="23">
        <f>Q128/M128</f>
        <v>0.28192525966816412</v>
      </c>
      <c r="R129" s="26"/>
      <c r="S129" s="26"/>
      <c r="T129" s="23">
        <f>T128/S128</f>
        <v>0.51009025987381795</v>
      </c>
      <c r="U129" s="28"/>
      <c r="V129" s="28"/>
      <c r="W129" s="26">
        <f>SUM(W127,W125,W123,W121,W119,W117,W115,W113,W111,W109,W107,W105,W103,W101)</f>
        <v>3352446.906</v>
      </c>
      <c r="X129" s="26"/>
      <c r="Y129" s="26"/>
      <c r="Z129" s="26">
        <f>SUM(Z127,Z125,Z123,Z121,Z119,Z117,Z115,Z113,Z111,Z109,Z107,Z105,Z103,Z101)</f>
        <v>301329</v>
      </c>
      <c r="AA129" s="29"/>
      <c r="AB129" s="30"/>
      <c r="AC129" s="26"/>
      <c r="AD129" s="30"/>
      <c r="AE129" s="30"/>
    </row>
    <row r="130" spans="1:31">
      <c r="B130" s="47" t="s">
        <v>124</v>
      </c>
      <c r="C130" s="109" t="s">
        <v>61</v>
      </c>
      <c r="D130" s="8">
        <v>2748</v>
      </c>
      <c r="E130" s="8">
        <v>19</v>
      </c>
      <c r="F130" s="8">
        <v>1304</v>
      </c>
      <c r="G130" s="8">
        <v>748</v>
      </c>
      <c r="H130" s="8">
        <v>11</v>
      </c>
      <c r="I130" s="9"/>
      <c r="J130" s="9"/>
      <c r="K130" s="9"/>
      <c r="L130" s="57">
        <v>788697</v>
      </c>
      <c r="M130" s="57">
        <v>420515</v>
      </c>
      <c r="N130" s="108">
        <f t="shared" si="120"/>
        <v>348.42277832932041</v>
      </c>
      <c r="O130" s="8">
        <v>2470</v>
      </c>
      <c r="P130" s="56">
        <v>306315</v>
      </c>
      <c r="Q130" s="8">
        <f>140738</f>
        <v>140738</v>
      </c>
      <c r="R130" s="8">
        <v>67576</v>
      </c>
      <c r="S130" s="8">
        <v>5542</v>
      </c>
      <c r="T130" s="8">
        <v>4402</v>
      </c>
      <c r="U130" s="10">
        <f>Z130+Z131</f>
        <v>17903</v>
      </c>
      <c r="V130" s="11">
        <f>W130/W131</f>
        <v>0.66308786496723782</v>
      </c>
      <c r="W130" s="8">
        <v>63803</v>
      </c>
      <c r="X130" s="56">
        <f>111543</f>
        <v>111543</v>
      </c>
      <c r="Y130" s="8">
        <v>27740</v>
      </c>
      <c r="Z130" s="8">
        <v>30</v>
      </c>
      <c r="AA130" s="11">
        <f>AB130/AD130</f>
        <v>5.6453262004430758E-2</v>
      </c>
      <c r="AB130" s="12">
        <f>21920</f>
        <v>21920</v>
      </c>
      <c r="AC130" s="8">
        <v>208968</v>
      </c>
      <c r="AD130" s="12">
        <f>388285.8</f>
        <v>388285.8</v>
      </c>
      <c r="AE130" s="12">
        <f>AD130*1000/L130</f>
        <v>492.31301754666242</v>
      </c>
    </row>
    <row r="131" spans="1:31">
      <c r="B131" s="47" t="s">
        <v>124</v>
      </c>
      <c r="C131" s="110"/>
      <c r="D131" s="13"/>
      <c r="E131" s="13"/>
      <c r="F131" s="14"/>
      <c r="G131" s="14"/>
      <c r="H131" s="14"/>
      <c r="I131" s="15"/>
      <c r="J131" s="15"/>
      <c r="K131" s="15"/>
      <c r="L131" s="15"/>
      <c r="M131" s="15"/>
      <c r="N131" s="108"/>
      <c r="O131" s="13"/>
      <c r="P131" s="14">
        <f>P130/L130</f>
        <v>0.38838108931566878</v>
      </c>
      <c r="Q131" s="14">
        <f>Q130/M130</f>
        <v>0.33468009464585091</v>
      </c>
      <c r="R131" s="13"/>
      <c r="S131" s="13"/>
      <c r="T131" s="14">
        <f>T130/S130</f>
        <v>0.79429808733309271</v>
      </c>
      <c r="U131" s="16"/>
      <c r="V131" s="16"/>
      <c r="W131" s="13">
        <f>0.122*L130</f>
        <v>96221.034</v>
      </c>
      <c r="X131" s="13"/>
      <c r="Y131" s="13"/>
      <c r="Z131" s="13">
        <v>17873</v>
      </c>
      <c r="AA131" s="17"/>
      <c r="AB131" s="18"/>
      <c r="AC131" s="13"/>
      <c r="AD131" s="18"/>
      <c r="AE131" s="18"/>
    </row>
    <row r="132" spans="1:31">
      <c r="B132" s="47" t="s">
        <v>124</v>
      </c>
      <c r="C132" s="109" t="s">
        <v>62</v>
      </c>
      <c r="D132" s="8">
        <v>8981</v>
      </c>
      <c r="E132" s="8">
        <v>53</v>
      </c>
      <c r="F132" s="8">
        <v>3895</v>
      </c>
      <c r="G132" s="8">
        <v>2586</v>
      </c>
      <c r="H132" s="8">
        <v>273</v>
      </c>
      <c r="I132" s="9"/>
      <c r="J132" s="9"/>
      <c r="K132" s="9"/>
      <c r="L132" s="57">
        <v>4008857</v>
      </c>
      <c r="M132" s="57">
        <v>2147195</v>
      </c>
      <c r="N132" s="108">
        <f t="shared" si="120"/>
        <v>224.02894391094517</v>
      </c>
      <c r="O132" s="8">
        <v>12538</v>
      </c>
      <c r="P132" s="56">
        <v>1452917</v>
      </c>
      <c r="Q132" s="56">
        <v>558721</v>
      </c>
      <c r="R132" s="8">
        <v>204311</v>
      </c>
      <c r="S132" s="8">
        <v>20531</v>
      </c>
      <c r="T132" s="8">
        <v>14157</v>
      </c>
      <c r="U132" s="10">
        <f t="shared" ref="U132" si="128">Z132+Z133</f>
        <v>31419</v>
      </c>
      <c r="V132" s="11">
        <f>W132/W133</f>
        <v>0.4901278491640868</v>
      </c>
      <c r="W132" s="8">
        <f>239712</f>
        <v>239712</v>
      </c>
      <c r="X132" s="56">
        <f>428785</f>
        <v>428785</v>
      </c>
      <c r="Y132" s="8">
        <v>128519</v>
      </c>
      <c r="Z132" s="8">
        <v>221</v>
      </c>
      <c r="AA132" s="11">
        <f>AB132/AD132</f>
        <v>0.19282285792741671</v>
      </c>
      <c r="AB132" s="12">
        <f>2204365.2</f>
        <v>2204365.2000000002</v>
      </c>
      <c r="AC132" s="8">
        <f>696165</f>
        <v>696165</v>
      </c>
      <c r="AD132" s="12">
        <f>11432074.1</f>
        <v>11432074.1</v>
      </c>
      <c r="AE132" s="12">
        <f>AD132*1000/L132</f>
        <v>2851.7041391099756</v>
      </c>
    </row>
    <row r="133" spans="1:31">
      <c r="B133" s="47" t="s">
        <v>124</v>
      </c>
      <c r="C133" s="110"/>
      <c r="D133" s="13"/>
      <c r="E133" s="13"/>
      <c r="F133" s="14"/>
      <c r="G133" s="14"/>
      <c r="H133" s="14"/>
      <c r="I133" s="15"/>
      <c r="J133" s="15"/>
      <c r="K133" s="15"/>
      <c r="L133" s="15"/>
      <c r="M133" s="15"/>
      <c r="N133" s="108"/>
      <c r="O133" s="13"/>
      <c r="P133" s="14">
        <f>P132/L132</f>
        <v>0.36242674657639323</v>
      </c>
      <c r="Q133" s="14">
        <f>Q132/M132</f>
        <v>0.2602097154659917</v>
      </c>
      <c r="R133" s="13"/>
      <c r="S133" s="13"/>
      <c r="T133" s="14">
        <f>T132/S132</f>
        <v>0.68954264283278943</v>
      </c>
      <c r="U133" s="16"/>
      <c r="V133" s="16"/>
      <c r="W133" s="13">
        <f t="shared" ref="W133" si="129">0.122*L132</f>
        <v>489080.554</v>
      </c>
      <c r="X133" s="13"/>
      <c r="Y133" s="13"/>
      <c r="Z133" s="13">
        <v>31198</v>
      </c>
      <c r="AA133" s="17"/>
      <c r="AB133" s="18"/>
      <c r="AC133" s="13"/>
      <c r="AD133" s="18"/>
      <c r="AE133" s="18"/>
    </row>
    <row r="134" spans="1:31">
      <c r="B134" s="47" t="s">
        <v>124</v>
      </c>
      <c r="C134" s="109" t="s">
        <v>63</v>
      </c>
      <c r="D134" s="8">
        <v>3542</v>
      </c>
      <c r="E134" s="8">
        <v>18</v>
      </c>
      <c r="F134" s="8">
        <v>1826</v>
      </c>
      <c r="G134" s="8">
        <v>1069</v>
      </c>
      <c r="H134" s="8">
        <v>65</v>
      </c>
      <c r="I134" s="9"/>
      <c r="J134" s="9"/>
      <c r="K134" s="9"/>
      <c r="L134" s="57">
        <v>1371237</v>
      </c>
      <c r="M134" s="57">
        <v>715308</v>
      </c>
      <c r="N134" s="108">
        <f t="shared" si="120"/>
        <v>258.30691558060352</v>
      </c>
      <c r="O134" s="8">
        <v>4784</v>
      </c>
      <c r="P134" s="8">
        <v>560136</v>
      </c>
      <c r="Q134" s="8">
        <f>211937</f>
        <v>211937</v>
      </c>
      <c r="R134" s="8">
        <v>164468</v>
      </c>
      <c r="S134" s="8">
        <v>4386</v>
      </c>
      <c r="T134" s="8">
        <v>3331</v>
      </c>
      <c r="U134" s="10">
        <f t="shared" ref="U134" si="130">Z134+Z135</f>
        <v>31898</v>
      </c>
      <c r="V134" s="11">
        <f>W134/W135</f>
        <v>0.55621669925241735</v>
      </c>
      <c r="W134" s="8">
        <v>93050</v>
      </c>
      <c r="X134" s="56">
        <v>169895</v>
      </c>
      <c r="Y134" s="8">
        <v>91493</v>
      </c>
      <c r="Z134" s="8">
        <v>97</v>
      </c>
      <c r="AA134" s="11">
        <f>AB134/AD134</f>
        <v>0.20011905367711363</v>
      </c>
      <c r="AB134" s="12">
        <f>963870</f>
        <v>963870</v>
      </c>
      <c r="AC134" s="8">
        <v>340261</v>
      </c>
      <c r="AD134" s="12">
        <f>4816482.9</f>
        <v>4816482.9000000004</v>
      </c>
      <c r="AE134" s="12">
        <f>AD134*1000/L134</f>
        <v>3512.5094349116894</v>
      </c>
    </row>
    <row r="135" spans="1:31">
      <c r="B135" s="47" t="s">
        <v>124</v>
      </c>
      <c r="C135" s="110"/>
      <c r="D135" s="13"/>
      <c r="E135" s="13"/>
      <c r="F135" s="14"/>
      <c r="G135" s="14"/>
      <c r="H135" s="14"/>
      <c r="I135" s="15"/>
      <c r="J135" s="15"/>
      <c r="K135" s="15"/>
      <c r="L135" s="15"/>
      <c r="M135" s="15"/>
      <c r="N135" s="108"/>
      <c r="O135" s="13"/>
      <c r="P135" s="14">
        <f>P134/L134</f>
        <v>0.40848956088553617</v>
      </c>
      <c r="Q135" s="14">
        <f>Q134/M134</f>
        <v>0.29628775296795229</v>
      </c>
      <c r="R135" s="13"/>
      <c r="S135" s="13"/>
      <c r="T135" s="14">
        <f>T134/S134</f>
        <v>0.75946192430460557</v>
      </c>
      <c r="U135" s="16"/>
      <c r="V135" s="16"/>
      <c r="W135" s="13">
        <f t="shared" ref="W135" si="131">0.122*L134</f>
        <v>167290.91399999999</v>
      </c>
      <c r="X135" s="13"/>
      <c r="Y135" s="13"/>
      <c r="Z135" s="13">
        <v>31801</v>
      </c>
      <c r="AA135" s="17"/>
      <c r="AB135" s="18"/>
      <c r="AC135" s="13"/>
      <c r="AD135" s="18"/>
      <c r="AE135" s="75"/>
    </row>
    <row r="136" spans="1:31">
      <c r="B136" s="47" t="s">
        <v>124</v>
      </c>
      <c r="C136" s="109" t="s">
        <v>64</v>
      </c>
      <c r="D136" s="8">
        <v>3143</v>
      </c>
      <c r="E136" s="8">
        <v>5</v>
      </c>
      <c r="F136" s="8">
        <v>978</v>
      </c>
      <c r="G136" s="8">
        <v>894</v>
      </c>
      <c r="H136" s="8">
        <v>130</v>
      </c>
      <c r="I136" s="9"/>
      <c r="J136" s="9"/>
      <c r="K136" s="9"/>
      <c r="L136" s="57">
        <v>1553424</v>
      </c>
      <c r="M136" s="57">
        <v>795440</v>
      </c>
      <c r="N136" s="108">
        <f t="shared" si="120"/>
        <v>202.32724613498954</v>
      </c>
      <c r="O136" s="8">
        <v>6136</v>
      </c>
      <c r="P136" s="8">
        <v>550476</v>
      </c>
      <c r="Q136" s="8">
        <v>202888</v>
      </c>
      <c r="R136" s="8">
        <v>105760</v>
      </c>
      <c r="S136" s="8">
        <v>5153</v>
      </c>
      <c r="T136" s="8">
        <v>3230</v>
      </c>
      <c r="U136" s="10">
        <f t="shared" ref="U136" si="132">Z136+Z137</f>
        <v>16999</v>
      </c>
      <c r="V136" s="11">
        <f>W136/W137</f>
        <v>0.41079006603540541</v>
      </c>
      <c r="W136" s="8">
        <f>77852</f>
        <v>77852</v>
      </c>
      <c r="X136" s="56">
        <f>196223</f>
        <v>196223</v>
      </c>
      <c r="Y136" s="8">
        <v>73556</v>
      </c>
      <c r="Z136" s="8">
        <v>82</v>
      </c>
      <c r="AA136" s="11">
        <f>AB136/AD136</f>
        <v>4.7874991539268281E-2</v>
      </c>
      <c r="AB136" s="12">
        <f>563798.1</f>
        <v>563798.1</v>
      </c>
      <c r="AC136" s="8">
        <v>328518</v>
      </c>
      <c r="AD136" s="12">
        <f>11776463.7</f>
        <v>11776463.699999999</v>
      </c>
      <c r="AE136" s="53">
        <f>AD136*1000/L136</f>
        <v>7580.9719046441924</v>
      </c>
    </row>
    <row r="137" spans="1:31">
      <c r="B137" s="47" t="s">
        <v>124</v>
      </c>
      <c r="C137" s="110"/>
      <c r="D137" s="13"/>
      <c r="E137" s="13"/>
      <c r="F137" s="14"/>
      <c r="G137" s="14"/>
      <c r="H137" s="14"/>
      <c r="I137" s="15"/>
      <c r="J137" s="15"/>
      <c r="K137" s="15"/>
      <c r="L137" s="15"/>
      <c r="M137" s="15"/>
      <c r="N137" s="108"/>
      <c r="O137" s="13"/>
      <c r="P137" s="14">
        <f>P136/L136</f>
        <v>0.35436300713778079</v>
      </c>
      <c r="Q137" s="14">
        <f>Q136/M136</f>
        <v>0.25506386402494219</v>
      </c>
      <c r="R137" s="13"/>
      <c r="S137" s="13"/>
      <c r="T137" s="14">
        <f>T136/S136</f>
        <v>0.62681932854647782</v>
      </c>
      <c r="U137" s="16"/>
      <c r="V137" s="16"/>
      <c r="W137" s="13">
        <f t="shared" ref="W137" si="133">0.122*L136</f>
        <v>189517.728</v>
      </c>
      <c r="X137" s="13"/>
      <c r="Y137" s="13"/>
      <c r="Z137" s="13">
        <v>16917</v>
      </c>
      <c r="AA137" s="17"/>
      <c r="AB137" s="18"/>
      <c r="AC137" s="13"/>
      <c r="AD137" s="18"/>
      <c r="AE137" s="75"/>
    </row>
    <row r="138" spans="1:31" s="6" customFormat="1">
      <c r="A138" s="48"/>
      <c r="B138" s="47" t="s">
        <v>124</v>
      </c>
      <c r="C138" s="115" t="s">
        <v>65</v>
      </c>
      <c r="D138" s="8">
        <v>1169</v>
      </c>
      <c r="E138" s="104" t="s">
        <v>132</v>
      </c>
      <c r="F138" s="8">
        <v>270</v>
      </c>
      <c r="G138" s="8">
        <v>438</v>
      </c>
      <c r="H138" s="8">
        <v>52</v>
      </c>
      <c r="I138" s="9"/>
      <c r="J138" s="9"/>
      <c r="K138" s="9"/>
      <c r="L138" s="57">
        <v>507183</v>
      </c>
      <c r="M138" s="57">
        <v>255952</v>
      </c>
      <c r="N138" s="108">
        <f t="shared" si="120"/>
        <v>230.48879792895264</v>
      </c>
      <c r="O138" s="8">
        <v>2627</v>
      </c>
      <c r="P138" s="56">
        <v>220415</v>
      </c>
      <c r="Q138" s="8">
        <v>83193</v>
      </c>
      <c r="R138" s="8">
        <v>15673</v>
      </c>
      <c r="S138" s="8">
        <v>1930</v>
      </c>
      <c r="T138" s="8">
        <v>1446</v>
      </c>
      <c r="U138" s="10">
        <f t="shared" ref="U138" si="134">Z138+Z139</f>
        <v>12794</v>
      </c>
      <c r="V138" s="11">
        <f>W138/W139</f>
        <v>0.52978258599258143</v>
      </c>
      <c r="W138" s="8">
        <f>32781</f>
        <v>32781</v>
      </c>
      <c r="X138" s="56">
        <f>89122</f>
        <v>89122</v>
      </c>
      <c r="Y138" s="8">
        <v>24645</v>
      </c>
      <c r="Z138" s="8">
        <v>30</v>
      </c>
      <c r="AA138" s="11">
        <f>AB138/AD138</f>
        <v>0.24593267692653323</v>
      </c>
      <c r="AB138" s="12">
        <f>1865357.3</f>
        <v>1865357.3</v>
      </c>
      <c r="AC138" s="8">
        <v>110841</v>
      </c>
      <c r="AD138" s="53">
        <f>7584829</f>
        <v>7584829</v>
      </c>
      <c r="AE138" s="53">
        <f>AD138*1000/L138</f>
        <v>14954.81709757622</v>
      </c>
    </row>
    <row r="139" spans="1:31" s="6" customFormat="1">
      <c r="A139" s="48"/>
      <c r="B139" s="47" t="s">
        <v>124</v>
      </c>
      <c r="C139" s="116"/>
      <c r="D139" s="13"/>
      <c r="E139" s="13"/>
      <c r="F139" s="14"/>
      <c r="G139" s="14"/>
      <c r="H139" s="14"/>
      <c r="I139" s="15"/>
      <c r="J139" s="15"/>
      <c r="K139" s="15"/>
      <c r="L139" s="15"/>
      <c r="M139" s="15"/>
      <c r="N139" s="108"/>
      <c r="O139" s="13"/>
      <c r="P139" s="14">
        <f>P138/L138</f>
        <v>0.43458672707878615</v>
      </c>
      <c r="Q139" s="14">
        <f>Q138/M138</f>
        <v>0.32503360005000936</v>
      </c>
      <c r="R139" s="13"/>
      <c r="S139" s="13"/>
      <c r="T139" s="14">
        <f>T138/S138</f>
        <v>0.74922279792746116</v>
      </c>
      <c r="U139" s="16"/>
      <c r="V139" s="16"/>
      <c r="W139" s="13">
        <f t="shared" ref="W139" si="135">0.122*L138</f>
        <v>61876.326000000001</v>
      </c>
      <c r="X139" s="13"/>
      <c r="Y139" s="13"/>
      <c r="Z139" s="13">
        <v>12764</v>
      </c>
      <c r="AA139" s="17"/>
      <c r="AB139" s="18"/>
      <c r="AC139" s="13"/>
      <c r="AD139" s="18"/>
      <c r="AE139" s="75"/>
    </row>
    <row r="140" spans="1:31">
      <c r="B140" s="47" t="s">
        <v>124</v>
      </c>
      <c r="C140" s="109" t="s">
        <v>66</v>
      </c>
      <c r="D140" s="8">
        <v>7544</v>
      </c>
      <c r="E140" s="8">
        <v>38</v>
      </c>
      <c r="F140" s="8">
        <v>3457</v>
      </c>
      <c r="G140" s="8">
        <v>1824</v>
      </c>
      <c r="H140" s="8">
        <v>100</v>
      </c>
      <c r="I140" s="9"/>
      <c r="J140" s="9"/>
      <c r="K140" s="9"/>
      <c r="L140" s="57">
        <v>3247409</v>
      </c>
      <c r="M140" s="57">
        <v>1743195</v>
      </c>
      <c r="N140" s="108">
        <f t="shared" si="120"/>
        <v>232.308280232025</v>
      </c>
      <c r="O140" s="8">
        <v>10460</v>
      </c>
      <c r="P140" s="56">
        <v>1151895</v>
      </c>
      <c r="Q140" s="56">
        <v>493324</v>
      </c>
      <c r="R140" s="8">
        <v>204926</v>
      </c>
      <c r="S140" s="8">
        <v>27910</v>
      </c>
      <c r="T140" s="8">
        <v>9038</v>
      </c>
      <c r="U140" s="10">
        <f t="shared" ref="U140" si="136">Z140+Z141</f>
        <v>30037</v>
      </c>
      <c r="V140" s="11">
        <f>W140/W141</f>
        <v>0.48184694270437012</v>
      </c>
      <c r="W140" s="8">
        <v>190900</v>
      </c>
      <c r="X140" s="56">
        <f>377926</f>
        <v>377926</v>
      </c>
      <c r="Y140" s="8">
        <v>113532</v>
      </c>
      <c r="Z140" s="8">
        <v>154</v>
      </c>
      <c r="AA140" s="11">
        <f>AB140/AD140</f>
        <v>0.3358962124582332</v>
      </c>
      <c r="AB140" s="12">
        <f>3715587.5</f>
        <v>3715587.5</v>
      </c>
      <c r="AC140" s="8">
        <v>630471</v>
      </c>
      <c r="AD140" s="12">
        <f>11061713</f>
        <v>11061713</v>
      </c>
      <c r="AE140" s="53">
        <f>AD140*1000/L140</f>
        <v>3406.319622813141</v>
      </c>
    </row>
    <row r="141" spans="1:31">
      <c r="B141" s="47" t="s">
        <v>124</v>
      </c>
      <c r="C141" s="110"/>
      <c r="D141" s="13"/>
      <c r="E141" s="13"/>
      <c r="F141" s="14">
        <f>I140/L140/1.95</f>
        <v>0</v>
      </c>
      <c r="G141" s="14">
        <f>J140/L140/0.35</f>
        <v>0</v>
      </c>
      <c r="H141" s="14">
        <f>K140/L140/0.075</f>
        <v>0</v>
      </c>
      <c r="I141" s="15"/>
      <c r="J141" s="15"/>
      <c r="K141" s="15"/>
      <c r="L141" s="15"/>
      <c r="M141" s="15"/>
      <c r="N141" s="108"/>
      <c r="O141" s="13"/>
      <c r="P141" s="14">
        <f>P140/L140</f>
        <v>0.35471201810427944</v>
      </c>
      <c r="Q141" s="14">
        <f>Q140/M140</f>
        <v>0.28299989387303198</v>
      </c>
      <c r="R141" s="13"/>
      <c r="S141" s="13"/>
      <c r="T141" s="14">
        <f>T140/S140</f>
        <v>0.32382658545324255</v>
      </c>
      <c r="U141" s="16"/>
      <c r="V141" s="16"/>
      <c r="W141" s="13">
        <f t="shared" ref="W141" si="137">0.122*L140</f>
        <v>396183.89799999999</v>
      </c>
      <c r="X141" s="13"/>
      <c r="Y141" s="13"/>
      <c r="Z141" s="13">
        <v>29883</v>
      </c>
      <c r="AA141" s="17"/>
      <c r="AB141" s="18"/>
      <c r="AC141" s="13"/>
      <c r="AD141" s="18"/>
      <c r="AE141" s="75"/>
    </row>
    <row r="142" spans="1:31" s="20" customFormat="1">
      <c r="A142" s="49" t="s">
        <v>127</v>
      </c>
      <c r="B142" s="50" t="s">
        <v>124</v>
      </c>
      <c r="C142" s="111" t="s">
        <v>67</v>
      </c>
      <c r="D142" s="24">
        <f t="shared" ref="D142:U142" si="138">SUM(D140,D138,D136,D134,D132,D130)</f>
        <v>27127</v>
      </c>
      <c r="E142" s="24">
        <f t="shared" si="138"/>
        <v>133</v>
      </c>
      <c r="F142" s="24">
        <f t="shared" si="138"/>
        <v>11730</v>
      </c>
      <c r="G142" s="24">
        <f t="shared" si="138"/>
        <v>7559</v>
      </c>
      <c r="H142" s="24">
        <f t="shared" si="138"/>
        <v>631</v>
      </c>
      <c r="I142" s="19">
        <f t="shared" si="138"/>
        <v>0</v>
      </c>
      <c r="J142" s="19">
        <f t="shared" si="138"/>
        <v>0</v>
      </c>
      <c r="K142" s="19">
        <f t="shared" si="138"/>
        <v>0</v>
      </c>
      <c r="L142" s="19">
        <f t="shared" si="138"/>
        <v>11476807</v>
      </c>
      <c r="M142" s="19">
        <f t="shared" si="138"/>
        <v>6077605</v>
      </c>
      <c r="N142" s="108">
        <f t="shared" ref="N142:N162" si="139">D142/L142*100000</f>
        <v>236.36365062164066</v>
      </c>
      <c r="O142" s="24">
        <f t="shared" si="138"/>
        <v>39015</v>
      </c>
      <c r="P142" s="24">
        <f t="shared" si="138"/>
        <v>4242154</v>
      </c>
      <c r="Q142" s="24">
        <f t="shared" si="138"/>
        <v>1690801</v>
      </c>
      <c r="R142" s="24">
        <f t="shared" si="138"/>
        <v>762714</v>
      </c>
      <c r="S142" s="24">
        <f t="shared" si="138"/>
        <v>65452</v>
      </c>
      <c r="T142" s="24">
        <f t="shared" si="138"/>
        <v>35604</v>
      </c>
      <c r="U142" s="24">
        <f t="shared" si="138"/>
        <v>141050</v>
      </c>
      <c r="V142" s="21">
        <f>W142/W143</f>
        <v>0.49858072494365036</v>
      </c>
      <c r="W142" s="24">
        <f>SUM(W140,W138,W136,W134,W132,W130)</f>
        <v>698098</v>
      </c>
      <c r="X142" s="24">
        <f>SUM(X140,X138,X136,X134,X132,X130)</f>
        <v>1373494</v>
      </c>
      <c r="Y142" s="24">
        <f>SUM(Y140,Y138,Y136,Y134,Y132,Y130)</f>
        <v>459485</v>
      </c>
      <c r="Z142" s="24">
        <f>SUM(Z140,Z138,Z136,Z134,Z132,Z130)</f>
        <v>614</v>
      </c>
      <c r="AA142" s="21">
        <f>AB142/AD142</f>
        <v>0.19836226417090996</v>
      </c>
      <c r="AB142" s="22">
        <f>SUM(AB130:AB140)</f>
        <v>9334898.1000000015</v>
      </c>
      <c r="AC142" s="24">
        <f>SUM(AC140,AC138,AC136,AC134,AC132,AC130)</f>
        <v>2315224</v>
      </c>
      <c r="AD142" s="22">
        <f>SUM(AD130:AD140)</f>
        <v>47059848.5</v>
      </c>
      <c r="AE142" s="76">
        <f>AD142*1000/L142</f>
        <v>4100.4304158813511</v>
      </c>
    </row>
    <row r="143" spans="1:31" s="20" customFormat="1">
      <c r="A143" s="49" t="s">
        <v>127</v>
      </c>
      <c r="B143" s="50" t="s">
        <v>124</v>
      </c>
      <c r="C143" s="112"/>
      <c r="D143" s="26"/>
      <c r="E143" s="26"/>
      <c r="F143" s="23">
        <f>I142/L142/1.95</f>
        <v>0</v>
      </c>
      <c r="G143" s="23">
        <f>J142/L142/0.35</f>
        <v>0</v>
      </c>
      <c r="H143" s="23">
        <f>K142/L142/0.075</f>
        <v>0</v>
      </c>
      <c r="I143" s="19"/>
      <c r="J143" s="19"/>
      <c r="K143" s="19"/>
      <c r="L143" s="19"/>
      <c r="M143" s="19"/>
      <c r="N143" s="108"/>
      <c r="O143" s="26"/>
      <c r="P143" s="23">
        <f>P142/L142</f>
        <v>0.3696284166841875</v>
      </c>
      <c r="Q143" s="23">
        <f>Q142/M142</f>
        <v>0.27820185747510739</v>
      </c>
      <c r="R143" s="26"/>
      <c r="S143" s="26"/>
      <c r="T143" s="23">
        <f>T142/S142</f>
        <v>0.54397115443378352</v>
      </c>
      <c r="U143" s="28"/>
      <c r="V143" s="28"/>
      <c r="W143" s="26">
        <f>SUM(W141,W139,W137,W135,W133,W131)</f>
        <v>1400170.4539999999</v>
      </c>
      <c r="X143" s="26"/>
      <c r="Y143" s="26"/>
      <c r="Z143" s="26">
        <f>SUM(Z141,Z139,Z137,Z135,Z133,Z131)</f>
        <v>140436</v>
      </c>
      <c r="AA143" s="29"/>
      <c r="AB143" s="30"/>
      <c r="AC143" s="26"/>
      <c r="AD143" s="30"/>
      <c r="AE143" s="77"/>
    </row>
    <row r="144" spans="1:31">
      <c r="B144" s="47" t="s">
        <v>125</v>
      </c>
      <c r="C144" s="115" t="s">
        <v>68</v>
      </c>
      <c r="D144" s="8">
        <v>384</v>
      </c>
      <c r="E144" s="8">
        <v>7</v>
      </c>
      <c r="F144" s="8">
        <v>184</v>
      </c>
      <c r="G144" s="8">
        <v>145</v>
      </c>
      <c r="H144" s="8">
        <v>1</v>
      </c>
      <c r="I144" s="9"/>
      <c r="J144" s="9"/>
      <c r="K144" s="9"/>
      <c r="L144" s="57">
        <v>200743</v>
      </c>
      <c r="M144" s="57">
        <v>105095</v>
      </c>
      <c r="N144" s="108">
        <f t="shared" si="139"/>
        <v>191.28936002749785</v>
      </c>
      <c r="O144" s="8">
        <v>690</v>
      </c>
      <c r="P144" s="8">
        <v>52461</v>
      </c>
      <c r="Q144" s="8">
        <f>17037</f>
        <v>17037</v>
      </c>
      <c r="R144" s="8">
        <v>1656</v>
      </c>
      <c r="S144" s="8">
        <v>1194</v>
      </c>
      <c r="T144" s="8">
        <v>880</v>
      </c>
      <c r="U144" s="10">
        <f>Z144+Z145</f>
        <v>730</v>
      </c>
      <c r="V144" s="11">
        <f>W144/W145</f>
        <v>0.55412993189318072</v>
      </c>
      <c r="W144" s="8">
        <v>13571</v>
      </c>
      <c r="X144" s="56">
        <v>7235</v>
      </c>
      <c r="Y144" s="8">
        <v>8288</v>
      </c>
      <c r="Z144" s="8">
        <v>15</v>
      </c>
      <c r="AA144" s="11">
        <f>AB144/AD144</f>
        <v>2.3678256068026681E-4</v>
      </c>
      <c r="AB144" s="12">
        <v>50</v>
      </c>
      <c r="AC144" s="8">
        <v>34388</v>
      </c>
      <c r="AD144" s="12">
        <f>211164.2</f>
        <v>211164.2</v>
      </c>
      <c r="AE144" s="53">
        <f>AD144*1000/L144</f>
        <v>1051.9131426749625</v>
      </c>
    </row>
    <row r="145" spans="2:31">
      <c r="B145" s="47" t="s">
        <v>125</v>
      </c>
      <c r="C145" s="116"/>
      <c r="D145" s="13"/>
      <c r="E145" s="13"/>
      <c r="F145" s="14"/>
      <c r="G145" s="14"/>
      <c r="H145" s="14"/>
      <c r="I145" s="15"/>
      <c r="J145" s="15"/>
      <c r="K145" s="15"/>
      <c r="L145" s="15"/>
      <c r="M145" s="15"/>
      <c r="N145" s="108"/>
      <c r="O145" s="13"/>
      <c r="P145" s="14">
        <f>P144/L144</f>
        <v>0.2613341436563168</v>
      </c>
      <c r="Q145" s="14">
        <f>Q144/M144</f>
        <v>0.16211047147818641</v>
      </c>
      <c r="R145" s="13"/>
      <c r="S145" s="13"/>
      <c r="T145" s="14">
        <f>T144/S144</f>
        <v>0.73701842546063656</v>
      </c>
      <c r="U145" s="16"/>
      <c r="V145" s="16"/>
      <c r="W145" s="13">
        <f>0.122*L144</f>
        <v>24490.646000000001</v>
      </c>
      <c r="X145" s="13"/>
      <c r="Y145" s="13"/>
      <c r="Z145" s="13">
        <v>715</v>
      </c>
      <c r="AA145" s="17"/>
      <c r="AB145" s="18"/>
      <c r="AC145" s="13"/>
      <c r="AD145" s="18"/>
      <c r="AE145" s="75"/>
    </row>
    <row r="146" spans="2:31">
      <c r="B146" s="47" t="s">
        <v>125</v>
      </c>
      <c r="C146" s="109" t="s">
        <v>69</v>
      </c>
      <c r="D146" s="8">
        <v>1949</v>
      </c>
      <c r="E146" s="8">
        <v>17</v>
      </c>
      <c r="F146" s="8">
        <v>1021</v>
      </c>
      <c r="G146" s="8">
        <v>529</v>
      </c>
      <c r="H146" s="8">
        <v>16</v>
      </c>
      <c r="I146" s="9"/>
      <c r="J146" s="9"/>
      <c r="K146" s="9"/>
      <c r="L146" s="57">
        <v>912812</v>
      </c>
      <c r="M146" s="57">
        <v>474900</v>
      </c>
      <c r="N146" s="108">
        <f t="shared" si="139"/>
        <v>213.51603616078665</v>
      </c>
      <c r="O146" s="8">
        <v>2370</v>
      </c>
      <c r="P146" s="8">
        <v>325268</v>
      </c>
      <c r="Q146" s="8">
        <f>125506</f>
        <v>125506</v>
      </c>
      <c r="R146" s="8">
        <v>39292</v>
      </c>
      <c r="S146" s="8">
        <v>3835</v>
      </c>
      <c r="T146" s="8">
        <v>2261</v>
      </c>
      <c r="U146" s="10">
        <f t="shared" ref="U146" si="140">Z146+Z147</f>
        <v>23212</v>
      </c>
      <c r="V146" s="11">
        <f>W146/W147</f>
        <v>0.54166972273679537</v>
      </c>
      <c r="W146" s="8">
        <v>60322</v>
      </c>
      <c r="X146" s="8">
        <v>128863</v>
      </c>
      <c r="Y146" s="8">
        <v>35808</v>
      </c>
      <c r="Z146" s="8">
        <v>51</v>
      </c>
      <c r="AA146" s="11">
        <f>AB146/AD146</f>
        <v>2.3751727065970063E-2</v>
      </c>
      <c r="AB146" s="12">
        <f>13090.8</f>
        <v>13090.8</v>
      </c>
      <c r="AC146" s="8">
        <v>177951</v>
      </c>
      <c r="AD146" s="12">
        <f>551151.5</f>
        <v>551151.5</v>
      </c>
      <c r="AE146" s="53">
        <f>AD146*1000/L146</f>
        <v>603.79519550575583</v>
      </c>
    </row>
    <row r="147" spans="2:31">
      <c r="B147" s="47" t="s">
        <v>125</v>
      </c>
      <c r="C147" s="110"/>
      <c r="D147" s="13"/>
      <c r="E147" s="13"/>
      <c r="F147" s="14"/>
      <c r="G147" s="14"/>
      <c r="H147" s="14"/>
      <c r="I147" s="15"/>
      <c r="J147" s="15"/>
      <c r="K147" s="15"/>
      <c r="L147" s="15"/>
      <c r="M147" s="15"/>
      <c r="N147" s="108"/>
      <c r="O147" s="13"/>
      <c r="P147" s="14">
        <f>P146/L146</f>
        <v>0.35633624448407775</v>
      </c>
      <c r="Q147" s="14">
        <f>Q146/M146</f>
        <v>0.26427879553590228</v>
      </c>
      <c r="R147" s="13"/>
      <c r="S147" s="13"/>
      <c r="T147" s="14">
        <f>T146/S146</f>
        <v>0.58956975228161668</v>
      </c>
      <c r="U147" s="16"/>
      <c r="V147" s="16"/>
      <c r="W147" s="13">
        <f t="shared" ref="W147" si="141">0.122*L146</f>
        <v>111363.064</v>
      </c>
      <c r="X147" s="13"/>
      <c r="Y147" s="13"/>
      <c r="Z147" s="13">
        <v>23161</v>
      </c>
      <c r="AA147" s="17"/>
      <c r="AB147" s="18"/>
      <c r="AC147" s="13"/>
      <c r="AD147" s="18"/>
      <c r="AE147" s="75"/>
    </row>
    <row r="148" spans="2:31">
      <c r="B148" s="47" t="s">
        <v>125</v>
      </c>
      <c r="C148" s="115" t="s">
        <v>70</v>
      </c>
      <c r="D148" s="8">
        <v>713</v>
      </c>
      <c r="E148" s="8">
        <v>10</v>
      </c>
      <c r="F148" s="8">
        <v>420</v>
      </c>
      <c r="G148" s="8">
        <v>195</v>
      </c>
      <c r="H148" s="8">
        <v>3</v>
      </c>
      <c r="I148" s="9"/>
      <c r="J148" s="9"/>
      <c r="K148" s="9"/>
      <c r="L148" s="57">
        <v>294009</v>
      </c>
      <c r="M148" s="57">
        <v>153633</v>
      </c>
      <c r="N148" s="108">
        <f t="shared" si="139"/>
        <v>242.50958303997498</v>
      </c>
      <c r="O148" s="8">
        <v>1088</v>
      </c>
      <c r="P148" s="8">
        <v>140748</v>
      </c>
      <c r="Q148" s="8">
        <v>65895</v>
      </c>
      <c r="R148" s="8">
        <v>7066</v>
      </c>
      <c r="S148" s="8">
        <v>1494</v>
      </c>
      <c r="T148" s="8">
        <v>744</v>
      </c>
      <c r="U148" s="10">
        <f t="shared" ref="U148" si="142">Z148+Z149</f>
        <v>412</v>
      </c>
      <c r="V148" s="11">
        <f>W148/W149</f>
        <v>0.82580833228647121</v>
      </c>
      <c r="W148" s="8">
        <v>29621</v>
      </c>
      <c r="X148" s="8">
        <v>13427</v>
      </c>
      <c r="Y148" s="8">
        <v>15625</v>
      </c>
      <c r="Z148" s="8">
        <v>15</v>
      </c>
      <c r="AA148" s="11">
        <f>AB148/AD148</f>
        <v>1.5397831538885617E-2</v>
      </c>
      <c r="AB148" s="12">
        <f>1447353.1</f>
        <v>1447353.1</v>
      </c>
      <c r="AC148" s="8">
        <v>69227</v>
      </c>
      <c r="AD148" s="105">
        <f>93997203.2</f>
        <v>93997203.200000003</v>
      </c>
      <c r="AE148" s="105">
        <f>AD148*1000/L148</f>
        <v>319708.59123360168</v>
      </c>
    </row>
    <row r="149" spans="2:31">
      <c r="B149" s="47" t="s">
        <v>125</v>
      </c>
      <c r="C149" s="116"/>
      <c r="D149" s="13"/>
      <c r="E149" s="13"/>
      <c r="F149" s="14"/>
      <c r="G149" s="14"/>
      <c r="H149" s="14"/>
      <c r="I149" s="15"/>
      <c r="J149" s="15"/>
      <c r="K149" s="15"/>
      <c r="L149" s="15"/>
      <c r="M149" s="15"/>
      <c r="N149" s="108"/>
      <c r="O149" s="13"/>
      <c r="P149" s="14">
        <f>P148/L148</f>
        <v>0.47872003918247402</v>
      </c>
      <c r="Q149" s="14">
        <f>Q148/M148</f>
        <v>0.42891175723965552</v>
      </c>
      <c r="R149" s="13"/>
      <c r="S149" s="13"/>
      <c r="T149" s="14">
        <f>T148/S148</f>
        <v>0.49799196787148592</v>
      </c>
      <c r="U149" s="16"/>
      <c r="V149" s="16"/>
      <c r="W149" s="13">
        <f t="shared" ref="W149" si="143">0.122*L148</f>
        <v>35869.097999999998</v>
      </c>
      <c r="X149" s="13"/>
      <c r="Y149" s="13"/>
      <c r="Z149" s="13">
        <v>397</v>
      </c>
      <c r="AA149" s="17"/>
      <c r="AB149" s="18"/>
      <c r="AC149" s="13"/>
      <c r="AD149" s="18"/>
      <c r="AE149" s="75"/>
    </row>
    <row r="150" spans="2:31">
      <c r="B150" s="47" t="s">
        <v>125</v>
      </c>
      <c r="C150" s="109" t="s">
        <v>71</v>
      </c>
      <c r="D150" s="8">
        <v>1099</v>
      </c>
      <c r="E150" s="8">
        <v>21</v>
      </c>
      <c r="F150" s="8">
        <v>569</v>
      </c>
      <c r="G150" s="8">
        <v>267</v>
      </c>
      <c r="H150" s="8">
        <v>29</v>
      </c>
      <c r="I150" s="9"/>
      <c r="J150" s="9"/>
      <c r="K150" s="9"/>
      <c r="L150" s="57">
        <v>500521</v>
      </c>
      <c r="M150" s="57">
        <v>265993</v>
      </c>
      <c r="N150" s="108">
        <f t="shared" si="139"/>
        <v>219.5712068025118</v>
      </c>
      <c r="O150" s="8">
        <v>1496</v>
      </c>
      <c r="P150" s="8">
        <v>187016</v>
      </c>
      <c r="Q150" s="8">
        <v>74265</v>
      </c>
      <c r="R150" s="8">
        <v>20546</v>
      </c>
      <c r="S150" s="8">
        <v>1392</v>
      </c>
      <c r="T150" s="8">
        <v>772</v>
      </c>
      <c r="U150" s="10">
        <f t="shared" ref="U150" si="144">Z150+Z151</f>
        <v>6542</v>
      </c>
      <c r="V150" s="11">
        <f>W150/W151</f>
        <v>0.54805188075992028</v>
      </c>
      <c r="W150" s="8">
        <v>33466</v>
      </c>
      <c r="X150" s="8">
        <v>61515</v>
      </c>
      <c r="Y150" s="8">
        <v>19176</v>
      </c>
      <c r="Z150" s="8">
        <v>35</v>
      </c>
      <c r="AA150" s="11">
        <f>AB150/AD150</f>
        <v>9.0391283845901282E-2</v>
      </c>
      <c r="AB150" s="12">
        <f>99718.2</f>
        <v>99718.2</v>
      </c>
      <c r="AC150" s="8">
        <v>98816</v>
      </c>
      <c r="AD150" s="12">
        <f>1103183.8</f>
        <v>1103183.8</v>
      </c>
      <c r="AE150" s="53">
        <f>AD150*1000/L150</f>
        <v>2204.0709580616999</v>
      </c>
    </row>
    <row r="151" spans="2:31">
      <c r="B151" s="47" t="s">
        <v>125</v>
      </c>
      <c r="C151" s="110"/>
      <c r="D151" s="13"/>
      <c r="E151" s="13"/>
      <c r="F151" s="14"/>
      <c r="G151" s="14"/>
      <c r="H151" s="14"/>
      <c r="I151" s="15"/>
      <c r="J151" s="15"/>
      <c r="K151" s="15"/>
      <c r="L151" s="15"/>
      <c r="M151" s="15"/>
      <c r="N151" s="108"/>
      <c r="O151" s="13"/>
      <c r="P151" s="14">
        <f>P150/L150</f>
        <v>0.37364266434375382</v>
      </c>
      <c r="Q151" s="14">
        <f>Q150/M150</f>
        <v>0.2791990766674311</v>
      </c>
      <c r="R151" s="13"/>
      <c r="S151" s="13"/>
      <c r="T151" s="14">
        <f>T150/S150</f>
        <v>0.5545977011494253</v>
      </c>
      <c r="U151" s="16"/>
      <c r="V151" s="16"/>
      <c r="W151" s="13">
        <f t="shared" ref="W151" si="145">0.122*L150</f>
        <v>61063.561999999998</v>
      </c>
      <c r="X151" s="13"/>
      <c r="Y151" s="13"/>
      <c r="Z151" s="13">
        <v>6507</v>
      </c>
      <c r="AA151" s="17"/>
      <c r="AB151" s="18"/>
      <c r="AC151" s="13"/>
      <c r="AD151" s="18"/>
      <c r="AE151" s="18"/>
    </row>
    <row r="152" spans="2:31">
      <c r="B152" s="47" t="s">
        <v>125</v>
      </c>
      <c r="C152" s="109" t="s">
        <v>72</v>
      </c>
      <c r="D152" s="8">
        <v>5291</v>
      </c>
      <c r="E152" s="8">
        <v>73</v>
      </c>
      <c r="F152" s="8">
        <v>2888</v>
      </c>
      <c r="G152" s="8">
        <v>1553</v>
      </c>
      <c r="H152" s="8">
        <v>66</v>
      </c>
      <c r="I152" s="9"/>
      <c r="J152" s="9"/>
      <c r="K152" s="9"/>
      <c r="L152" s="57">
        <v>2199143</v>
      </c>
      <c r="M152" s="57">
        <v>1170889</v>
      </c>
      <c r="N152" s="108">
        <f t="shared" si="139"/>
        <v>240.5937221908716</v>
      </c>
      <c r="O152" s="8">
        <v>5474</v>
      </c>
      <c r="P152" s="8">
        <v>832590</v>
      </c>
      <c r="Q152" s="8">
        <v>335344</v>
      </c>
      <c r="R152" s="8">
        <v>115431</v>
      </c>
      <c r="S152" s="8">
        <v>16962</v>
      </c>
      <c r="T152" s="8">
        <v>10381</v>
      </c>
      <c r="U152" s="10">
        <f t="shared" ref="U152" si="146">Z152+Z153</f>
        <v>30964</v>
      </c>
      <c r="V152" s="11">
        <f>W152/W153</f>
        <v>0.51885711097757503</v>
      </c>
      <c r="W152" s="8">
        <v>139207</v>
      </c>
      <c r="X152" s="8">
        <v>269467</v>
      </c>
      <c r="Y152" s="8">
        <v>66733</v>
      </c>
      <c r="Z152" s="8">
        <v>40</v>
      </c>
      <c r="AA152" s="11">
        <f>AB152/AD152</f>
        <v>0.10662353282866127</v>
      </c>
      <c r="AB152" s="12">
        <f>200848.7</f>
        <v>200848.7</v>
      </c>
      <c r="AC152" s="8">
        <v>803040</v>
      </c>
      <c r="AD152" s="12">
        <f>1883718.3</f>
        <v>1883718.3</v>
      </c>
      <c r="AE152" s="12">
        <f>AD152*1000/L152</f>
        <v>856.5692635722188</v>
      </c>
    </row>
    <row r="153" spans="2:31">
      <c r="B153" s="47" t="s">
        <v>125</v>
      </c>
      <c r="C153" s="110"/>
      <c r="D153" s="13"/>
      <c r="E153" s="13"/>
      <c r="F153" s="14"/>
      <c r="G153" s="14"/>
      <c r="H153" s="14"/>
      <c r="I153" s="15"/>
      <c r="J153" s="15"/>
      <c r="K153" s="15"/>
      <c r="L153" s="15"/>
      <c r="M153" s="15"/>
      <c r="N153" s="108"/>
      <c r="O153" s="13"/>
      <c r="P153" s="14">
        <f>P152/L152</f>
        <v>0.37859748092779777</v>
      </c>
      <c r="Q153" s="14">
        <f>Q152/M152</f>
        <v>0.28640118747379129</v>
      </c>
      <c r="R153" s="13"/>
      <c r="S153" s="13"/>
      <c r="T153" s="14">
        <f>T152/S152</f>
        <v>0.61201509255983966</v>
      </c>
      <c r="U153" s="16"/>
      <c r="V153" s="16"/>
      <c r="W153" s="13">
        <f t="shared" ref="W153" si="147">0.122*L152</f>
        <v>268295.446</v>
      </c>
      <c r="X153" s="13"/>
      <c r="Y153" s="13"/>
      <c r="Z153" s="13">
        <v>30924</v>
      </c>
      <c r="AA153" s="17"/>
      <c r="AB153" s="18"/>
      <c r="AC153" s="13"/>
      <c r="AD153" s="18"/>
      <c r="AE153" s="18"/>
    </row>
    <row r="154" spans="2:31">
      <c r="B154" s="47" t="s">
        <v>125</v>
      </c>
      <c r="C154" s="109" t="s">
        <v>73</v>
      </c>
      <c r="D154" s="8">
        <v>2344</v>
      </c>
      <c r="E154" s="8">
        <v>12</v>
      </c>
      <c r="F154" s="8">
        <v>1163</v>
      </c>
      <c r="G154" s="8">
        <v>689</v>
      </c>
      <c r="H154" s="8">
        <v>32</v>
      </c>
      <c r="I154" s="9"/>
      <c r="J154" s="9"/>
      <c r="K154" s="9"/>
      <c r="L154" s="57">
        <v>1007506</v>
      </c>
      <c r="M154" s="57">
        <v>521438</v>
      </c>
      <c r="N154" s="108">
        <f t="shared" si="139"/>
        <v>232.65370131790777</v>
      </c>
      <c r="O154" s="8">
        <v>2828</v>
      </c>
      <c r="P154" s="8">
        <v>302602</v>
      </c>
      <c r="Q154" s="8">
        <f>113683</f>
        <v>113683</v>
      </c>
      <c r="R154" s="8">
        <v>31642</v>
      </c>
      <c r="S154" s="8">
        <v>3215</v>
      </c>
      <c r="T154" s="8">
        <v>1381</v>
      </c>
      <c r="U154" s="10">
        <f t="shared" ref="U154" si="148">Z154+Z155</f>
        <v>7333</v>
      </c>
      <c r="V154" s="11">
        <f>W154/W155</f>
        <v>0.52616535692924971</v>
      </c>
      <c r="W154" s="8">
        <v>64674</v>
      </c>
      <c r="X154" s="8">
        <v>83642</v>
      </c>
      <c r="Y154" s="8">
        <v>25505</v>
      </c>
      <c r="Z154" s="8">
        <v>21</v>
      </c>
      <c r="AA154" s="11">
        <f>AB154/AD154</f>
        <v>0.10786962621564108</v>
      </c>
      <c r="AB154" s="12">
        <f>117360.6</f>
        <v>117360.6</v>
      </c>
      <c r="AC154" s="8">
        <v>134712</v>
      </c>
      <c r="AD154" s="12">
        <f>1087985.6</f>
        <v>1087985.6000000001</v>
      </c>
      <c r="AE154" s="53">
        <f>AD154*1000/L154</f>
        <v>1079.8800205656344</v>
      </c>
    </row>
    <row r="155" spans="2:31">
      <c r="B155" s="47" t="s">
        <v>125</v>
      </c>
      <c r="C155" s="110"/>
      <c r="D155" s="13"/>
      <c r="E155" s="13"/>
      <c r="F155" s="14"/>
      <c r="G155" s="14"/>
      <c r="H155" s="14"/>
      <c r="I155" s="15"/>
      <c r="J155" s="15"/>
      <c r="K155" s="15"/>
      <c r="L155" s="15"/>
      <c r="M155" s="15"/>
      <c r="N155" s="108"/>
      <c r="O155" s="13"/>
      <c r="P155" s="14">
        <f>P154/L154</f>
        <v>0.30034759098208846</v>
      </c>
      <c r="Q155" s="14">
        <f>Q154/M154</f>
        <v>0.21801824953302215</v>
      </c>
      <c r="R155" s="13"/>
      <c r="S155" s="13"/>
      <c r="T155" s="14">
        <f>T154/S154</f>
        <v>0.42954898911353034</v>
      </c>
      <c r="U155" s="16"/>
      <c r="V155" s="16"/>
      <c r="W155" s="13">
        <f t="shared" ref="W155" si="149">0.122*L154</f>
        <v>122915.732</v>
      </c>
      <c r="X155" s="13"/>
      <c r="Y155" s="13"/>
      <c r="Z155" s="13">
        <v>7312</v>
      </c>
      <c r="AA155" s="17"/>
      <c r="AB155" s="18"/>
      <c r="AC155" s="13"/>
      <c r="AD155" s="18"/>
      <c r="AE155" s="18"/>
    </row>
    <row r="156" spans="2:31">
      <c r="B156" s="47" t="s">
        <v>125</v>
      </c>
      <c r="C156" s="117" t="s">
        <v>74</v>
      </c>
      <c r="D156" s="8">
        <v>7387</v>
      </c>
      <c r="E156" s="8">
        <v>20</v>
      </c>
      <c r="F156" s="8">
        <v>2458</v>
      </c>
      <c r="G156" s="8">
        <v>1743</v>
      </c>
      <c r="H156" s="8">
        <v>96</v>
      </c>
      <c r="I156" s="9"/>
      <c r="J156" s="9"/>
      <c r="K156" s="9"/>
      <c r="L156" s="57">
        <v>2683049</v>
      </c>
      <c r="M156" s="57">
        <v>1419219</v>
      </c>
      <c r="N156" s="108">
        <f t="shared" si="139"/>
        <v>275.32109924194452</v>
      </c>
      <c r="O156" s="8">
        <v>8997</v>
      </c>
      <c r="P156" s="8">
        <v>1028049</v>
      </c>
      <c r="Q156" s="8">
        <v>429953</v>
      </c>
      <c r="R156" s="8">
        <v>286611</v>
      </c>
      <c r="S156" s="8">
        <v>16549</v>
      </c>
      <c r="T156" s="8">
        <v>12334</v>
      </c>
      <c r="U156" s="10">
        <f t="shared" ref="U156" si="150">Z156+Z157</f>
        <v>37405</v>
      </c>
      <c r="V156" s="11">
        <f>W156/W157</f>
        <v>0.47663842974730686</v>
      </c>
      <c r="W156" s="8">
        <v>156019</v>
      </c>
      <c r="X156" s="8">
        <v>353488</v>
      </c>
      <c r="Y156" s="8">
        <f>78984</f>
        <v>78984</v>
      </c>
      <c r="Z156" s="8">
        <v>140</v>
      </c>
      <c r="AA156" s="11">
        <f>AB156/AD156</f>
        <v>5.3461882820934864E-2</v>
      </c>
      <c r="AB156" s="12">
        <f>717662.2</f>
        <v>717662.2</v>
      </c>
      <c r="AC156" s="8">
        <v>400700</v>
      </c>
      <c r="AD156" s="12">
        <f>13423810.8</f>
        <v>13423810.800000001</v>
      </c>
      <c r="AE156" s="12">
        <f>AD156*1000/L156</f>
        <v>5003.1925618950681</v>
      </c>
    </row>
    <row r="157" spans="2:31">
      <c r="B157" s="47" t="s">
        <v>125</v>
      </c>
      <c r="C157" s="118"/>
      <c r="D157" s="13"/>
      <c r="E157" s="13"/>
      <c r="F157" s="14"/>
      <c r="G157" s="14"/>
      <c r="H157" s="14"/>
      <c r="I157" s="15"/>
      <c r="J157" s="15"/>
      <c r="K157" s="15"/>
      <c r="L157" s="15"/>
      <c r="M157" s="15"/>
      <c r="N157" s="108"/>
      <c r="O157" s="13"/>
      <c r="P157" s="14">
        <f>P156/L156</f>
        <v>0.38316445208417738</v>
      </c>
      <c r="Q157" s="14">
        <f>Q156/M156</f>
        <v>0.30295042555095442</v>
      </c>
      <c r="R157" s="13"/>
      <c r="S157" s="13"/>
      <c r="T157" s="14">
        <f>T156/S156</f>
        <v>0.74530183092633995</v>
      </c>
      <c r="U157" s="16"/>
      <c r="V157" s="16"/>
      <c r="W157" s="13">
        <f t="shared" ref="W157" si="151">0.122*L156</f>
        <v>327331.978</v>
      </c>
      <c r="X157" s="13"/>
      <c r="Y157" s="13"/>
      <c r="Z157" s="13">
        <v>37265</v>
      </c>
      <c r="AA157" s="17"/>
      <c r="AB157" s="18"/>
      <c r="AC157" s="13"/>
      <c r="AD157" s="18"/>
      <c r="AE157" s="18"/>
    </row>
    <row r="158" spans="2:31">
      <c r="B158" s="47" t="s">
        <v>125</v>
      </c>
      <c r="C158" s="109" t="s">
        <v>75</v>
      </c>
      <c r="D158" s="8">
        <v>3912</v>
      </c>
      <c r="E158" s="8">
        <v>25</v>
      </c>
      <c r="F158" s="8">
        <v>1854</v>
      </c>
      <c r="G158" s="8">
        <v>1300</v>
      </c>
      <c r="H158" s="8">
        <v>82</v>
      </c>
      <c r="I158" s="9"/>
      <c r="J158" s="9"/>
      <c r="K158" s="9"/>
      <c r="L158" s="57">
        <v>2241519</v>
      </c>
      <c r="M158" s="57">
        <v>1196807</v>
      </c>
      <c r="N158" s="108">
        <f t="shared" si="139"/>
        <v>174.52450771106558</v>
      </c>
      <c r="O158" s="8">
        <v>5712</v>
      </c>
      <c r="P158" s="8">
        <v>571324</v>
      </c>
      <c r="Q158" s="8">
        <v>208148</v>
      </c>
      <c r="R158" s="8">
        <v>95926</v>
      </c>
      <c r="S158" s="8">
        <v>40131</v>
      </c>
      <c r="T158" s="8">
        <v>14875</v>
      </c>
      <c r="U158" s="10">
        <f t="shared" ref="U158" si="152">Z158+Z159</f>
        <v>14351</v>
      </c>
      <c r="V158" s="11">
        <f>W158/W159</f>
        <v>0.34700926864883103</v>
      </c>
      <c r="W158" s="8">
        <v>94895</v>
      </c>
      <c r="X158" s="8">
        <v>191885</v>
      </c>
      <c r="Y158" s="8">
        <f>64918</f>
        <v>64918</v>
      </c>
      <c r="Z158" s="8">
        <v>106</v>
      </c>
      <c r="AA158" s="11">
        <f>AB158/AD158</f>
        <v>8.0900399502243925E-2</v>
      </c>
      <c r="AB158" s="12">
        <f>279233.4</f>
        <v>279233.40000000002</v>
      </c>
      <c r="AC158" s="8">
        <v>244763</v>
      </c>
      <c r="AD158" s="12">
        <f>3451570.1</f>
        <v>3451570.1</v>
      </c>
      <c r="AE158" s="12">
        <f>AD158*1000/L158</f>
        <v>1539.8353081102591</v>
      </c>
    </row>
    <row r="159" spans="2:31">
      <c r="B159" s="47" t="s">
        <v>125</v>
      </c>
      <c r="C159" s="110"/>
      <c r="D159" s="13"/>
      <c r="E159" s="13"/>
      <c r="F159" s="14"/>
      <c r="G159" s="14"/>
      <c r="H159" s="14"/>
      <c r="I159" s="15"/>
      <c r="J159" s="15"/>
      <c r="K159" s="15"/>
      <c r="L159" s="15"/>
      <c r="M159" s="15"/>
      <c r="N159" s="108"/>
      <c r="O159" s="13"/>
      <c r="P159" s="14">
        <f>P158/L158</f>
        <v>0.25488251493741521</v>
      </c>
      <c r="Q159" s="14">
        <f>Q158/M158</f>
        <v>0.17391943730275641</v>
      </c>
      <c r="R159" s="13"/>
      <c r="S159" s="13"/>
      <c r="T159" s="14">
        <f>T158/S158</f>
        <v>0.37066108494679922</v>
      </c>
      <c r="U159" s="16"/>
      <c r="V159" s="16"/>
      <c r="W159" s="13">
        <f t="shared" ref="W159" si="153">0.122*L158</f>
        <v>273465.31799999997</v>
      </c>
      <c r="X159" s="13"/>
      <c r="Y159" s="13"/>
      <c r="Z159" s="13">
        <v>14245</v>
      </c>
      <c r="AA159" s="17"/>
      <c r="AB159" s="18"/>
      <c r="AC159" s="13"/>
      <c r="AD159" s="18"/>
      <c r="AE159" s="18"/>
    </row>
    <row r="160" spans="2:31">
      <c r="B160" s="47" t="s">
        <v>125</v>
      </c>
      <c r="C160" s="109" t="s">
        <v>76</v>
      </c>
      <c r="D160" s="8">
        <v>8261</v>
      </c>
      <c r="E160" s="8">
        <v>28</v>
      </c>
      <c r="F160" s="8">
        <v>4438</v>
      </c>
      <c r="G160" s="8">
        <v>1061</v>
      </c>
      <c r="H160" s="8">
        <v>123</v>
      </c>
      <c r="I160" s="9"/>
      <c r="J160" s="9"/>
      <c r="K160" s="9"/>
      <c r="L160" s="57">
        <v>2525085</v>
      </c>
      <c r="M160" s="57">
        <v>1353454</v>
      </c>
      <c r="N160" s="108">
        <f t="shared" si="139"/>
        <v>327.15730361552187</v>
      </c>
      <c r="O160" s="8">
        <v>6718</v>
      </c>
      <c r="P160" s="8">
        <v>1063813</v>
      </c>
      <c r="Q160" s="8">
        <v>434911</v>
      </c>
      <c r="R160" s="8">
        <v>146463</v>
      </c>
      <c r="S160" s="8">
        <v>13385</v>
      </c>
      <c r="T160" s="8">
        <v>7617</v>
      </c>
      <c r="U160" s="10">
        <f t="shared" ref="U160" si="154">Z160+Z161</f>
        <v>13162</v>
      </c>
      <c r="V160" s="11">
        <f>W160/W161</f>
        <v>0.67613695328613677</v>
      </c>
      <c r="W160" s="8">
        <v>208291</v>
      </c>
      <c r="X160" s="8">
        <v>323575</v>
      </c>
      <c r="Y160" s="8">
        <f>97338</f>
        <v>97338</v>
      </c>
      <c r="Z160" s="8">
        <v>90</v>
      </c>
      <c r="AA160" s="11">
        <f>AB160/AD160</f>
        <v>0.19331544029647407</v>
      </c>
      <c r="AB160" s="12">
        <f>689335.1</f>
        <v>689335.1</v>
      </c>
      <c r="AC160" s="8">
        <v>585652</v>
      </c>
      <c r="AD160" s="12">
        <f>3565856.4</f>
        <v>3565856.4</v>
      </c>
      <c r="AE160" s="12">
        <f>AD160*1000/L160</f>
        <v>1412.1728179447425</v>
      </c>
    </row>
    <row r="161" spans="1:31">
      <c r="B161" s="47" t="s">
        <v>125</v>
      </c>
      <c r="C161" s="110"/>
      <c r="D161" s="13"/>
      <c r="E161" s="13"/>
      <c r="F161" s="14"/>
      <c r="G161" s="14"/>
      <c r="H161" s="14"/>
      <c r="I161" s="15"/>
      <c r="J161" s="15"/>
      <c r="K161" s="15"/>
      <c r="L161" s="15"/>
      <c r="M161" s="15"/>
      <c r="N161" s="108"/>
      <c r="O161" s="13"/>
      <c r="P161" s="14">
        <f>P160/L160</f>
        <v>0.42129789690248048</v>
      </c>
      <c r="Q161" s="14">
        <f>Q160/M160</f>
        <v>0.32133415690522177</v>
      </c>
      <c r="R161" s="13"/>
      <c r="S161" s="13"/>
      <c r="T161" s="14">
        <f>T160/S160</f>
        <v>0.56906985431453116</v>
      </c>
      <c r="U161" s="16"/>
      <c r="V161" s="16"/>
      <c r="W161" s="13">
        <f t="shared" ref="W161" si="155">0.122*L160</f>
        <v>308060.37</v>
      </c>
      <c r="X161" s="13"/>
      <c r="Y161" s="13"/>
      <c r="Z161" s="13">
        <v>13072</v>
      </c>
      <c r="AA161" s="17"/>
      <c r="AB161" s="18"/>
      <c r="AC161" s="13"/>
      <c r="AD161" s="18"/>
      <c r="AE161" s="18"/>
    </row>
    <row r="162" spans="1:31">
      <c r="B162" s="47" t="s">
        <v>125</v>
      </c>
      <c r="C162" s="109" t="s">
        <v>77</v>
      </c>
      <c r="D162" s="8">
        <v>4620</v>
      </c>
      <c r="E162" s="8">
        <v>24</v>
      </c>
      <c r="F162" s="8">
        <v>2185</v>
      </c>
      <c r="G162" s="8">
        <v>1300</v>
      </c>
      <c r="H162" s="8">
        <v>88</v>
      </c>
      <c r="I162" s="9"/>
      <c r="J162" s="9"/>
      <c r="K162" s="9"/>
      <c r="L162" s="57">
        <v>2577335</v>
      </c>
      <c r="M162" s="57">
        <v>1363457</v>
      </c>
      <c r="N162" s="108">
        <f t="shared" si="139"/>
        <v>179.25492805553023</v>
      </c>
      <c r="O162" s="8">
        <v>6061</v>
      </c>
      <c r="P162" s="8">
        <v>814165</v>
      </c>
      <c r="Q162" s="8">
        <v>354668</v>
      </c>
      <c r="R162" s="8">
        <v>139277</v>
      </c>
      <c r="S162" s="8">
        <v>19593</v>
      </c>
      <c r="T162" s="8">
        <v>12010</v>
      </c>
      <c r="U162" s="10">
        <f t="shared" ref="U162" si="156">Z162+Z163</f>
        <v>17888</v>
      </c>
      <c r="V162" s="11">
        <f>W162/W163</f>
        <v>0.40659612593221611</v>
      </c>
      <c r="W162" s="8">
        <v>127848</v>
      </c>
      <c r="X162" s="8">
        <v>360149</v>
      </c>
      <c r="Y162" s="8">
        <v>70324</v>
      </c>
      <c r="Z162" s="8">
        <v>164</v>
      </c>
      <c r="AA162" s="11">
        <f>AB162/AD162</f>
        <v>2.1307760457992134E-3</v>
      </c>
      <c r="AB162" s="12">
        <f>66743.9</f>
        <v>66743.899999999994</v>
      </c>
      <c r="AC162" s="8">
        <v>263202</v>
      </c>
      <c r="AD162" s="12">
        <f>31323751.8</f>
        <v>31323751.800000001</v>
      </c>
      <c r="AE162" s="12">
        <f>AD162*1000/L162</f>
        <v>12153.543020212739</v>
      </c>
    </row>
    <row r="163" spans="1:31">
      <c r="B163" s="47" t="s">
        <v>125</v>
      </c>
      <c r="C163" s="110"/>
      <c r="D163" s="13"/>
      <c r="E163" s="13"/>
      <c r="F163" s="14"/>
      <c r="G163" s="14"/>
      <c r="H163" s="14"/>
      <c r="I163" s="15"/>
      <c r="J163" s="15"/>
      <c r="K163" s="15"/>
      <c r="L163" s="15"/>
      <c r="M163" s="15"/>
      <c r="N163" s="108"/>
      <c r="O163" s="13"/>
      <c r="P163" s="14">
        <f>P162/L162</f>
        <v>0.31589413095309687</v>
      </c>
      <c r="Q163" s="14">
        <f>Q162/M162</f>
        <v>0.26012408165420692</v>
      </c>
      <c r="R163" s="13"/>
      <c r="S163" s="13"/>
      <c r="T163" s="14">
        <f>T162/S162</f>
        <v>0.61297402133414991</v>
      </c>
      <c r="U163" s="16"/>
      <c r="V163" s="16"/>
      <c r="W163" s="13">
        <f t="shared" ref="W163" si="157">0.122*L162</f>
        <v>314434.87</v>
      </c>
      <c r="X163" s="13"/>
      <c r="Y163" s="13"/>
      <c r="Z163" s="13">
        <v>17724</v>
      </c>
      <c r="AA163" s="17"/>
      <c r="AB163" s="18"/>
      <c r="AC163" s="13"/>
      <c r="AD163" s="18"/>
      <c r="AE163" s="18"/>
    </row>
    <row r="164" spans="1:31">
      <c r="B164" s="47" t="s">
        <v>125</v>
      </c>
      <c r="C164" s="109" t="s">
        <v>78</v>
      </c>
      <c r="D164" s="8">
        <v>5191</v>
      </c>
      <c r="E164" s="8">
        <v>40</v>
      </c>
      <c r="F164" s="8">
        <v>2744</v>
      </c>
      <c r="G164" s="8">
        <v>1214</v>
      </c>
      <c r="H164" s="8">
        <v>74</v>
      </c>
      <c r="I164" s="9"/>
      <c r="J164" s="9"/>
      <c r="K164" s="9"/>
      <c r="L164" s="57">
        <v>1829096</v>
      </c>
      <c r="M164" s="57">
        <v>973956</v>
      </c>
      <c r="N164" s="108">
        <f t="shared" ref="N164:N182" si="158">D164/L164*100000</f>
        <v>283.801396974243</v>
      </c>
      <c r="O164" s="8">
        <v>4771</v>
      </c>
      <c r="P164" s="8">
        <v>688223</v>
      </c>
      <c r="Q164" s="8">
        <v>312372</v>
      </c>
      <c r="R164" s="8">
        <v>143369</v>
      </c>
      <c r="S164" s="8">
        <v>6177</v>
      </c>
      <c r="T164" s="8">
        <v>3024</v>
      </c>
      <c r="U164" s="10">
        <f t="shared" ref="U164" si="159">Z164+Z165</f>
        <v>17419</v>
      </c>
      <c r="V164" s="11">
        <f>W164/W165</f>
        <v>0.61724480289716888</v>
      </c>
      <c r="W164" s="8">
        <v>137738</v>
      </c>
      <c r="X164" s="8">
        <v>346762</v>
      </c>
      <c r="Y164" s="8">
        <v>77899</v>
      </c>
      <c r="Z164" s="8">
        <v>81</v>
      </c>
      <c r="AA164" s="11">
        <f>AB164/AD164</f>
        <v>0.10669968102579146</v>
      </c>
      <c r="AB164" s="12">
        <f>195483.6</f>
        <v>195483.6</v>
      </c>
      <c r="AC164" s="8">
        <v>293441</v>
      </c>
      <c r="AD164" s="12">
        <f>1832091.7</f>
        <v>1832091.7</v>
      </c>
      <c r="AE164" s="12">
        <f>AD164*1000/L164</f>
        <v>1001.6378035925944</v>
      </c>
    </row>
    <row r="165" spans="1:31">
      <c r="B165" s="47" t="s">
        <v>125</v>
      </c>
      <c r="C165" s="110"/>
      <c r="D165" s="13"/>
      <c r="E165" s="13"/>
      <c r="F165" s="14"/>
      <c r="G165" s="14"/>
      <c r="H165" s="14"/>
      <c r="I165" s="15"/>
      <c r="J165" s="15"/>
      <c r="K165" s="15"/>
      <c r="L165" s="15"/>
      <c r="M165" s="15"/>
      <c r="N165" s="108"/>
      <c r="O165" s="13"/>
      <c r="P165" s="14">
        <f>P164/L164</f>
        <v>0.37626401238644663</v>
      </c>
      <c r="Q165" s="14">
        <f>Q164/M164</f>
        <v>0.32072496088118968</v>
      </c>
      <c r="R165" s="13"/>
      <c r="S165" s="13"/>
      <c r="T165" s="14">
        <f>T164/S164</f>
        <v>0.48955803788246721</v>
      </c>
      <c r="U165" s="16"/>
      <c r="V165" s="16"/>
      <c r="W165" s="13">
        <f t="shared" ref="W165" si="160">0.122*L164</f>
        <v>223149.712</v>
      </c>
      <c r="X165" s="13"/>
      <c r="Y165" s="13"/>
      <c r="Z165" s="13">
        <v>17338</v>
      </c>
      <c r="AA165" s="17"/>
      <c r="AB165" s="18"/>
      <c r="AC165" s="13"/>
      <c r="AD165" s="18"/>
      <c r="AE165" s="18"/>
    </row>
    <row r="166" spans="1:31">
      <c r="B166" s="47" t="s">
        <v>125</v>
      </c>
      <c r="C166" s="109" t="s">
        <v>79</v>
      </c>
      <c r="D166" s="8">
        <v>2273</v>
      </c>
      <c r="E166" s="8">
        <v>15</v>
      </c>
      <c r="F166" s="8">
        <v>748</v>
      </c>
      <c r="G166" s="8">
        <v>612</v>
      </c>
      <c r="H166" s="8">
        <v>32</v>
      </c>
      <c r="I166" s="9"/>
      <c r="J166" s="9"/>
      <c r="K166" s="9"/>
      <c r="L166" s="57">
        <v>1007604</v>
      </c>
      <c r="M166" s="57">
        <v>530465</v>
      </c>
      <c r="N166" s="108">
        <f t="shared" si="158"/>
        <v>225.58465428878807</v>
      </c>
      <c r="O166" s="8">
        <v>2814</v>
      </c>
      <c r="P166" s="8">
        <v>271977</v>
      </c>
      <c r="Q166" s="8">
        <v>100584</v>
      </c>
      <c r="R166" s="8">
        <v>68180</v>
      </c>
      <c r="S166" s="8">
        <v>9790</v>
      </c>
      <c r="T166" s="8">
        <v>5757</v>
      </c>
      <c r="U166" s="10">
        <f t="shared" ref="U166" si="161">Z166+Z167</f>
        <v>8253</v>
      </c>
      <c r="V166" s="11">
        <f>W166/W167</f>
        <v>0.45153375047613359</v>
      </c>
      <c r="W166" s="8">
        <v>55506</v>
      </c>
      <c r="X166" s="8">
        <v>85822</v>
      </c>
      <c r="Y166" s="8">
        <v>31217</v>
      </c>
      <c r="Z166" s="8">
        <v>64</v>
      </c>
      <c r="AA166" s="11">
        <f>AB166/AD166</f>
        <v>0.18934430592389567</v>
      </c>
      <c r="AB166" s="12">
        <f>396637.6</f>
        <v>396637.6</v>
      </c>
      <c r="AC166" s="8">
        <v>143964</v>
      </c>
      <c r="AD166" s="12">
        <f>2094795.5</f>
        <v>2094795.5</v>
      </c>
      <c r="AE166" s="12">
        <f>AD166*1000/L166</f>
        <v>2078.9868837360709</v>
      </c>
    </row>
    <row r="167" spans="1:31">
      <c r="B167" s="47" t="s">
        <v>125</v>
      </c>
      <c r="C167" s="110"/>
      <c r="D167" s="13"/>
      <c r="E167" s="13"/>
      <c r="F167" s="14">
        <f>I166/L166/1.95</f>
        <v>0</v>
      </c>
      <c r="G167" s="14">
        <f>J166/L166/0.35</f>
        <v>0</v>
      </c>
      <c r="H167" s="14">
        <f>K166/L166/0.075</f>
        <v>0</v>
      </c>
      <c r="I167" s="15"/>
      <c r="J167" s="15"/>
      <c r="K167" s="15"/>
      <c r="L167" s="15"/>
      <c r="M167" s="15"/>
      <c r="N167" s="108"/>
      <c r="O167" s="13"/>
      <c r="P167" s="14">
        <f>P166/L166</f>
        <v>0.26992449414650993</v>
      </c>
      <c r="Q167" s="14">
        <f>Q166/M166</f>
        <v>0.18961477194536869</v>
      </c>
      <c r="R167" s="13"/>
      <c r="S167" s="13"/>
      <c r="T167" s="14">
        <f>T166/S166</f>
        <v>0.58804902962206329</v>
      </c>
      <c r="U167" s="16"/>
      <c r="V167" s="16"/>
      <c r="W167" s="13">
        <f t="shared" ref="W167" si="162">0.122*L166</f>
        <v>122927.68799999999</v>
      </c>
      <c r="X167" s="13"/>
      <c r="Y167" s="13"/>
      <c r="Z167" s="13">
        <v>8189</v>
      </c>
      <c r="AA167" s="17"/>
      <c r="AB167" s="18"/>
      <c r="AC167" s="13"/>
      <c r="AD167" s="18"/>
      <c r="AE167" s="18"/>
    </row>
    <row r="168" spans="1:31" s="20" customFormat="1">
      <c r="A168" s="49" t="s">
        <v>127</v>
      </c>
      <c r="B168" s="50" t="s">
        <v>125</v>
      </c>
      <c r="C168" s="111" t="s">
        <v>80</v>
      </c>
      <c r="D168" s="24">
        <f t="shared" ref="D168:U168" si="163">SUM(D166,D164,D162,D160,D158,D156,D154,D152,D150,D148,D146,D144)</f>
        <v>43424</v>
      </c>
      <c r="E168" s="24">
        <f t="shared" si="163"/>
        <v>292</v>
      </c>
      <c r="F168" s="24">
        <f t="shared" si="163"/>
        <v>20672</v>
      </c>
      <c r="G168" s="24">
        <f t="shared" si="163"/>
        <v>10608</v>
      </c>
      <c r="H168" s="24">
        <f t="shared" si="163"/>
        <v>642</v>
      </c>
      <c r="I168" s="19">
        <f t="shared" si="163"/>
        <v>0</v>
      </c>
      <c r="J168" s="19">
        <f t="shared" si="163"/>
        <v>0</v>
      </c>
      <c r="K168" s="19">
        <f t="shared" si="163"/>
        <v>0</v>
      </c>
      <c r="L168" s="19">
        <f t="shared" si="163"/>
        <v>17978422</v>
      </c>
      <c r="M168" s="19">
        <f t="shared" si="163"/>
        <v>9529306</v>
      </c>
      <c r="N168" s="108">
        <f t="shared" si="158"/>
        <v>241.53399002426355</v>
      </c>
      <c r="O168" s="24">
        <f t="shared" si="163"/>
        <v>49019</v>
      </c>
      <c r="P168" s="24">
        <f>P144+P146+P148+P150+P152+P154+P156+P158+P160+P162+P164+P166</f>
        <v>6278236</v>
      </c>
      <c r="Q168" s="24">
        <f t="shared" si="163"/>
        <v>2572366</v>
      </c>
      <c r="R168" s="24">
        <f>R144+R146+R148+R150+R152+R154+R156+R158+R160+R162+R164+R166</f>
        <v>1095459</v>
      </c>
      <c r="S168" s="24">
        <f t="shared" si="163"/>
        <v>133717</v>
      </c>
      <c r="T168" s="24">
        <f t="shared" si="163"/>
        <v>72036</v>
      </c>
      <c r="U168" s="24">
        <f t="shared" si="163"/>
        <v>177671</v>
      </c>
      <c r="V168" s="21">
        <f>W168/W169</f>
        <v>0.51115830255464834</v>
      </c>
      <c r="W168" s="24">
        <f>SUM(W166,W164,W162,W160,W158,W156,W154,W152,W150,W148,W146,W144)</f>
        <v>1121158</v>
      </c>
      <c r="X168" s="24">
        <f>SUM(X166,X164,X162,X160,X158,X156,X154,X152,X150,X148,X146,X144)</f>
        <v>2225830</v>
      </c>
      <c r="Y168" s="24">
        <f>SUM(Y166,Y164,Y162,Y160,Y158,Y156,Y154,Y152,Y150,Y148,Y146,Y144)</f>
        <v>591815</v>
      </c>
      <c r="Z168" s="24">
        <f>SUM(Z166,Z164,Z162,Z160,Z158,Z156,Z154,Z152,Z150,Z148,Z146,Z144)</f>
        <v>822</v>
      </c>
      <c r="AA168" s="21">
        <f>AB168/AD168</f>
        <v>2.7332031294205167E-2</v>
      </c>
      <c r="AB168" s="22">
        <f>SUM(AB144:AB166)</f>
        <v>4223517.2</v>
      </c>
      <c r="AC168" s="24">
        <f>SUM(AC166,AC164,AC162,AC160,AC158,AC156,AC154,AC152,AC150,AC148,AC146,AC144)</f>
        <v>3249856</v>
      </c>
      <c r="AD168" s="22">
        <f>SUM(AD144:AD166)</f>
        <v>154526282.89999998</v>
      </c>
      <c r="AE168" s="22">
        <f>AD168*1000/L168</f>
        <v>8595.0971058527812</v>
      </c>
    </row>
    <row r="169" spans="1:31" s="20" customFormat="1">
      <c r="A169" s="49" t="s">
        <v>127</v>
      </c>
      <c r="B169" s="50" t="s">
        <v>125</v>
      </c>
      <c r="C169" s="112"/>
      <c r="D169" s="26"/>
      <c r="E169" s="26"/>
      <c r="F169" s="23">
        <f>I168/L168/1.95</f>
        <v>0</v>
      </c>
      <c r="G169" s="23">
        <f>J168/L168/0.35</f>
        <v>0</v>
      </c>
      <c r="H169" s="23">
        <f>K168/L168/0.075</f>
        <v>0</v>
      </c>
      <c r="I169" s="19"/>
      <c r="J169" s="19"/>
      <c r="K169" s="19"/>
      <c r="L169" s="19"/>
      <c r="M169" s="19"/>
      <c r="N169" s="108"/>
      <c r="O169" s="26"/>
      <c r="P169" s="23">
        <f>P168/L168</f>
        <v>0.34920951349345342</v>
      </c>
      <c r="Q169" s="23">
        <f>Q168/M168</f>
        <v>0.26994263800532797</v>
      </c>
      <c r="R169" s="26"/>
      <c r="S169" s="26"/>
      <c r="T169" s="23">
        <f>T168/S168</f>
        <v>0.53871983367858989</v>
      </c>
      <c r="U169" s="28"/>
      <c r="V169" s="28"/>
      <c r="W169" s="26">
        <f>SUM(W167,W165,W163,W161,W159,W157,W155,W153,W151,W149,W147,W145)</f>
        <v>2193367.4840000002</v>
      </c>
      <c r="X169" s="26"/>
      <c r="Y169" s="26"/>
      <c r="Z169" s="26">
        <f>SUM(Z167,Z165,Z163,Z161,Z159,Z157,Z155,Z153,Z151,Z149,Z147,Z145)</f>
        <v>176849</v>
      </c>
      <c r="AA169" s="29"/>
      <c r="AB169" s="30"/>
      <c r="AC169" s="26"/>
      <c r="AD169" s="30"/>
      <c r="AE169" s="30"/>
    </row>
    <row r="170" spans="1:31" s="95" customFormat="1">
      <c r="A170" s="90"/>
      <c r="B170" s="91" t="s">
        <v>126</v>
      </c>
      <c r="C170" s="115" t="s">
        <v>81</v>
      </c>
      <c r="D170" s="92">
        <v>1808</v>
      </c>
      <c r="E170" s="92">
        <v>22</v>
      </c>
      <c r="F170" s="92">
        <v>556</v>
      </c>
      <c r="G170" s="92">
        <v>842</v>
      </c>
      <c r="H170" s="92">
        <v>51</v>
      </c>
      <c r="I170" s="92"/>
      <c r="J170" s="92"/>
      <c r="K170" s="92"/>
      <c r="L170" s="57">
        <v>902437</v>
      </c>
      <c r="M170" s="57">
        <v>463378</v>
      </c>
      <c r="N170" s="108">
        <f t="shared" si="158"/>
        <v>200.34639537164367</v>
      </c>
      <c r="O170" s="92">
        <v>4207</v>
      </c>
      <c r="P170" s="92">
        <v>323223</v>
      </c>
      <c r="Q170" s="92">
        <v>119368</v>
      </c>
      <c r="R170" s="92">
        <v>31338</v>
      </c>
      <c r="S170" s="92">
        <v>3886</v>
      </c>
      <c r="T170" s="92">
        <v>2165</v>
      </c>
      <c r="U170" s="93">
        <f>Z170+Z171</f>
        <v>12708</v>
      </c>
      <c r="V170" s="94">
        <f>W170/W171</f>
        <v>0.42258978270805048</v>
      </c>
      <c r="W170" s="92">
        <v>46526</v>
      </c>
      <c r="X170" s="92">
        <v>107308</v>
      </c>
      <c r="Y170" s="92">
        <v>35587</v>
      </c>
      <c r="Z170" s="92">
        <v>45</v>
      </c>
      <c r="AA170" s="94">
        <f>AB170/AD170</f>
        <v>0.17438608431044142</v>
      </c>
      <c r="AB170" s="53">
        <f>1011361.6</f>
        <v>1011361.6</v>
      </c>
      <c r="AC170" s="92">
        <v>208724</v>
      </c>
      <c r="AD170" s="53">
        <f>5799554.5</f>
        <v>5799554.5</v>
      </c>
      <c r="AE170" s="53">
        <f>AD170*1000/L170</f>
        <v>6426.5477811747523</v>
      </c>
    </row>
    <row r="171" spans="1:31" s="95" customFormat="1">
      <c r="A171" s="90"/>
      <c r="B171" s="91" t="s">
        <v>126</v>
      </c>
      <c r="C171" s="116"/>
      <c r="D171" s="96"/>
      <c r="E171" s="96"/>
      <c r="F171" s="97"/>
      <c r="G171" s="97"/>
      <c r="H171" s="97"/>
      <c r="I171" s="96"/>
      <c r="J171" s="96"/>
      <c r="K171" s="96"/>
      <c r="L171" s="15"/>
      <c r="M171" s="15"/>
      <c r="N171" s="108"/>
      <c r="O171" s="96"/>
      <c r="P171" s="97">
        <f>P170/L170</f>
        <v>0.35816683048234949</v>
      </c>
      <c r="Q171" s="97">
        <f>Q170/M170</f>
        <v>0.25760394321698482</v>
      </c>
      <c r="R171" s="96"/>
      <c r="S171" s="96"/>
      <c r="T171" s="97">
        <f>T170/S170</f>
        <v>0.55712815234173962</v>
      </c>
      <c r="U171" s="98"/>
      <c r="V171" s="98"/>
      <c r="W171" s="96">
        <f>0.122*L170</f>
        <v>110097.314</v>
      </c>
      <c r="X171" s="96"/>
      <c r="Y171" s="96"/>
      <c r="Z171" s="96">
        <v>12663</v>
      </c>
      <c r="AA171" s="99"/>
      <c r="AB171" s="75"/>
      <c r="AC171" s="96"/>
      <c r="AD171" s="75"/>
      <c r="AE171" s="75"/>
    </row>
    <row r="172" spans="1:31">
      <c r="B172" s="47" t="s">
        <v>126</v>
      </c>
      <c r="C172" s="109" t="s">
        <v>82</v>
      </c>
      <c r="D172" s="8">
        <v>683</v>
      </c>
      <c r="E172" s="104" t="s">
        <v>132</v>
      </c>
      <c r="F172" s="8">
        <v>272</v>
      </c>
      <c r="G172" s="8">
        <v>184</v>
      </c>
      <c r="H172" s="8">
        <v>7</v>
      </c>
      <c r="I172" s="9"/>
      <c r="J172" s="9"/>
      <c r="K172" s="9"/>
      <c r="L172" s="57">
        <v>298666</v>
      </c>
      <c r="M172" s="57">
        <v>149071</v>
      </c>
      <c r="N172" s="108">
        <f t="shared" si="158"/>
        <v>228.68354616862982</v>
      </c>
      <c r="O172" s="8">
        <v>924</v>
      </c>
      <c r="P172" s="8">
        <v>80328</v>
      </c>
      <c r="Q172" s="8">
        <f>29899</f>
        <v>29899</v>
      </c>
      <c r="R172" s="8">
        <v>12270</v>
      </c>
      <c r="S172" s="8">
        <v>1147</v>
      </c>
      <c r="T172" s="8">
        <v>636</v>
      </c>
      <c r="U172" s="10">
        <f t="shared" ref="U172" si="164">Z172+Z173</f>
        <v>1560</v>
      </c>
      <c r="V172" s="11">
        <f>W172/W173</f>
        <v>0.71657434539794607</v>
      </c>
      <c r="W172" s="8">
        <v>26110</v>
      </c>
      <c r="X172" s="8">
        <v>32873</v>
      </c>
      <c r="Y172" s="8">
        <v>20412</v>
      </c>
      <c r="Z172" s="8">
        <v>16</v>
      </c>
      <c r="AA172" s="11">
        <f>AB172/AD172</f>
        <v>3.9279904606266861E-2</v>
      </c>
      <c r="AB172" s="12">
        <f>52459</f>
        <v>52459</v>
      </c>
      <c r="AC172" s="8">
        <v>73075</v>
      </c>
      <c r="AD172" s="12">
        <f>1335517.5</f>
        <v>1335517.5</v>
      </c>
      <c r="AE172" s="53">
        <f>AD172*1000/L172</f>
        <v>4471.6087535909683</v>
      </c>
    </row>
    <row r="173" spans="1:31">
      <c r="B173" s="47" t="s">
        <v>126</v>
      </c>
      <c r="C173" s="110"/>
      <c r="D173" s="13"/>
      <c r="E173" s="13"/>
      <c r="F173" s="14"/>
      <c r="G173" s="14"/>
      <c r="H173" s="14"/>
      <c r="I173" s="15"/>
      <c r="J173" s="15"/>
      <c r="K173" s="15"/>
      <c r="L173" s="15"/>
      <c r="M173" s="15"/>
      <c r="N173" s="108"/>
      <c r="O173" s="13"/>
      <c r="P173" s="14">
        <f>P172/L172</f>
        <v>0.26895595749097656</v>
      </c>
      <c r="Q173" s="14">
        <f>Q172/M172</f>
        <v>0.2005688564509529</v>
      </c>
      <c r="R173" s="13"/>
      <c r="S173" s="13"/>
      <c r="T173" s="14">
        <f>T172/S172</f>
        <v>0.55448997384481258</v>
      </c>
      <c r="U173" s="16"/>
      <c r="V173" s="16"/>
      <c r="W173" s="13">
        <f t="shared" ref="W173" si="165">0.122*L172</f>
        <v>36437.252</v>
      </c>
      <c r="X173" s="13"/>
      <c r="Y173" s="13"/>
      <c r="Z173" s="13">
        <v>1544</v>
      </c>
      <c r="AA173" s="17"/>
      <c r="AB173" s="18"/>
      <c r="AC173" s="13"/>
      <c r="AD173" s="18"/>
      <c r="AE173" s="75"/>
    </row>
    <row r="174" spans="1:31">
      <c r="B174" s="47" t="s">
        <v>126</v>
      </c>
      <c r="C174" s="109" t="s">
        <v>83</v>
      </c>
      <c r="D174" s="8">
        <v>3247</v>
      </c>
      <c r="E174" s="8">
        <v>25</v>
      </c>
      <c r="F174" s="8">
        <v>1742</v>
      </c>
      <c r="G174" s="8">
        <v>1082</v>
      </c>
      <c r="H174" s="8">
        <v>55</v>
      </c>
      <c r="I174" s="9"/>
      <c r="J174" s="9"/>
      <c r="K174" s="9"/>
      <c r="L174" s="57">
        <v>1807260</v>
      </c>
      <c r="M174" s="57">
        <v>933941</v>
      </c>
      <c r="N174" s="108">
        <f t="shared" si="158"/>
        <v>179.66424310835188</v>
      </c>
      <c r="O174" s="8">
        <v>3240</v>
      </c>
      <c r="P174" s="8">
        <v>585930</v>
      </c>
      <c r="Q174" s="8">
        <v>217438</v>
      </c>
      <c r="R174" s="8">
        <v>102771</v>
      </c>
      <c r="S174" s="8">
        <v>6196</v>
      </c>
      <c r="T174" s="8">
        <v>3013</v>
      </c>
      <c r="U174" s="10">
        <f t="shared" ref="U174" si="166">Z174+Z175</f>
        <v>10010</v>
      </c>
      <c r="V174" s="11">
        <f>W174/W175</f>
        <v>0.41269792891802698</v>
      </c>
      <c r="W174" s="8">
        <v>90994</v>
      </c>
      <c r="X174" s="8">
        <v>203652</v>
      </c>
      <c r="Y174" s="8">
        <v>44197</v>
      </c>
      <c r="Z174" s="8">
        <v>71</v>
      </c>
      <c r="AA174" s="11">
        <f>AB174/AD174</f>
        <v>8.0069566682298629E-2</v>
      </c>
      <c r="AB174" s="12">
        <f>345251.3</f>
        <v>345251.3</v>
      </c>
      <c r="AC174" s="8">
        <v>283991</v>
      </c>
      <c r="AD174" s="12">
        <f>4311891.7</f>
        <v>4311891.7</v>
      </c>
      <c r="AE174" s="53">
        <f>AD174*1000/L174</f>
        <v>2385.8723703285636</v>
      </c>
    </row>
    <row r="175" spans="1:31">
      <c r="B175" s="47" t="s">
        <v>126</v>
      </c>
      <c r="C175" s="110"/>
      <c r="D175" s="13"/>
      <c r="E175" s="13"/>
      <c r="F175" s="14"/>
      <c r="G175" s="14"/>
      <c r="H175" s="14"/>
      <c r="I175" s="15"/>
      <c r="J175" s="15"/>
      <c r="K175" s="15"/>
      <c r="L175" s="15"/>
      <c r="M175" s="15"/>
      <c r="N175" s="108"/>
      <c r="O175" s="13"/>
      <c r="P175" s="14">
        <f>P174/L174</f>
        <v>0.32420902360479398</v>
      </c>
      <c r="Q175" s="14">
        <f>Q174/M174</f>
        <v>0.23281770475865177</v>
      </c>
      <c r="R175" s="13"/>
      <c r="S175" s="13"/>
      <c r="T175" s="14">
        <f>T174/S174</f>
        <v>0.48628147191736604</v>
      </c>
      <c r="U175" s="16"/>
      <c r="V175" s="16"/>
      <c r="W175" s="13">
        <f t="shared" ref="W175" si="167">0.122*L174</f>
        <v>220485.72</v>
      </c>
      <c r="X175" s="13"/>
      <c r="Y175" s="13"/>
      <c r="Z175" s="13">
        <v>9939</v>
      </c>
      <c r="AA175" s="17"/>
      <c r="AB175" s="18"/>
      <c r="AC175" s="13"/>
      <c r="AD175" s="18"/>
      <c r="AE175" s="75"/>
    </row>
    <row r="176" spans="1:31">
      <c r="B176" s="47" t="s">
        <v>126</v>
      </c>
      <c r="C176" s="109" t="s">
        <v>84</v>
      </c>
      <c r="D176" s="8">
        <v>2974</v>
      </c>
      <c r="E176" s="8">
        <v>15</v>
      </c>
      <c r="F176" s="8">
        <v>1642</v>
      </c>
      <c r="G176" s="8">
        <v>552</v>
      </c>
      <c r="H176" s="8">
        <v>66</v>
      </c>
      <c r="I176" s="9"/>
      <c r="J176" s="9"/>
      <c r="K176" s="9"/>
      <c r="L176" s="57">
        <v>1248875</v>
      </c>
      <c r="M176" s="57">
        <v>647725</v>
      </c>
      <c r="N176" s="108">
        <f t="shared" si="158"/>
        <v>238.13432088879992</v>
      </c>
      <c r="O176" s="8">
        <v>3453</v>
      </c>
      <c r="P176" s="8">
        <v>462130</v>
      </c>
      <c r="Q176" s="8">
        <f>182582</f>
        <v>182582</v>
      </c>
      <c r="R176" s="8">
        <v>58636</v>
      </c>
      <c r="S176" s="8">
        <v>9075</v>
      </c>
      <c r="T176" s="8">
        <v>6518</v>
      </c>
      <c r="U176" s="10">
        <f t="shared" ref="U176" si="168">Z176+Z177</f>
        <v>29069</v>
      </c>
      <c r="V176" s="11">
        <f>W176/W177</f>
        <v>0.74396136851034789</v>
      </c>
      <c r="W176" s="8">
        <v>113352</v>
      </c>
      <c r="X176" s="8">
        <v>144959</v>
      </c>
      <c r="Y176" s="8">
        <v>49609</v>
      </c>
      <c r="Z176" s="8">
        <v>86</v>
      </c>
      <c r="AA176" s="11">
        <f>AB176/AD176</f>
        <v>0.19314132084912941</v>
      </c>
      <c r="AB176" s="12">
        <f>1343612.9</f>
        <v>1343612.9</v>
      </c>
      <c r="AC176" s="8">
        <v>176543</v>
      </c>
      <c r="AD176" s="12">
        <f>6956631</f>
        <v>6956631</v>
      </c>
      <c r="AE176" s="53">
        <f>AD176*1000/L176</f>
        <v>5570.3180862776499</v>
      </c>
    </row>
    <row r="177" spans="1:31">
      <c r="B177" s="47" t="s">
        <v>126</v>
      </c>
      <c r="C177" s="110"/>
      <c r="D177" s="13"/>
      <c r="E177" s="13"/>
      <c r="F177" s="14"/>
      <c r="G177" s="14"/>
      <c r="H177" s="14"/>
      <c r="I177" s="15"/>
      <c r="J177" s="15"/>
      <c r="K177" s="15"/>
      <c r="L177" s="15"/>
      <c r="M177" s="15"/>
      <c r="N177" s="108"/>
      <c r="O177" s="13"/>
      <c r="P177" s="14">
        <f>P176/L176</f>
        <v>0.37003703332999699</v>
      </c>
      <c r="Q177" s="14">
        <f>Q176/M176</f>
        <v>0.28188197151568956</v>
      </c>
      <c r="R177" s="13"/>
      <c r="S177" s="13"/>
      <c r="T177" s="14">
        <f>T176/S176</f>
        <v>0.71823691460055095</v>
      </c>
      <c r="U177" s="16"/>
      <c r="V177" s="16"/>
      <c r="W177" s="13">
        <f t="shared" ref="W177" si="169">0.122*L176</f>
        <v>152362.75</v>
      </c>
      <c r="X177" s="13"/>
      <c r="Y177" s="13"/>
      <c r="Z177" s="13">
        <v>28983</v>
      </c>
      <c r="AA177" s="17"/>
      <c r="AB177" s="18"/>
      <c r="AC177" s="13"/>
      <c r="AD177" s="18"/>
      <c r="AE177" s="75"/>
    </row>
    <row r="178" spans="1:31">
      <c r="B178" s="47" t="s">
        <v>126</v>
      </c>
      <c r="C178" s="109" t="s">
        <v>85</v>
      </c>
      <c r="D178" s="8">
        <v>2445</v>
      </c>
      <c r="E178" s="8">
        <v>26</v>
      </c>
      <c r="F178" s="8">
        <v>1218</v>
      </c>
      <c r="G178" s="8">
        <v>564</v>
      </c>
      <c r="H178" s="8">
        <v>13</v>
      </c>
      <c r="I178" s="9"/>
      <c r="J178" s="9"/>
      <c r="K178" s="9"/>
      <c r="L178" s="57">
        <v>753167</v>
      </c>
      <c r="M178" s="57">
        <v>394241</v>
      </c>
      <c r="N178" s="108">
        <f t="shared" si="158"/>
        <v>324.62919910192556</v>
      </c>
      <c r="O178" s="8">
        <v>1850</v>
      </c>
      <c r="P178" s="8">
        <v>194232</v>
      </c>
      <c r="Q178" s="8">
        <v>75902</v>
      </c>
      <c r="R178" s="8">
        <v>18547</v>
      </c>
      <c r="S178" s="8">
        <v>4503</v>
      </c>
      <c r="T178" s="8">
        <v>3252</v>
      </c>
      <c r="U178" s="10">
        <f t="shared" ref="U178" si="170">Z178+Z179</f>
        <v>5702</v>
      </c>
      <c r="V178" s="11">
        <f>W178/W179</f>
        <v>0.74661777381704064</v>
      </c>
      <c r="W178" s="8">
        <v>68604</v>
      </c>
      <c r="X178" s="8">
        <v>67846</v>
      </c>
      <c r="Y178" s="8">
        <v>21058</v>
      </c>
      <c r="Z178" s="8">
        <v>18</v>
      </c>
      <c r="AA178" s="11">
        <f>AB178/AD178</f>
        <v>0.12020974958453132</v>
      </c>
      <c r="AB178" s="12">
        <f>148797.9</f>
        <v>148797.9</v>
      </c>
      <c r="AC178" s="8">
        <v>136385</v>
      </c>
      <c r="AD178" s="12">
        <f>1237818.9</f>
        <v>1237818.8999999999</v>
      </c>
      <c r="AE178" s="53">
        <f>AD178*1000/L178</f>
        <v>1643.4853093669797</v>
      </c>
    </row>
    <row r="179" spans="1:31">
      <c r="B179" s="47" t="s">
        <v>126</v>
      </c>
      <c r="C179" s="110"/>
      <c r="D179" s="13"/>
      <c r="E179" s="13"/>
      <c r="F179" s="14"/>
      <c r="G179" s="14"/>
      <c r="H179" s="14"/>
      <c r="I179" s="15"/>
      <c r="J179" s="15"/>
      <c r="K179" s="15"/>
      <c r="L179" s="15"/>
      <c r="M179" s="15"/>
      <c r="N179" s="108"/>
      <c r="O179" s="13"/>
      <c r="P179" s="14">
        <f>P178/L178</f>
        <v>0.25788702903871252</v>
      </c>
      <c r="Q179" s="14">
        <f>Q178/M178</f>
        <v>0.19252690613102139</v>
      </c>
      <c r="R179" s="13"/>
      <c r="S179" s="13"/>
      <c r="T179" s="14">
        <f>T178/S178</f>
        <v>0.72218520986009327</v>
      </c>
      <c r="U179" s="16"/>
      <c r="V179" s="16"/>
      <c r="W179" s="13">
        <f t="shared" ref="W179" si="171">0.122*L178</f>
        <v>91886.373999999996</v>
      </c>
      <c r="X179" s="13"/>
      <c r="Y179" s="13"/>
      <c r="Z179" s="13">
        <v>5684</v>
      </c>
      <c r="AA179" s="17"/>
      <c r="AB179" s="18"/>
      <c r="AC179" s="13"/>
      <c r="AD179" s="18"/>
      <c r="AE179" s="75"/>
    </row>
    <row r="180" spans="1:31">
      <c r="B180" s="47" t="s">
        <v>126</v>
      </c>
      <c r="C180" s="115" t="s">
        <v>86</v>
      </c>
      <c r="D180" s="8">
        <v>373</v>
      </c>
      <c r="E180" s="8">
        <v>1</v>
      </c>
      <c r="F180" s="8">
        <v>147</v>
      </c>
      <c r="G180" s="8">
        <v>115</v>
      </c>
      <c r="H180" s="8">
        <v>7</v>
      </c>
      <c r="I180" s="9"/>
      <c r="J180" s="9"/>
      <c r="K180" s="9"/>
      <c r="L180" s="57">
        <v>139010</v>
      </c>
      <c r="M180" s="57">
        <v>71449</v>
      </c>
      <c r="N180" s="108">
        <f t="shared" si="158"/>
        <v>268.32601971081215</v>
      </c>
      <c r="O180" s="8">
        <v>399</v>
      </c>
      <c r="P180" s="8">
        <v>41039</v>
      </c>
      <c r="Q180" s="8">
        <f>17307</f>
        <v>17307</v>
      </c>
      <c r="R180" s="8">
        <v>1917</v>
      </c>
      <c r="S180" s="8">
        <v>262</v>
      </c>
      <c r="T180" s="8">
        <v>66</v>
      </c>
      <c r="U180" s="10">
        <f t="shared" ref="U180" si="172">Z180+Z181</f>
        <v>1011</v>
      </c>
      <c r="V180" s="11">
        <f>W180/W181</f>
        <v>0.6246749555698905</v>
      </c>
      <c r="W180" s="8">
        <v>10594</v>
      </c>
      <c r="X180" s="8">
        <v>14405</v>
      </c>
      <c r="Y180" s="8">
        <v>6741</v>
      </c>
      <c r="Z180" s="8">
        <v>6</v>
      </c>
      <c r="AA180" s="11">
        <f>AB180/AD180</f>
        <v>7.4935098450533644E-2</v>
      </c>
      <c r="AB180" s="12">
        <f>55576.5</f>
        <v>55576.5</v>
      </c>
      <c r="AC180" s="8">
        <v>33854</v>
      </c>
      <c r="AD180" s="53">
        <f>741661.8</f>
        <v>741661.8</v>
      </c>
      <c r="AE180" s="53">
        <f>AD180*1000/L180</f>
        <v>5335.3125674411913</v>
      </c>
    </row>
    <row r="181" spans="1:31">
      <c r="B181" s="47" t="s">
        <v>126</v>
      </c>
      <c r="C181" s="116"/>
      <c r="D181" s="13"/>
      <c r="E181" s="13"/>
      <c r="F181" s="14"/>
      <c r="G181" s="14"/>
      <c r="H181" s="14"/>
      <c r="I181" s="15"/>
      <c r="J181" s="15"/>
      <c r="K181" s="15"/>
      <c r="L181" s="15"/>
      <c r="M181" s="15"/>
      <c r="N181" s="108"/>
      <c r="O181" s="13"/>
      <c r="P181" s="14">
        <f>P180/L180</f>
        <v>0.29522336522552334</v>
      </c>
      <c r="Q181" s="14">
        <f>Q180/M180</f>
        <v>0.24222872258534059</v>
      </c>
      <c r="R181" s="13"/>
      <c r="S181" s="13"/>
      <c r="T181" s="14">
        <f>T180/S180</f>
        <v>0.25190839694656486</v>
      </c>
      <c r="U181" s="16"/>
      <c r="V181" s="16"/>
      <c r="W181" s="13">
        <f t="shared" ref="W181" si="173">0.122*L180</f>
        <v>16959.22</v>
      </c>
      <c r="X181" s="13"/>
      <c r="Y181" s="13"/>
      <c r="Z181" s="13">
        <v>1005</v>
      </c>
      <c r="AA181" s="17"/>
      <c r="AB181" s="18"/>
      <c r="AC181" s="13"/>
      <c r="AD181" s="18"/>
      <c r="AE181" s="75"/>
    </row>
    <row r="182" spans="1:31">
      <c r="B182" s="47" t="s">
        <v>126</v>
      </c>
      <c r="C182" s="109" t="s">
        <v>87</v>
      </c>
      <c r="D182" s="8">
        <v>1142</v>
      </c>
      <c r="E182" s="8">
        <v>3</v>
      </c>
      <c r="F182" s="8">
        <v>411</v>
      </c>
      <c r="G182" s="8">
        <v>261</v>
      </c>
      <c r="H182" s="8">
        <v>19</v>
      </c>
      <c r="I182" s="9"/>
      <c r="J182" s="9"/>
      <c r="K182" s="9"/>
      <c r="L182" s="57">
        <v>458444</v>
      </c>
      <c r="M182" s="57">
        <v>236602</v>
      </c>
      <c r="N182" s="108">
        <f t="shared" si="158"/>
        <v>249.10348919388193</v>
      </c>
      <c r="O182" s="8">
        <v>1270</v>
      </c>
      <c r="P182" s="8">
        <v>195003</v>
      </c>
      <c r="Q182" s="8">
        <v>67162</v>
      </c>
      <c r="R182" s="8">
        <v>26443</v>
      </c>
      <c r="S182" s="8">
        <v>1512</v>
      </c>
      <c r="T182" s="8">
        <v>944</v>
      </c>
      <c r="U182" s="10">
        <f t="shared" ref="U182" si="174">Z182+Z183</f>
        <v>3396</v>
      </c>
      <c r="V182" s="11">
        <f>W182/W183</f>
        <v>0.47934774664006019</v>
      </c>
      <c r="W182" s="8">
        <v>26810</v>
      </c>
      <c r="X182" s="8">
        <v>62679</v>
      </c>
      <c r="Y182" s="8">
        <v>17492</v>
      </c>
      <c r="Z182" s="8">
        <v>11</v>
      </c>
      <c r="AA182" s="11">
        <f>AB182/AD182</f>
        <v>3.2926688634827152E-2</v>
      </c>
      <c r="AB182" s="12">
        <f>181822.9</f>
        <v>181822.9</v>
      </c>
      <c r="AC182" s="8">
        <v>101342</v>
      </c>
      <c r="AD182" s="12">
        <f>5522052.4</f>
        <v>5522052.4000000004</v>
      </c>
      <c r="AE182" s="53">
        <f>AD182*1000/L182</f>
        <v>12045.205957543341</v>
      </c>
    </row>
    <row r="183" spans="1:31">
      <c r="B183" s="47" t="s">
        <v>126</v>
      </c>
      <c r="C183" s="110"/>
      <c r="D183" s="13"/>
      <c r="E183" s="13"/>
      <c r="F183" s="14"/>
      <c r="G183" s="14"/>
      <c r="H183" s="14"/>
      <c r="I183" s="15"/>
      <c r="J183" s="15"/>
      <c r="K183" s="15"/>
      <c r="L183" s="15"/>
      <c r="M183" s="15"/>
      <c r="N183" s="108"/>
      <c r="O183" s="13"/>
      <c r="P183" s="14">
        <f>P182/L182</f>
        <v>0.4253583861932973</v>
      </c>
      <c r="Q183" s="14">
        <f>Q182/M182</f>
        <v>0.28386066051850789</v>
      </c>
      <c r="R183" s="13"/>
      <c r="S183" s="13"/>
      <c r="T183" s="14">
        <f>T182/S182</f>
        <v>0.6243386243386243</v>
      </c>
      <c r="U183" s="16"/>
      <c r="V183" s="16"/>
      <c r="W183" s="13">
        <f t="shared" ref="W183" si="175">0.122*L182</f>
        <v>55930.167999999998</v>
      </c>
      <c r="X183" s="13"/>
      <c r="Y183" s="13"/>
      <c r="Z183" s="13">
        <v>3385</v>
      </c>
      <c r="AA183" s="17"/>
      <c r="AB183" s="18"/>
      <c r="AC183" s="13"/>
      <c r="AD183" s="18"/>
      <c r="AE183" s="75"/>
    </row>
    <row r="184" spans="1:31">
      <c r="B184" s="47" t="s">
        <v>126</v>
      </c>
      <c r="C184" s="115" t="s">
        <v>88</v>
      </c>
      <c r="D184" s="8">
        <v>427</v>
      </c>
      <c r="E184" s="8">
        <v>2</v>
      </c>
      <c r="F184" s="8">
        <v>253</v>
      </c>
      <c r="G184" s="8">
        <v>110</v>
      </c>
      <c r="H184" s="8">
        <v>3</v>
      </c>
      <c r="I184" s="9"/>
      <c r="J184" s="9"/>
      <c r="K184" s="9"/>
      <c r="L184" s="57">
        <v>154187</v>
      </c>
      <c r="M184" s="57">
        <v>80520</v>
      </c>
      <c r="N184" s="108">
        <f>D184/L184*100000</f>
        <v>276.93644730100465</v>
      </c>
      <c r="O184" s="8">
        <v>350</v>
      </c>
      <c r="P184" s="8">
        <v>34955</v>
      </c>
      <c r="Q184" s="8">
        <v>11916</v>
      </c>
      <c r="R184" s="8">
        <v>689</v>
      </c>
      <c r="S184" s="8">
        <v>561</v>
      </c>
      <c r="T184" s="8">
        <v>375</v>
      </c>
      <c r="U184" s="10">
        <f t="shared" ref="U184" si="176">Z184+Z185</f>
        <v>360</v>
      </c>
      <c r="V184" s="11">
        <f>W184/W185</f>
        <v>0.5035401445147456</v>
      </c>
      <c r="W184" s="8">
        <v>9472</v>
      </c>
      <c r="X184" s="8">
        <v>1548</v>
      </c>
      <c r="Y184" s="8">
        <v>5867</v>
      </c>
      <c r="Z184" s="8">
        <v>0</v>
      </c>
      <c r="AA184" s="11">
        <f>AB184/AD184</f>
        <v>2.7240527597024613E-3</v>
      </c>
      <c r="AB184" s="12">
        <f>2936.5</f>
        <v>2936.5</v>
      </c>
      <c r="AC184" s="8">
        <v>17455</v>
      </c>
      <c r="AD184" s="12">
        <f>1077989.4</f>
        <v>1077989.3999999999</v>
      </c>
      <c r="AE184" s="53">
        <f>AD184*1000/L184</f>
        <v>6991.4415612211142</v>
      </c>
    </row>
    <row r="185" spans="1:31">
      <c r="B185" s="47" t="s">
        <v>126</v>
      </c>
      <c r="C185" s="116"/>
      <c r="D185" s="13"/>
      <c r="E185" s="13"/>
      <c r="F185" s="14"/>
      <c r="G185" s="14"/>
      <c r="H185" s="14"/>
      <c r="I185" s="15"/>
      <c r="J185" s="15"/>
      <c r="K185" s="15"/>
      <c r="L185" s="15"/>
      <c r="M185" s="15"/>
      <c r="N185" s="108"/>
      <c r="O185" s="13"/>
      <c r="P185" s="14">
        <f>P184/L184</f>
        <v>0.22670523455284816</v>
      </c>
      <c r="Q185" s="14">
        <f>Q184/M184</f>
        <v>0.14798807749627421</v>
      </c>
      <c r="R185" s="13"/>
      <c r="S185" s="13"/>
      <c r="T185" s="14">
        <f>T184/S184</f>
        <v>0.66844919786096257</v>
      </c>
      <c r="U185" s="16"/>
      <c r="V185" s="16"/>
      <c r="W185" s="13">
        <f t="shared" ref="W185" si="177">0.122*L184</f>
        <v>18810.813999999998</v>
      </c>
      <c r="X185" s="13"/>
      <c r="Y185" s="13"/>
      <c r="Z185" s="13">
        <v>360</v>
      </c>
      <c r="AA185" s="17"/>
      <c r="AB185" s="18"/>
      <c r="AC185" s="13"/>
      <c r="AD185" s="18"/>
      <c r="AE185" s="18"/>
    </row>
    <row r="186" spans="1:31" ht="15">
      <c r="B186" s="47" t="s">
        <v>126</v>
      </c>
      <c r="C186" s="109" t="s">
        <v>89</v>
      </c>
      <c r="D186" s="8">
        <v>91</v>
      </c>
      <c r="E186" s="104" t="s">
        <v>132</v>
      </c>
      <c r="F186" s="8">
        <v>8</v>
      </c>
      <c r="G186" s="8">
        <v>54</v>
      </c>
      <c r="H186" s="8">
        <v>6</v>
      </c>
      <c r="I186" s="9"/>
      <c r="J186" s="9"/>
      <c r="K186" s="9"/>
      <c r="L186" s="57">
        <v>47623</v>
      </c>
      <c r="M186" s="57">
        <v>23329</v>
      </c>
      <c r="N186" s="108">
        <f t="shared" ref="N186:N190" si="178">D186/L186*100000</f>
        <v>191.08414001637863</v>
      </c>
      <c r="O186" s="8">
        <v>183</v>
      </c>
      <c r="P186" s="8">
        <v>15613</v>
      </c>
      <c r="Q186" s="8">
        <v>5850</v>
      </c>
      <c r="R186" s="8">
        <v>280</v>
      </c>
      <c r="S186" s="8">
        <v>179</v>
      </c>
      <c r="T186" s="8">
        <v>88</v>
      </c>
      <c r="U186" s="10">
        <f t="shared" ref="U186" si="179">Z186+Z187</f>
        <v>450</v>
      </c>
      <c r="V186" s="11">
        <f>W186/W187</f>
        <v>0.49190999114286627</v>
      </c>
      <c r="W186" s="8">
        <v>2858</v>
      </c>
      <c r="X186" s="8">
        <v>3306</v>
      </c>
      <c r="Y186" s="8">
        <v>3204</v>
      </c>
      <c r="Z186" s="8">
        <v>0</v>
      </c>
      <c r="AA186" s="11">
        <f>AB186/AD186</f>
        <v>2.9876528751401184E-2</v>
      </c>
      <c r="AB186" s="12">
        <f>8571.6</f>
        <v>8571.6</v>
      </c>
      <c r="AC186" s="103">
        <v>9905</v>
      </c>
      <c r="AD186" s="12">
        <f>286900.8</f>
        <v>286900.8</v>
      </c>
      <c r="AE186" s="12">
        <f>AD186*1000/L186</f>
        <v>6024.4167734078073</v>
      </c>
    </row>
    <row r="187" spans="1:31">
      <c r="B187" s="47" t="s">
        <v>126</v>
      </c>
      <c r="C187" s="110"/>
      <c r="D187" s="13"/>
      <c r="E187" s="13"/>
      <c r="F187" s="14">
        <f>I186/L186/1.95</f>
        <v>0</v>
      </c>
      <c r="G187" s="14">
        <f>J186/L186/0.35</f>
        <v>0</v>
      </c>
      <c r="H187" s="14">
        <f>K186/L186/0.075</f>
        <v>0</v>
      </c>
      <c r="I187" s="15"/>
      <c r="J187" s="15"/>
      <c r="K187" s="15"/>
      <c r="L187" s="15"/>
      <c r="M187" s="15"/>
      <c r="N187" s="108"/>
      <c r="O187" s="13"/>
      <c r="P187" s="14">
        <f>P186/L186</f>
        <v>0.32784578879952964</v>
      </c>
      <c r="Q187" s="14">
        <f>Q186/M186</f>
        <v>0.25076085558746625</v>
      </c>
      <c r="R187" s="13"/>
      <c r="S187" s="13"/>
      <c r="T187" s="14">
        <f>T186/S186</f>
        <v>0.49162011173184356</v>
      </c>
      <c r="U187" s="16"/>
      <c r="V187" s="16"/>
      <c r="W187" s="13">
        <f t="shared" ref="W187" si="180">0.122*L186</f>
        <v>5810.0060000000003</v>
      </c>
      <c r="X187" s="13"/>
      <c r="Y187" s="13"/>
      <c r="Z187" s="13">
        <v>450</v>
      </c>
      <c r="AA187" s="17"/>
      <c r="AB187" s="18"/>
      <c r="AC187" s="13"/>
      <c r="AD187" s="18"/>
      <c r="AE187" s="18"/>
    </row>
    <row r="188" spans="1:31" s="20" customFormat="1">
      <c r="A188" s="49" t="s">
        <v>127</v>
      </c>
      <c r="B188" s="50" t="s">
        <v>126</v>
      </c>
      <c r="C188" s="111" t="s">
        <v>90</v>
      </c>
      <c r="D188" s="24">
        <f t="shared" ref="D188:U188" si="181">SUM(D186,D184,D182,D180,D178,D176,D174,D172,D170)</f>
        <v>13190</v>
      </c>
      <c r="E188" s="24">
        <f t="shared" si="181"/>
        <v>94</v>
      </c>
      <c r="F188" s="24">
        <f t="shared" si="181"/>
        <v>6249</v>
      </c>
      <c r="G188" s="24">
        <f t="shared" si="181"/>
        <v>3764</v>
      </c>
      <c r="H188" s="24">
        <f t="shared" si="181"/>
        <v>227</v>
      </c>
      <c r="I188" s="25">
        <f t="shared" si="181"/>
        <v>0</v>
      </c>
      <c r="J188" s="25">
        <f t="shared" si="181"/>
        <v>0</v>
      </c>
      <c r="K188" s="25">
        <f t="shared" si="181"/>
        <v>0</v>
      </c>
      <c r="L188" s="25">
        <f t="shared" si="181"/>
        <v>5809669</v>
      </c>
      <c r="M188" s="25">
        <f t="shared" si="181"/>
        <v>3000256</v>
      </c>
      <c r="N188" s="108">
        <f t="shared" si="178"/>
        <v>227.0353095847629</v>
      </c>
      <c r="O188" s="24">
        <f t="shared" si="181"/>
        <v>15876</v>
      </c>
      <c r="P188" s="24">
        <f t="shared" si="181"/>
        <v>1932453</v>
      </c>
      <c r="Q188" s="24">
        <f t="shared" si="181"/>
        <v>727424</v>
      </c>
      <c r="R188" s="24">
        <f t="shared" si="181"/>
        <v>252891</v>
      </c>
      <c r="S188" s="24">
        <f t="shared" si="181"/>
        <v>27321</v>
      </c>
      <c r="T188" s="24">
        <f t="shared" si="181"/>
        <v>17057</v>
      </c>
      <c r="U188" s="24">
        <f t="shared" si="181"/>
        <v>64266</v>
      </c>
      <c r="V188" s="21">
        <f>W188/W189</f>
        <v>0.55774741536091965</v>
      </c>
      <c r="W188" s="24">
        <f>SUM(W186,W184,W182,W180,W178,W176,W174,W172,W170)</f>
        <v>395320</v>
      </c>
      <c r="X188" s="24">
        <f>SUM(X186,X184,X182,X180,X178,X176,X174,X172,X170)</f>
        <v>638576</v>
      </c>
      <c r="Y188" s="24">
        <f>SUM(Y186,Y184,Y182,Y180,Y178,Y176,Y174,Y172,Y170)</f>
        <v>204167</v>
      </c>
      <c r="Z188" s="24">
        <f>SUM(Z186,Z184,Z182,Z180,Z178,Z176,Z174,Z172,Z170)</f>
        <v>253</v>
      </c>
      <c r="AA188" s="21">
        <f>AB188/AD188</f>
        <v>0.11552578366468257</v>
      </c>
      <c r="AB188" s="22">
        <f>SUM(AB170:AB186)</f>
        <v>3150390.1999999997</v>
      </c>
      <c r="AC188" s="24">
        <f>SUM(AC186,AC184,AC182,AC180,AC178,AC176,AC174,AC172,AC170)</f>
        <v>1041274</v>
      </c>
      <c r="AD188" s="22">
        <f>SUM(AD186+AD184+AD182+AD180+AD178+AD176+AD174+AD172+AD170)</f>
        <v>27270018</v>
      </c>
      <c r="AE188" s="22">
        <f>AD188*1000/L188</f>
        <v>4693.9021827233182</v>
      </c>
    </row>
    <row r="189" spans="1:31" s="20" customFormat="1">
      <c r="A189" s="49" t="s">
        <v>127</v>
      </c>
      <c r="B189" s="50" t="s">
        <v>126</v>
      </c>
      <c r="C189" s="112"/>
      <c r="D189" s="26"/>
      <c r="E189" s="26"/>
      <c r="F189" s="59">
        <f>I188/L188/1.95</f>
        <v>0</v>
      </c>
      <c r="G189" s="59">
        <f>J188/L188/0.35</f>
        <v>0</v>
      </c>
      <c r="H189" s="59">
        <f>K188/L188/0.075</f>
        <v>0</v>
      </c>
      <c r="I189" s="27"/>
      <c r="J189" s="27"/>
      <c r="K189" s="27"/>
      <c r="L189" s="27"/>
      <c r="M189" s="27"/>
      <c r="N189" s="108"/>
      <c r="O189" s="26"/>
      <c r="P189" s="23">
        <f>P188/L188</f>
        <v>0.3326270395094798</v>
      </c>
      <c r="Q189" s="23">
        <f>Q188/M188</f>
        <v>0.24245397726060711</v>
      </c>
      <c r="R189" s="26"/>
      <c r="S189" s="26"/>
      <c r="T189" s="23">
        <f>T188/S188</f>
        <v>0.62431828996010397</v>
      </c>
      <c r="U189" s="28"/>
      <c r="V189" s="28"/>
      <c r="W189" s="26">
        <f>SUM(W187,W185,W183,W181,W179,W177,W175,W173,W171)</f>
        <v>708779.61800000002</v>
      </c>
      <c r="X189" s="26"/>
      <c r="Y189" s="26"/>
      <c r="Z189" s="26">
        <f>SUM(Z187,Z185,Z183,Z181,Z179,Z177,Z175,Z173,Z171)</f>
        <v>64013</v>
      </c>
      <c r="AA189" s="29"/>
      <c r="AB189" s="30"/>
      <c r="AC189" s="26"/>
      <c r="AD189" s="30"/>
      <c r="AE189" s="58"/>
    </row>
    <row r="190" spans="1:31" s="55" customFormat="1">
      <c r="A190" s="50" t="s">
        <v>127</v>
      </c>
      <c r="B190" s="50"/>
      <c r="C190" s="113" t="s">
        <v>91</v>
      </c>
      <c r="D190" s="24">
        <f t="shared" ref="D190:U190" si="182">SUM(D40+D64+D82+D98+D128+D142+D168+D188)</f>
        <v>305288</v>
      </c>
      <c r="E190" s="24">
        <f t="shared" si="182"/>
        <v>1729</v>
      </c>
      <c r="F190" s="24">
        <f t="shared" si="182"/>
        <v>147472</v>
      </c>
      <c r="G190" s="24">
        <f t="shared" si="182"/>
        <v>72669</v>
      </c>
      <c r="H190" s="24">
        <f t="shared" si="182"/>
        <v>5654</v>
      </c>
      <c r="I190" s="25">
        <f t="shared" si="182"/>
        <v>0</v>
      </c>
      <c r="J190" s="25">
        <f t="shared" si="182"/>
        <v>0</v>
      </c>
      <c r="K190" s="25">
        <f t="shared" si="182"/>
        <v>0</v>
      </c>
      <c r="L190" s="25">
        <f t="shared" si="182"/>
        <v>136348419</v>
      </c>
      <c r="M190" s="25">
        <f t="shared" si="182"/>
        <v>72422253</v>
      </c>
      <c r="N190" s="108">
        <f t="shared" si="178"/>
        <v>223.90285288163116</v>
      </c>
      <c r="O190" s="78">
        <f t="shared" si="182"/>
        <v>375369</v>
      </c>
      <c r="P190" s="78">
        <f>P40+P64+P82+P98+P128+P142+P168+P188</f>
        <v>50109214</v>
      </c>
      <c r="Q190" s="78">
        <f t="shared" si="182"/>
        <v>20041816</v>
      </c>
      <c r="R190" s="78">
        <f>R188+R168+R142+R128+R98+R82+R64+R40</f>
        <v>10027096</v>
      </c>
      <c r="S190" s="78">
        <f>S188+S168+S142+S128+S98+S82+S64+S40</f>
        <v>897302</v>
      </c>
      <c r="T190" s="78">
        <f t="shared" si="182"/>
        <v>527663</v>
      </c>
      <c r="U190" s="78">
        <f t="shared" si="182"/>
        <v>1423977</v>
      </c>
      <c r="V190" s="21">
        <f>W190/W191</f>
        <v>0.4995822804396482</v>
      </c>
      <c r="W190" s="24">
        <f>W188+W168+W142+W128+W98+W82+W64+W40</f>
        <v>8310305</v>
      </c>
      <c r="X190" s="24">
        <f>X40+X64+X82+X98+X128+X142+X168+X188</f>
        <v>18431493</v>
      </c>
      <c r="Y190" s="24">
        <f>SUM(Y40+Y64+Y82+Y98+Y128+Y142+Y168+Y188)</f>
        <v>4473576</v>
      </c>
      <c r="Z190" s="24">
        <f>SUM(Z40+Z64+Z82+Z98+Z128+Z142+Z168+Z188)</f>
        <v>6154</v>
      </c>
      <c r="AA190" s="21">
        <f>AB190/AD190</f>
        <v>0.18265592402058983</v>
      </c>
      <c r="AB190" s="76">
        <f>SUM(AB40+AB64+AB82+AB98+AB128+AB142+AB168+AB188)</f>
        <v>94580604.400000006</v>
      </c>
      <c r="AC190" s="101">
        <f>SUM(AC40+AC64+AC82+AC98+AC128+AC142+AC168+AC188)</f>
        <v>26454834</v>
      </c>
      <c r="AD190" s="22">
        <f>SUM(AD40+AD64+AD82+AD98+AD128+AD142+AD168+AD188)</f>
        <v>517807483.69999999</v>
      </c>
      <c r="AE190" s="22">
        <f>AD190*1000/L190</f>
        <v>3797.6786786211287</v>
      </c>
    </row>
    <row r="191" spans="1:31" s="55" customFormat="1">
      <c r="A191" s="50" t="s">
        <v>127</v>
      </c>
      <c r="B191" s="50"/>
      <c r="C191" s="114"/>
      <c r="D191" s="26"/>
      <c r="E191" s="26"/>
      <c r="F191" s="23">
        <f>I190/L190/1.95</f>
        <v>0</v>
      </c>
      <c r="G191" s="23">
        <f>J190/L190/0.35</f>
        <v>0</v>
      </c>
      <c r="H191" s="23">
        <f>K190/L190/0.075</f>
        <v>0</v>
      </c>
      <c r="I191" s="27"/>
      <c r="J191" s="27"/>
      <c r="K191" s="27"/>
      <c r="L191" s="27"/>
      <c r="M191" s="27"/>
      <c r="N191" s="27"/>
      <c r="O191" s="26"/>
      <c r="P191" s="23">
        <f>P190/L190</f>
        <v>0.36750858108593104</v>
      </c>
      <c r="Q191" s="23">
        <f>Q190/M190</f>
        <v>0.27673560500803529</v>
      </c>
      <c r="R191" s="26"/>
      <c r="S191" s="26"/>
      <c r="T191" s="23">
        <f>T190/S190</f>
        <v>0.58805508067517964</v>
      </c>
      <c r="U191" s="28"/>
      <c r="V191" s="28"/>
      <c r="W191" s="79">
        <f>SUM(W41+W65+W83+W99+W129+W143+W169+W189)</f>
        <v>16634507.118000001</v>
      </c>
      <c r="X191" s="26"/>
      <c r="Y191" s="26"/>
      <c r="Z191" s="79">
        <f>SUM(Z41+Z65+Z83+Z99+Z129+Z143+Z169+Z189)</f>
        <v>1417823</v>
      </c>
      <c r="AA191" s="29"/>
      <c r="AB191" s="30"/>
      <c r="AC191" s="26"/>
      <c r="AD191" s="30"/>
      <c r="AE191" s="30"/>
    </row>
    <row r="197" spans="16:19">
      <c r="S197" s="73"/>
    </row>
    <row r="198" spans="16:19">
      <c r="P198" s="73"/>
    </row>
  </sheetData>
  <autoFilter ref="A3:AE191">
    <filterColumn colId="13"/>
  </autoFilter>
  <sortState ref="B3:AF88">
    <sortCondition ref="B3"/>
  </sortState>
  <mergeCells count="112">
    <mergeCell ref="D1:H1"/>
    <mergeCell ref="I1:K1"/>
    <mergeCell ref="L1:M1"/>
    <mergeCell ref="O1:O2"/>
    <mergeCell ref="P1:P2"/>
    <mergeCell ref="AE1:AE2"/>
    <mergeCell ref="Q1:Q2"/>
    <mergeCell ref="R1:R2"/>
    <mergeCell ref="S1:S2"/>
    <mergeCell ref="T1:T2"/>
    <mergeCell ref="U1:U2"/>
    <mergeCell ref="V1:V2"/>
    <mergeCell ref="X1:X2"/>
    <mergeCell ref="Y1:Y2"/>
    <mergeCell ref="AA1:AB1"/>
    <mergeCell ref="AC1:AC2"/>
    <mergeCell ref="AD1:AD2"/>
    <mergeCell ref="C12:C13"/>
    <mergeCell ref="C14:C15"/>
    <mergeCell ref="C16:C17"/>
    <mergeCell ref="C18:C19"/>
    <mergeCell ref="C20:C21"/>
    <mergeCell ref="C1:C2"/>
    <mergeCell ref="C4:C5"/>
    <mergeCell ref="C6:C7"/>
    <mergeCell ref="C8:C9"/>
    <mergeCell ref="C10:C11"/>
    <mergeCell ref="C32:C33"/>
    <mergeCell ref="C34:C35"/>
    <mergeCell ref="C36:C37"/>
    <mergeCell ref="C38:C39"/>
    <mergeCell ref="C40:C41"/>
    <mergeCell ref="C22:C23"/>
    <mergeCell ref="C24:C25"/>
    <mergeCell ref="C26:C27"/>
    <mergeCell ref="C28:C29"/>
    <mergeCell ref="C30:C31"/>
    <mergeCell ref="C52:C53"/>
    <mergeCell ref="C54:C55"/>
    <mergeCell ref="C56:C57"/>
    <mergeCell ref="C58:C59"/>
    <mergeCell ref="C60:C61"/>
    <mergeCell ref="C42:C43"/>
    <mergeCell ref="C44:C45"/>
    <mergeCell ref="C46:C47"/>
    <mergeCell ref="C48:C49"/>
    <mergeCell ref="C50:C51"/>
    <mergeCell ref="C74:C75"/>
    <mergeCell ref="C76:C77"/>
    <mergeCell ref="C78:C79"/>
    <mergeCell ref="C82:C83"/>
    <mergeCell ref="C84:C85"/>
    <mergeCell ref="C62:C63"/>
    <mergeCell ref="C64:C65"/>
    <mergeCell ref="C66:C67"/>
    <mergeCell ref="C68:C69"/>
    <mergeCell ref="C72:C73"/>
    <mergeCell ref="C70:C71"/>
    <mergeCell ref="C80:C81"/>
    <mergeCell ref="C96:C97"/>
    <mergeCell ref="C98:C99"/>
    <mergeCell ref="C100:C101"/>
    <mergeCell ref="C102:C103"/>
    <mergeCell ref="C104:C105"/>
    <mergeCell ref="C86:C87"/>
    <mergeCell ref="C88:C89"/>
    <mergeCell ref="C90:C91"/>
    <mergeCell ref="C92:C93"/>
    <mergeCell ref="C94:C95"/>
    <mergeCell ref="C116:C117"/>
    <mergeCell ref="C118:C119"/>
    <mergeCell ref="C120:C121"/>
    <mergeCell ref="C122:C123"/>
    <mergeCell ref="C124:C125"/>
    <mergeCell ref="C106:C107"/>
    <mergeCell ref="C108:C109"/>
    <mergeCell ref="C110:C111"/>
    <mergeCell ref="C112:C113"/>
    <mergeCell ref="C114:C115"/>
    <mergeCell ref="C136:C137"/>
    <mergeCell ref="C138:C139"/>
    <mergeCell ref="C140:C141"/>
    <mergeCell ref="C142:C143"/>
    <mergeCell ref="C144:C145"/>
    <mergeCell ref="C126:C127"/>
    <mergeCell ref="C128:C129"/>
    <mergeCell ref="C130:C131"/>
    <mergeCell ref="C132:C133"/>
    <mergeCell ref="C134:C135"/>
    <mergeCell ref="C156:C157"/>
    <mergeCell ref="C158:C159"/>
    <mergeCell ref="C160:C161"/>
    <mergeCell ref="C162:C163"/>
    <mergeCell ref="C164:C165"/>
    <mergeCell ref="C146:C147"/>
    <mergeCell ref="C148:C149"/>
    <mergeCell ref="C150:C151"/>
    <mergeCell ref="C152:C153"/>
    <mergeCell ref="C154:C155"/>
    <mergeCell ref="C186:C187"/>
    <mergeCell ref="C188:C189"/>
    <mergeCell ref="C190:C191"/>
    <mergeCell ref="C176:C177"/>
    <mergeCell ref="C178:C179"/>
    <mergeCell ref="C180:C181"/>
    <mergeCell ref="C182:C183"/>
    <mergeCell ref="C184:C185"/>
    <mergeCell ref="C166:C167"/>
    <mergeCell ref="C168:C169"/>
    <mergeCell ref="C170:C171"/>
    <mergeCell ref="C172:C173"/>
    <mergeCell ref="C174:C175"/>
  </mergeCells>
  <pageMargins left="0" right="0" top="0.39370078740157483" bottom="0.39370078740157483" header="0.39370078740157483" footer="0.19685039370078741"/>
  <pageSetup paperSize="9" scale="55" orientation="landscape" r:id="rId1"/>
  <ignoredErrors>
    <ignoredError sqref="T190 Q44 Q46 Q48 Q50 Q86" formula="1"/>
    <ignoredError sqref="E138 E172 E18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Синицкая Ольга Алексеевна</dc:creator>
  <cp:lastModifiedBy>merkushina</cp:lastModifiedBy>
  <cp:lastPrinted>2015-08-04T15:19:18Z</cp:lastPrinted>
  <dcterms:created xsi:type="dcterms:W3CDTF">2013-04-18T15:22:29Z</dcterms:created>
  <dcterms:modified xsi:type="dcterms:W3CDTF">2018-06-20T08:01:58Z</dcterms:modified>
</cp:coreProperties>
</file>