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80" windowWidth="19320" windowHeight="12660"/>
  </bookViews>
  <sheets>
    <sheet name="Лист1" sheetId="13" r:id="rId1"/>
  </sheets>
  <definedNames>
    <definedName name="_xlnm._FilterDatabase" localSheetId="0" hidden="1">Лист1!$A$3:$AD$193</definedName>
    <definedName name="_xlnm.Print_Titles" localSheetId="0">Лист1!$C:$C,Лист1!$1:$2</definedName>
    <definedName name="_xlnm.Print_Area" localSheetId="0">Лист1!$C$1:$AD$193</definedName>
  </definedNames>
  <calcPr calcId="124519" fullCalcOnLoad="1"/>
</workbook>
</file>

<file path=xl/calcChain.xml><?xml version="1.0" encoding="utf-8"?>
<calcChain xmlns="http://schemas.openxmlformats.org/spreadsheetml/2006/main">
  <c r="AA96" i="13"/>
  <c r="AC188"/>
  <c r="AD188"/>
  <c r="AA188"/>
  <c r="Q188"/>
  <c r="AC186"/>
  <c r="AA186"/>
  <c r="Q186"/>
  <c r="W192"/>
  <c r="V193"/>
  <c r="V192"/>
  <c r="P192"/>
  <c r="O192"/>
  <c r="M192"/>
  <c r="L192"/>
  <c r="D190"/>
  <c r="D192"/>
  <c r="AC182"/>
  <c r="AA182"/>
  <c r="Q182"/>
  <c r="AC180"/>
  <c r="AA180"/>
  <c r="Q180"/>
  <c r="AC178"/>
  <c r="AA178"/>
  <c r="T178"/>
  <c r="Q178"/>
  <c r="AC176"/>
  <c r="AA176"/>
  <c r="Q176"/>
  <c r="AC174"/>
  <c r="AA174"/>
  <c r="Q174"/>
  <c r="Q172"/>
  <c r="AC172"/>
  <c r="AA172"/>
  <c r="AC170"/>
  <c r="AA170"/>
  <c r="Q170"/>
  <c r="AC168"/>
  <c r="AA168"/>
  <c r="Q168"/>
  <c r="AC166"/>
  <c r="AA166"/>
  <c r="Q166"/>
  <c r="V187"/>
  <c r="U186"/>
  <c r="O190"/>
  <c r="P189"/>
  <c r="O189"/>
  <c r="AD186"/>
  <c r="AB190"/>
  <c r="AB192"/>
  <c r="AA190"/>
  <c r="Z188"/>
  <c r="Z186"/>
  <c r="X190"/>
  <c r="X192"/>
  <c r="W190"/>
  <c r="V189"/>
  <c r="U188"/>
  <c r="V190"/>
  <c r="Y191"/>
  <c r="Y193"/>
  <c r="Y190"/>
  <c r="Y192"/>
  <c r="T188"/>
  <c r="T186"/>
  <c r="S190"/>
  <c r="S192"/>
  <c r="S189"/>
  <c r="S187"/>
  <c r="P187"/>
  <c r="O187"/>
  <c r="R190"/>
  <c r="R192"/>
  <c r="Q190"/>
  <c r="Q192"/>
  <c r="P190"/>
  <c r="N190"/>
  <c r="N192"/>
  <c r="M190"/>
  <c r="L190"/>
  <c r="K188"/>
  <c r="H189"/>
  <c r="J188"/>
  <c r="I188"/>
  <c r="F189"/>
  <c r="K186"/>
  <c r="J186"/>
  <c r="I186"/>
  <c r="H190"/>
  <c r="H192"/>
  <c r="G190"/>
  <c r="G192"/>
  <c r="F190"/>
  <c r="F192"/>
  <c r="E190"/>
  <c r="E192"/>
  <c r="H187"/>
  <c r="G187"/>
  <c r="G189"/>
  <c r="F187"/>
  <c r="AC162"/>
  <c r="AA162"/>
  <c r="Q162"/>
  <c r="AC160"/>
  <c r="AA160"/>
  <c r="Q160"/>
  <c r="AC158"/>
  <c r="AA158"/>
  <c r="Q158"/>
  <c r="AC156"/>
  <c r="AA156"/>
  <c r="Q156"/>
  <c r="AC154"/>
  <c r="AA154"/>
  <c r="Q154"/>
  <c r="AC152"/>
  <c r="AA152"/>
  <c r="Q152"/>
  <c r="AB150"/>
  <c r="AC150"/>
  <c r="AA150"/>
  <c r="Q150"/>
  <c r="AB148"/>
  <c r="AC148"/>
  <c r="AA148"/>
  <c r="Q148"/>
  <c r="AC146"/>
  <c r="AA146"/>
  <c r="Q146"/>
  <c r="AC144"/>
  <c r="AA144"/>
  <c r="Q144"/>
  <c r="AC142"/>
  <c r="AA142"/>
  <c r="Q142"/>
  <c r="AC140"/>
  <c r="AA140"/>
  <c r="Q140"/>
  <c r="V155"/>
  <c r="AC136"/>
  <c r="AA136"/>
  <c r="Q136"/>
  <c r="AC134"/>
  <c r="AA134"/>
  <c r="Q134"/>
  <c r="AC132"/>
  <c r="AA132"/>
  <c r="Q132"/>
  <c r="AC130"/>
  <c r="AA130"/>
  <c r="Q130"/>
  <c r="AC128"/>
  <c r="AA128"/>
  <c r="Q128"/>
  <c r="AC126"/>
  <c r="AA126"/>
  <c r="Q126"/>
  <c r="V137"/>
  <c r="AC122"/>
  <c r="AA122"/>
  <c r="Q122"/>
  <c r="AC120"/>
  <c r="AA120"/>
  <c r="Q120"/>
  <c r="AA118"/>
  <c r="Q118"/>
  <c r="AC116"/>
  <c r="AA116"/>
  <c r="Q116"/>
  <c r="AC114"/>
  <c r="AA114"/>
  <c r="Q114"/>
  <c r="AC112"/>
  <c r="AA112"/>
  <c r="Q112"/>
  <c r="AC110"/>
  <c r="AA110"/>
  <c r="Q110"/>
  <c r="AC108"/>
  <c r="AA108"/>
  <c r="Q108"/>
  <c r="AC106"/>
  <c r="AA106"/>
  <c r="Q106"/>
  <c r="AC104"/>
  <c r="AA104"/>
  <c r="Q104"/>
  <c r="AC102"/>
  <c r="AA102"/>
  <c r="Q102"/>
  <c r="AA100"/>
  <c r="Q100"/>
  <c r="AA98"/>
  <c r="Q98"/>
  <c r="Q96"/>
  <c r="AC92"/>
  <c r="AA92"/>
  <c r="Q92"/>
  <c r="AC90"/>
  <c r="AA90"/>
  <c r="Q90"/>
  <c r="AC88"/>
  <c r="AA88"/>
  <c r="Q88"/>
  <c r="AC86"/>
  <c r="AA86"/>
  <c r="Q86"/>
  <c r="AC84"/>
  <c r="AA84"/>
  <c r="Q84"/>
  <c r="AC82"/>
  <c r="AA82"/>
  <c r="Q82"/>
  <c r="AC80"/>
  <c r="AA80"/>
  <c r="Q80"/>
  <c r="AC76"/>
  <c r="AA76"/>
  <c r="Q76"/>
  <c r="AC74"/>
  <c r="AA74"/>
  <c r="Q74"/>
  <c r="AC72"/>
  <c r="AA72"/>
  <c r="Q72"/>
  <c r="AC70"/>
  <c r="AA70"/>
  <c r="Q70"/>
  <c r="AC68"/>
  <c r="AA68"/>
  <c r="Q68"/>
  <c r="AC66"/>
  <c r="AA66"/>
  <c r="Q66"/>
  <c r="AC62"/>
  <c r="AA62"/>
  <c r="Q62"/>
  <c r="AC60"/>
  <c r="AA60"/>
  <c r="Q60"/>
  <c r="AC58"/>
  <c r="AA58"/>
  <c r="Q58"/>
  <c r="AC56"/>
  <c r="AA56"/>
  <c r="Q56"/>
  <c r="AC54"/>
  <c r="AA54"/>
  <c r="Q54"/>
  <c r="AC52"/>
  <c r="AA52"/>
  <c r="Q52"/>
  <c r="AC50"/>
  <c r="AA50"/>
  <c r="Q50"/>
  <c r="AC48"/>
  <c r="AA48"/>
  <c r="Q48"/>
  <c r="AC46"/>
  <c r="AA46"/>
  <c r="Q46"/>
  <c r="AC44"/>
  <c r="AA44"/>
  <c r="Q44"/>
  <c r="AC42"/>
  <c r="AA42"/>
  <c r="Q42"/>
  <c r="Q38"/>
  <c r="Q36"/>
  <c r="Q34"/>
  <c r="Q32"/>
  <c r="Q30"/>
  <c r="Q28"/>
  <c r="Q26"/>
  <c r="Q24"/>
  <c r="Q22"/>
  <c r="Q20"/>
  <c r="Q18"/>
  <c r="Q16"/>
  <c r="Q14"/>
  <c r="Q12"/>
  <c r="Q10"/>
  <c r="Q8"/>
  <c r="Q6"/>
  <c r="Q4"/>
  <c r="J176"/>
  <c r="I178"/>
  <c r="K182"/>
  <c r="J168"/>
  <c r="K168"/>
  <c r="J170"/>
  <c r="K170"/>
  <c r="J172"/>
  <c r="K172"/>
  <c r="J174"/>
  <c r="K174"/>
  <c r="K176"/>
  <c r="J178"/>
  <c r="K178"/>
  <c r="J180"/>
  <c r="K180"/>
  <c r="J182"/>
  <c r="K166"/>
  <c r="J166"/>
  <c r="J142"/>
  <c r="K142"/>
  <c r="J144"/>
  <c r="K144"/>
  <c r="J146"/>
  <c r="K146"/>
  <c r="J148"/>
  <c r="K148"/>
  <c r="J150"/>
  <c r="K150"/>
  <c r="J152"/>
  <c r="K152"/>
  <c r="J154"/>
  <c r="K154"/>
  <c r="J156"/>
  <c r="K156"/>
  <c r="J158"/>
  <c r="K158"/>
  <c r="J160"/>
  <c r="K160"/>
  <c r="J162"/>
  <c r="K162"/>
  <c r="K140"/>
  <c r="J140"/>
  <c r="J128"/>
  <c r="K128"/>
  <c r="J130"/>
  <c r="K130"/>
  <c r="J132"/>
  <c r="K132"/>
  <c r="J134"/>
  <c r="K134"/>
  <c r="J136"/>
  <c r="K136"/>
  <c r="K126"/>
  <c r="J126"/>
  <c r="J98"/>
  <c r="K98"/>
  <c r="J100"/>
  <c r="K100"/>
  <c r="J102"/>
  <c r="K102"/>
  <c r="J104"/>
  <c r="K104"/>
  <c r="J106"/>
  <c r="K106"/>
  <c r="J108"/>
  <c r="K108"/>
  <c r="J110"/>
  <c r="K110"/>
  <c r="J112"/>
  <c r="K112"/>
  <c r="J114"/>
  <c r="K114"/>
  <c r="J116"/>
  <c r="K116"/>
  <c r="J118"/>
  <c r="K118"/>
  <c r="J120"/>
  <c r="K120"/>
  <c r="J122"/>
  <c r="K122"/>
  <c r="K96"/>
  <c r="J96"/>
  <c r="J82"/>
  <c r="K82"/>
  <c r="J84"/>
  <c r="K84"/>
  <c r="J86"/>
  <c r="K86"/>
  <c r="J88"/>
  <c r="K88"/>
  <c r="J90"/>
  <c r="K90"/>
  <c r="J92"/>
  <c r="K92"/>
  <c r="K80"/>
  <c r="J80"/>
  <c r="J68"/>
  <c r="K68"/>
  <c r="J70"/>
  <c r="K70"/>
  <c r="J72"/>
  <c r="K72"/>
  <c r="J74"/>
  <c r="K74"/>
  <c r="J76"/>
  <c r="K76"/>
  <c r="K66"/>
  <c r="J66"/>
  <c r="J62"/>
  <c r="J44"/>
  <c r="K44"/>
  <c r="J46"/>
  <c r="K46"/>
  <c r="J48"/>
  <c r="K48"/>
  <c r="J50"/>
  <c r="K50"/>
  <c r="J52"/>
  <c r="K52"/>
  <c r="J54"/>
  <c r="K54"/>
  <c r="J56"/>
  <c r="K56"/>
  <c r="J58"/>
  <c r="K58"/>
  <c r="J60"/>
  <c r="K60"/>
  <c r="K62"/>
  <c r="K42"/>
  <c r="J42"/>
  <c r="J6"/>
  <c r="K6"/>
  <c r="J8"/>
  <c r="K8"/>
  <c r="J10"/>
  <c r="K10"/>
  <c r="J12"/>
  <c r="K12"/>
  <c r="J14"/>
  <c r="K14"/>
  <c r="J16"/>
  <c r="K16"/>
  <c r="J18"/>
  <c r="K18"/>
  <c r="J20"/>
  <c r="K20"/>
  <c r="J22"/>
  <c r="K22"/>
  <c r="J24"/>
  <c r="K24"/>
  <c r="J26"/>
  <c r="K26"/>
  <c r="J28"/>
  <c r="K28"/>
  <c r="J30"/>
  <c r="K30"/>
  <c r="J32"/>
  <c r="K32"/>
  <c r="J34"/>
  <c r="K34"/>
  <c r="J36"/>
  <c r="K36"/>
  <c r="J38"/>
  <c r="K38"/>
  <c r="K4"/>
  <c r="J4"/>
  <c r="I168"/>
  <c r="I170"/>
  <c r="I172"/>
  <c r="I174"/>
  <c r="I176"/>
  <c r="I180"/>
  <c r="I182"/>
  <c r="I166"/>
  <c r="I142"/>
  <c r="I144"/>
  <c r="I146"/>
  <c r="I148"/>
  <c r="I150"/>
  <c r="I152"/>
  <c r="I154"/>
  <c r="I156"/>
  <c r="I158"/>
  <c r="I160"/>
  <c r="I162"/>
  <c r="I140"/>
  <c r="I128"/>
  <c r="I130"/>
  <c r="I132"/>
  <c r="I134"/>
  <c r="I136"/>
  <c r="I126"/>
  <c r="I98"/>
  <c r="I100"/>
  <c r="I102"/>
  <c r="I104"/>
  <c r="I106"/>
  <c r="I108"/>
  <c r="I110"/>
  <c r="I112"/>
  <c r="I114"/>
  <c r="I116"/>
  <c r="I118"/>
  <c r="I120"/>
  <c r="I122"/>
  <c r="I96"/>
  <c r="I82"/>
  <c r="I84"/>
  <c r="I86"/>
  <c r="I88"/>
  <c r="I90"/>
  <c r="I92"/>
  <c r="I80"/>
  <c r="I68"/>
  <c r="I70"/>
  <c r="I72"/>
  <c r="I74"/>
  <c r="I76"/>
  <c r="I66"/>
  <c r="I62"/>
  <c r="I44"/>
  <c r="I46"/>
  <c r="I48"/>
  <c r="I50"/>
  <c r="I52"/>
  <c r="I54"/>
  <c r="I56"/>
  <c r="I58"/>
  <c r="I60"/>
  <c r="I42"/>
  <c r="I6"/>
  <c r="I8"/>
  <c r="I10"/>
  <c r="I12"/>
  <c r="I14"/>
  <c r="I16"/>
  <c r="I18"/>
  <c r="I20"/>
  <c r="I22"/>
  <c r="I24"/>
  <c r="I26"/>
  <c r="I28"/>
  <c r="I30"/>
  <c r="I32"/>
  <c r="I34"/>
  <c r="I36"/>
  <c r="I38"/>
  <c r="I4"/>
  <c r="Z190"/>
  <c r="AC190"/>
  <c r="T190"/>
  <c r="T192"/>
  <c r="K190"/>
  <c r="K192"/>
  <c r="J190"/>
  <c r="J192"/>
  <c r="I190"/>
  <c r="I192"/>
  <c r="S191"/>
  <c r="H191"/>
  <c r="P191"/>
  <c r="V191"/>
  <c r="U190"/>
  <c r="G191"/>
  <c r="AD190"/>
  <c r="O191"/>
  <c r="F191"/>
  <c r="AC184"/>
  <c r="AB184"/>
  <c r="AA184"/>
  <c r="Z184"/>
  <c r="Y185"/>
  <c r="Y184"/>
  <c r="X184"/>
  <c r="W184"/>
  <c r="V184"/>
  <c r="S184"/>
  <c r="R184"/>
  <c r="Q184"/>
  <c r="P184"/>
  <c r="O184"/>
  <c r="N184"/>
  <c r="M184"/>
  <c r="L184"/>
  <c r="K184"/>
  <c r="J184"/>
  <c r="I184"/>
  <c r="H184"/>
  <c r="G184"/>
  <c r="F184"/>
  <c r="E184"/>
  <c r="D184"/>
  <c r="AC164"/>
  <c r="AB164"/>
  <c r="AA164"/>
  <c r="Z164"/>
  <c r="Y165"/>
  <c r="Y164"/>
  <c r="X164"/>
  <c r="W164"/>
  <c r="V164"/>
  <c r="S164"/>
  <c r="R164"/>
  <c r="Q164"/>
  <c r="P164"/>
  <c r="O164"/>
  <c r="N164"/>
  <c r="M164"/>
  <c r="L164"/>
  <c r="K164"/>
  <c r="J164"/>
  <c r="G165"/>
  <c r="I164"/>
  <c r="H164"/>
  <c r="G164"/>
  <c r="F164"/>
  <c r="E164"/>
  <c r="D164"/>
  <c r="AC138"/>
  <c r="AB138"/>
  <c r="AA138"/>
  <c r="Z138"/>
  <c r="Y139"/>
  <c r="Y138"/>
  <c r="X138"/>
  <c r="W138"/>
  <c r="V138"/>
  <c r="S138"/>
  <c r="R138"/>
  <c r="Q138"/>
  <c r="P138"/>
  <c r="O138"/>
  <c r="N138"/>
  <c r="M138"/>
  <c r="L138"/>
  <c r="K138"/>
  <c r="J138"/>
  <c r="I138"/>
  <c r="H138"/>
  <c r="G138"/>
  <c r="F138"/>
  <c r="E138"/>
  <c r="D138"/>
  <c r="AC124"/>
  <c r="AB124"/>
  <c r="AA124"/>
  <c r="Y125"/>
  <c r="Y124"/>
  <c r="X124"/>
  <c r="W124"/>
  <c r="V124"/>
  <c r="S124"/>
  <c r="R124"/>
  <c r="Q124"/>
  <c r="P124"/>
  <c r="O124"/>
  <c r="N124"/>
  <c r="M124"/>
  <c r="L124"/>
  <c r="K124"/>
  <c r="J124"/>
  <c r="G125"/>
  <c r="I124"/>
  <c r="H124"/>
  <c r="G124"/>
  <c r="F124"/>
  <c r="E124"/>
  <c r="D124"/>
  <c r="AC94"/>
  <c r="AB94"/>
  <c r="AA94"/>
  <c r="Z94"/>
  <c r="Y95"/>
  <c r="Y94"/>
  <c r="X94"/>
  <c r="W94"/>
  <c r="V94"/>
  <c r="S94"/>
  <c r="R94"/>
  <c r="Q94"/>
  <c r="P94"/>
  <c r="O94"/>
  <c r="N94"/>
  <c r="M94"/>
  <c r="L94"/>
  <c r="K94"/>
  <c r="J94"/>
  <c r="G95"/>
  <c r="I94"/>
  <c r="H94"/>
  <c r="G94"/>
  <c r="F94"/>
  <c r="E94"/>
  <c r="D94"/>
  <c r="AC78"/>
  <c r="AB78"/>
  <c r="AA78"/>
  <c r="Y79"/>
  <c r="Y78"/>
  <c r="X78"/>
  <c r="W78"/>
  <c r="V78"/>
  <c r="S78"/>
  <c r="R78"/>
  <c r="Q78"/>
  <c r="P78"/>
  <c r="O78"/>
  <c r="N78"/>
  <c r="M78"/>
  <c r="L78"/>
  <c r="K78"/>
  <c r="J78"/>
  <c r="G79"/>
  <c r="I78"/>
  <c r="H78"/>
  <c r="G78"/>
  <c r="F78"/>
  <c r="E78"/>
  <c r="D78"/>
  <c r="AC64"/>
  <c r="AB64"/>
  <c r="AA64"/>
  <c r="Z64"/>
  <c r="Y65"/>
  <c r="Y64"/>
  <c r="X64"/>
  <c r="W64"/>
  <c r="V64"/>
  <c r="S64"/>
  <c r="R64"/>
  <c r="Q64"/>
  <c r="P64"/>
  <c r="O64"/>
  <c r="N64"/>
  <c r="M64"/>
  <c r="L64"/>
  <c r="K64"/>
  <c r="J64"/>
  <c r="G65"/>
  <c r="I64"/>
  <c r="H64"/>
  <c r="G64"/>
  <c r="F64"/>
  <c r="E64"/>
  <c r="D64"/>
  <c r="AC40"/>
  <c r="AB40"/>
  <c r="AA40"/>
  <c r="Z40"/>
  <c r="Y41"/>
  <c r="Y40"/>
  <c r="X40"/>
  <c r="W40"/>
  <c r="V40"/>
  <c r="S40"/>
  <c r="R40"/>
  <c r="Q40"/>
  <c r="P40"/>
  <c r="O40"/>
  <c r="M40"/>
  <c r="L40"/>
  <c r="K40"/>
  <c r="J40"/>
  <c r="G41"/>
  <c r="I40"/>
  <c r="H40"/>
  <c r="G40"/>
  <c r="F40"/>
  <c r="E40"/>
  <c r="D40"/>
  <c r="S183"/>
  <c r="P183"/>
  <c r="O183"/>
  <c r="S181"/>
  <c r="P181"/>
  <c r="O181"/>
  <c r="S179"/>
  <c r="P179"/>
  <c r="O179"/>
  <c r="S177"/>
  <c r="P177"/>
  <c r="O177"/>
  <c r="S175"/>
  <c r="P175"/>
  <c r="O175"/>
  <c r="S173"/>
  <c r="P173"/>
  <c r="O173"/>
  <c r="S171"/>
  <c r="P171"/>
  <c r="O171"/>
  <c r="S169"/>
  <c r="P169"/>
  <c r="O169"/>
  <c r="S167"/>
  <c r="P167"/>
  <c r="O167"/>
  <c r="S163"/>
  <c r="P163"/>
  <c r="O163"/>
  <c r="S161"/>
  <c r="P161"/>
  <c r="O161"/>
  <c r="S159"/>
  <c r="P159"/>
  <c r="O159"/>
  <c r="S157"/>
  <c r="P157"/>
  <c r="O157"/>
  <c r="S155"/>
  <c r="P155"/>
  <c r="O155"/>
  <c r="S153"/>
  <c r="P153"/>
  <c r="O153"/>
  <c r="S151"/>
  <c r="P151"/>
  <c r="O151"/>
  <c r="S149"/>
  <c r="P149"/>
  <c r="O149"/>
  <c r="S147"/>
  <c r="P147"/>
  <c r="O147"/>
  <c r="S145"/>
  <c r="P145"/>
  <c r="O145"/>
  <c r="S143"/>
  <c r="P143"/>
  <c r="O143"/>
  <c r="S141"/>
  <c r="P141"/>
  <c r="O141"/>
  <c r="S137"/>
  <c r="P137"/>
  <c r="O137"/>
  <c r="S135"/>
  <c r="P135"/>
  <c r="O135"/>
  <c r="S133"/>
  <c r="P133"/>
  <c r="O133"/>
  <c r="S131"/>
  <c r="P131"/>
  <c r="O131"/>
  <c r="S129"/>
  <c r="P129"/>
  <c r="O129"/>
  <c r="S127"/>
  <c r="P127"/>
  <c r="O127"/>
  <c r="S123"/>
  <c r="P123"/>
  <c r="O123"/>
  <c r="S121"/>
  <c r="P121"/>
  <c r="O121"/>
  <c r="S119"/>
  <c r="P119"/>
  <c r="O119"/>
  <c r="S117"/>
  <c r="P117"/>
  <c r="O117"/>
  <c r="S115"/>
  <c r="P115"/>
  <c r="O115"/>
  <c r="S113"/>
  <c r="P113"/>
  <c r="O113"/>
  <c r="S111"/>
  <c r="P111"/>
  <c r="O111"/>
  <c r="S109"/>
  <c r="P109"/>
  <c r="O109"/>
  <c r="S107"/>
  <c r="P107"/>
  <c r="O107"/>
  <c r="S105"/>
  <c r="P105"/>
  <c r="O105"/>
  <c r="S103"/>
  <c r="P103"/>
  <c r="O103"/>
  <c r="S101"/>
  <c r="P101"/>
  <c r="O101"/>
  <c r="S99"/>
  <c r="P99"/>
  <c r="O99"/>
  <c r="S97"/>
  <c r="P97"/>
  <c r="O97"/>
  <c r="S93"/>
  <c r="P93"/>
  <c r="O93"/>
  <c r="S91"/>
  <c r="P91"/>
  <c r="O91"/>
  <c r="S89"/>
  <c r="P89"/>
  <c r="O89"/>
  <c r="S87"/>
  <c r="P87"/>
  <c r="O87"/>
  <c r="S85"/>
  <c r="P85"/>
  <c r="O85"/>
  <c r="S83"/>
  <c r="P83"/>
  <c r="O83"/>
  <c r="S81"/>
  <c r="P81"/>
  <c r="O81"/>
  <c r="S77"/>
  <c r="P77"/>
  <c r="O77"/>
  <c r="S75"/>
  <c r="P75"/>
  <c r="O75"/>
  <c r="S73"/>
  <c r="P73"/>
  <c r="O73"/>
  <c r="S71"/>
  <c r="P71"/>
  <c r="O71"/>
  <c r="S69"/>
  <c r="P69"/>
  <c r="O69"/>
  <c r="S67"/>
  <c r="P67"/>
  <c r="O67"/>
  <c r="S63"/>
  <c r="P63"/>
  <c r="O63"/>
  <c r="S61"/>
  <c r="P61"/>
  <c r="O61"/>
  <c r="S59"/>
  <c r="P59"/>
  <c r="O59"/>
  <c r="S57"/>
  <c r="P57"/>
  <c r="O57"/>
  <c r="S55"/>
  <c r="P55"/>
  <c r="O55"/>
  <c r="S53"/>
  <c r="P53"/>
  <c r="O53"/>
  <c r="S51"/>
  <c r="P51"/>
  <c r="O51"/>
  <c r="S49"/>
  <c r="P49"/>
  <c r="O49"/>
  <c r="S47"/>
  <c r="P47"/>
  <c r="O47"/>
  <c r="S45"/>
  <c r="P45"/>
  <c r="O45"/>
  <c r="S43"/>
  <c r="P43"/>
  <c r="O43"/>
  <c r="S39"/>
  <c r="P39"/>
  <c r="O39"/>
  <c r="S37"/>
  <c r="P37"/>
  <c r="O37"/>
  <c r="S35"/>
  <c r="P35"/>
  <c r="O35"/>
  <c r="S33"/>
  <c r="P33"/>
  <c r="O33"/>
  <c r="S31"/>
  <c r="P31"/>
  <c r="O31"/>
  <c r="S29"/>
  <c r="P29"/>
  <c r="O29"/>
  <c r="S27"/>
  <c r="P27"/>
  <c r="O27"/>
  <c r="S25"/>
  <c r="P25"/>
  <c r="O25"/>
  <c r="S23"/>
  <c r="P23"/>
  <c r="O23"/>
  <c r="S21"/>
  <c r="P21"/>
  <c r="O21"/>
  <c r="S19"/>
  <c r="P19"/>
  <c r="O19"/>
  <c r="S17"/>
  <c r="P17"/>
  <c r="O17"/>
  <c r="S15"/>
  <c r="P15"/>
  <c r="O15"/>
  <c r="S13"/>
  <c r="P13"/>
  <c r="O13"/>
  <c r="S11"/>
  <c r="P11"/>
  <c r="O11"/>
  <c r="S9"/>
  <c r="P9"/>
  <c r="O9"/>
  <c r="S7"/>
  <c r="P7"/>
  <c r="O7"/>
  <c r="H183"/>
  <c r="G183"/>
  <c r="F183"/>
  <c r="H181"/>
  <c r="G181"/>
  <c r="F181"/>
  <c r="H179"/>
  <c r="G179"/>
  <c r="F179"/>
  <c r="H177"/>
  <c r="G177"/>
  <c r="F177"/>
  <c r="H175"/>
  <c r="G175"/>
  <c r="F175"/>
  <c r="H173"/>
  <c r="G173"/>
  <c r="F173"/>
  <c r="H171"/>
  <c r="G171"/>
  <c r="F171"/>
  <c r="H169"/>
  <c r="G169"/>
  <c r="F169"/>
  <c r="H167"/>
  <c r="G167"/>
  <c r="F167"/>
  <c r="H163"/>
  <c r="G163"/>
  <c r="F163"/>
  <c r="H161"/>
  <c r="G161"/>
  <c r="F161"/>
  <c r="H159"/>
  <c r="G159"/>
  <c r="F159"/>
  <c r="H157"/>
  <c r="G157"/>
  <c r="F157"/>
  <c r="H155"/>
  <c r="G155"/>
  <c r="F155"/>
  <c r="H153"/>
  <c r="G153"/>
  <c r="F153"/>
  <c r="H151"/>
  <c r="G151"/>
  <c r="F151"/>
  <c r="H149"/>
  <c r="G149"/>
  <c r="F149"/>
  <c r="H147"/>
  <c r="G147"/>
  <c r="F147"/>
  <c r="H145"/>
  <c r="G145"/>
  <c r="F145"/>
  <c r="H143"/>
  <c r="G143"/>
  <c r="F143"/>
  <c r="H141"/>
  <c r="G141"/>
  <c r="F141"/>
  <c r="H137"/>
  <c r="G137"/>
  <c r="F137"/>
  <c r="H135"/>
  <c r="G135"/>
  <c r="F135"/>
  <c r="H133"/>
  <c r="G133"/>
  <c r="F133"/>
  <c r="H131"/>
  <c r="G131"/>
  <c r="F131"/>
  <c r="H129"/>
  <c r="G129"/>
  <c r="F129"/>
  <c r="H127"/>
  <c r="G127"/>
  <c r="F127"/>
  <c r="H123"/>
  <c r="G123"/>
  <c r="F123"/>
  <c r="H121"/>
  <c r="G121"/>
  <c r="F121"/>
  <c r="H119"/>
  <c r="G119"/>
  <c r="F119"/>
  <c r="H117"/>
  <c r="G117"/>
  <c r="F117"/>
  <c r="H115"/>
  <c r="G115"/>
  <c r="F115"/>
  <c r="H113"/>
  <c r="G113"/>
  <c r="F113"/>
  <c r="H111"/>
  <c r="G111"/>
  <c r="F111"/>
  <c r="H109"/>
  <c r="G109"/>
  <c r="F109"/>
  <c r="H107"/>
  <c r="G107"/>
  <c r="F107"/>
  <c r="H105"/>
  <c r="G105"/>
  <c r="F105"/>
  <c r="H103"/>
  <c r="G103"/>
  <c r="F103"/>
  <c r="H101"/>
  <c r="G101"/>
  <c r="F101"/>
  <c r="H99"/>
  <c r="G99"/>
  <c r="F99"/>
  <c r="H97"/>
  <c r="G97"/>
  <c r="F97"/>
  <c r="H93"/>
  <c r="G93"/>
  <c r="F93"/>
  <c r="H91"/>
  <c r="G91"/>
  <c r="F91"/>
  <c r="H89"/>
  <c r="G89"/>
  <c r="F89"/>
  <c r="H87"/>
  <c r="G87"/>
  <c r="F87"/>
  <c r="H85"/>
  <c r="G85"/>
  <c r="F85"/>
  <c r="H83"/>
  <c r="G83"/>
  <c r="F83"/>
  <c r="H81"/>
  <c r="G81"/>
  <c r="F81"/>
  <c r="H77"/>
  <c r="G77"/>
  <c r="F77"/>
  <c r="H75"/>
  <c r="G75"/>
  <c r="F75"/>
  <c r="H73"/>
  <c r="G73"/>
  <c r="F73"/>
  <c r="H71"/>
  <c r="G71"/>
  <c r="F71"/>
  <c r="H69"/>
  <c r="G69"/>
  <c r="F69"/>
  <c r="H67"/>
  <c r="G67"/>
  <c r="F67"/>
  <c r="H63"/>
  <c r="G63"/>
  <c r="F63"/>
  <c r="H61"/>
  <c r="G61"/>
  <c r="F61"/>
  <c r="H59"/>
  <c r="G59"/>
  <c r="F59"/>
  <c r="H57"/>
  <c r="G57"/>
  <c r="F57"/>
  <c r="H55"/>
  <c r="G55"/>
  <c r="F55"/>
  <c r="H53"/>
  <c r="G53"/>
  <c r="F53"/>
  <c r="H51"/>
  <c r="G51"/>
  <c r="F51"/>
  <c r="H49"/>
  <c r="G49"/>
  <c r="F49"/>
  <c r="H47"/>
  <c r="G47"/>
  <c r="F47"/>
  <c r="H45"/>
  <c r="G45"/>
  <c r="F45"/>
  <c r="H43"/>
  <c r="G43"/>
  <c r="F43"/>
  <c r="H39"/>
  <c r="G39"/>
  <c r="F39"/>
  <c r="H37"/>
  <c r="G37"/>
  <c r="F37"/>
  <c r="H35"/>
  <c r="G35"/>
  <c r="F35"/>
  <c r="H33"/>
  <c r="G33"/>
  <c r="F33"/>
  <c r="H31"/>
  <c r="G31"/>
  <c r="F31"/>
  <c r="H29"/>
  <c r="G29"/>
  <c r="F29"/>
  <c r="H27"/>
  <c r="G27"/>
  <c r="F27"/>
  <c r="H25"/>
  <c r="G25"/>
  <c r="F25"/>
  <c r="H23"/>
  <c r="G23"/>
  <c r="F23"/>
  <c r="H21"/>
  <c r="G21"/>
  <c r="F21"/>
  <c r="H19"/>
  <c r="G19"/>
  <c r="F19"/>
  <c r="H17"/>
  <c r="G17"/>
  <c r="F17"/>
  <c r="H15"/>
  <c r="G15"/>
  <c r="F15"/>
  <c r="H13"/>
  <c r="G13"/>
  <c r="F13"/>
  <c r="H11"/>
  <c r="G11"/>
  <c r="F11"/>
  <c r="H9"/>
  <c r="G9"/>
  <c r="F9"/>
  <c r="F7"/>
  <c r="H7"/>
  <c r="G7"/>
  <c r="V183"/>
  <c r="U182"/>
  <c r="V181"/>
  <c r="U180"/>
  <c r="V179"/>
  <c r="U178"/>
  <c r="V177"/>
  <c r="U176"/>
  <c r="V175"/>
  <c r="U174"/>
  <c r="V173"/>
  <c r="U172"/>
  <c r="V171"/>
  <c r="U170"/>
  <c r="V169"/>
  <c r="U168"/>
  <c r="V167"/>
  <c r="U166"/>
  <c r="V163"/>
  <c r="U162"/>
  <c r="V161"/>
  <c r="U160"/>
  <c r="V159"/>
  <c r="U158"/>
  <c r="V157"/>
  <c r="U156"/>
  <c r="U154"/>
  <c r="V153"/>
  <c r="U152"/>
  <c r="V151"/>
  <c r="U150"/>
  <c r="V149"/>
  <c r="U148"/>
  <c r="V147"/>
  <c r="U146"/>
  <c r="V145"/>
  <c r="U144"/>
  <c r="V143"/>
  <c r="U142"/>
  <c r="V141"/>
  <c r="U140"/>
  <c r="U136"/>
  <c r="V135"/>
  <c r="U134"/>
  <c r="V133"/>
  <c r="U132"/>
  <c r="V131"/>
  <c r="U130"/>
  <c r="V129"/>
  <c r="U128"/>
  <c r="V127"/>
  <c r="U126"/>
  <c r="V123"/>
  <c r="U122"/>
  <c r="V121"/>
  <c r="U120"/>
  <c r="V119"/>
  <c r="U118"/>
  <c r="V117"/>
  <c r="U116"/>
  <c r="V115"/>
  <c r="U114"/>
  <c r="V113"/>
  <c r="U112"/>
  <c r="V111"/>
  <c r="U110"/>
  <c r="V109"/>
  <c r="U108"/>
  <c r="V107"/>
  <c r="U106"/>
  <c r="V105"/>
  <c r="U104"/>
  <c r="V103"/>
  <c r="U102"/>
  <c r="V101"/>
  <c r="U100"/>
  <c r="V99"/>
  <c r="U98"/>
  <c r="V97"/>
  <c r="U96"/>
  <c r="V93"/>
  <c r="U92"/>
  <c r="V91"/>
  <c r="U90"/>
  <c r="V89"/>
  <c r="U88"/>
  <c r="V87"/>
  <c r="U86"/>
  <c r="V85"/>
  <c r="U84"/>
  <c r="V83"/>
  <c r="U82"/>
  <c r="V81"/>
  <c r="U80"/>
  <c r="V77"/>
  <c r="U76"/>
  <c r="V75"/>
  <c r="U74"/>
  <c r="V73"/>
  <c r="U72"/>
  <c r="V71"/>
  <c r="U70"/>
  <c r="V69"/>
  <c r="U68"/>
  <c r="V67"/>
  <c r="U66"/>
  <c r="V63"/>
  <c r="U62"/>
  <c r="V61"/>
  <c r="U60"/>
  <c r="V59"/>
  <c r="U58"/>
  <c r="V57"/>
  <c r="U56"/>
  <c r="V55"/>
  <c r="U54"/>
  <c r="V53"/>
  <c r="U52"/>
  <c r="V51"/>
  <c r="U50"/>
  <c r="V49"/>
  <c r="U48"/>
  <c r="V47"/>
  <c r="U46"/>
  <c r="V45"/>
  <c r="U44"/>
  <c r="V43"/>
  <c r="U42"/>
  <c r="V39"/>
  <c r="U38"/>
  <c r="V37"/>
  <c r="U36"/>
  <c r="V35"/>
  <c r="U34"/>
  <c r="V33"/>
  <c r="U32"/>
  <c r="V31"/>
  <c r="U30"/>
  <c r="V29"/>
  <c r="U28"/>
  <c r="V27"/>
  <c r="U26"/>
  <c r="V25"/>
  <c r="U24"/>
  <c r="V23"/>
  <c r="U22"/>
  <c r="V21"/>
  <c r="U20"/>
  <c r="V19"/>
  <c r="U18"/>
  <c r="V17"/>
  <c r="U16"/>
  <c r="V15"/>
  <c r="U14"/>
  <c r="V13"/>
  <c r="U12"/>
  <c r="V11"/>
  <c r="U10"/>
  <c r="V9"/>
  <c r="U8"/>
  <c r="V7"/>
  <c r="U6"/>
  <c r="V5"/>
  <c r="U4"/>
  <c r="T46"/>
  <c r="T48"/>
  <c r="T50"/>
  <c r="T52"/>
  <c r="T54"/>
  <c r="T56"/>
  <c r="T58"/>
  <c r="T60"/>
  <c r="T62"/>
  <c r="T66"/>
  <c r="T68"/>
  <c r="T70"/>
  <c r="T72"/>
  <c r="T74"/>
  <c r="T76"/>
  <c r="T80"/>
  <c r="T82"/>
  <c r="T84"/>
  <c r="T86"/>
  <c r="T88"/>
  <c r="T90"/>
  <c r="T92"/>
  <c r="T96"/>
  <c r="T98"/>
  <c r="T100"/>
  <c r="T102"/>
  <c r="T104"/>
  <c r="T106"/>
  <c r="T108"/>
  <c r="T110"/>
  <c r="T112"/>
  <c r="T114"/>
  <c r="T116"/>
  <c r="T118"/>
  <c r="T120"/>
  <c r="T122"/>
  <c r="T126"/>
  <c r="T128"/>
  <c r="T130"/>
  <c r="T132"/>
  <c r="T134"/>
  <c r="T136"/>
  <c r="T140"/>
  <c r="T142"/>
  <c r="T144"/>
  <c r="T146"/>
  <c r="T148"/>
  <c r="T150"/>
  <c r="T152"/>
  <c r="T154"/>
  <c r="T156"/>
  <c r="T158"/>
  <c r="T160"/>
  <c r="T162"/>
  <c r="T166"/>
  <c r="T168"/>
  <c r="T170"/>
  <c r="T172"/>
  <c r="T174"/>
  <c r="T176"/>
  <c r="T180"/>
  <c r="T182"/>
  <c r="T6"/>
  <c r="T8"/>
  <c r="T10"/>
  <c r="T12"/>
  <c r="T14"/>
  <c r="T16"/>
  <c r="T18"/>
  <c r="T20"/>
  <c r="T22"/>
  <c r="T24"/>
  <c r="T26"/>
  <c r="T28"/>
  <c r="T30"/>
  <c r="T32"/>
  <c r="T34"/>
  <c r="T36"/>
  <c r="T38"/>
  <c r="T42"/>
  <c r="T44"/>
  <c r="T4"/>
  <c r="S5"/>
  <c r="P5"/>
  <c r="O5"/>
  <c r="H5"/>
  <c r="G5"/>
  <c r="F5"/>
  <c r="AC192"/>
  <c r="Z124"/>
  <c r="AA192"/>
  <c r="G139"/>
  <c r="Z78"/>
  <c r="T40"/>
  <c r="T138"/>
  <c r="F79"/>
  <c r="H79"/>
  <c r="O79"/>
  <c r="S79"/>
  <c r="F95"/>
  <c r="H95"/>
  <c r="O95"/>
  <c r="S95"/>
  <c r="F125"/>
  <c r="H125"/>
  <c r="O125"/>
  <c r="S125"/>
  <c r="F139"/>
  <c r="H139"/>
  <c r="S139"/>
  <c r="F165"/>
  <c r="H165"/>
  <c r="T184"/>
  <c r="P79"/>
  <c r="P95"/>
  <c r="P125"/>
  <c r="P139"/>
  <c r="P165"/>
  <c r="AD78"/>
  <c r="AD94"/>
  <c r="AD124"/>
  <c r="O139"/>
  <c r="AD138"/>
  <c r="O165"/>
  <c r="S165"/>
  <c r="AD164"/>
  <c r="S185"/>
  <c r="T164"/>
  <c r="T78"/>
  <c r="V125"/>
  <c r="U124"/>
  <c r="V185"/>
  <c r="U184"/>
  <c r="AD184"/>
  <c r="O185"/>
  <c r="F185"/>
  <c r="H185"/>
  <c r="F41"/>
  <c r="H41"/>
  <c r="O41"/>
  <c r="F65"/>
  <c r="H65"/>
  <c r="O65"/>
  <c r="S65"/>
  <c r="V79"/>
  <c r="U78"/>
  <c r="V95"/>
  <c r="U94"/>
  <c r="V139"/>
  <c r="U138"/>
  <c r="V165"/>
  <c r="U164"/>
  <c r="P185"/>
  <c r="G185"/>
  <c r="T124"/>
  <c r="T94"/>
  <c r="P41"/>
  <c r="P65"/>
  <c r="AD40"/>
  <c r="AD64"/>
  <c r="T64"/>
  <c r="V41"/>
  <c r="U40"/>
  <c r="V65"/>
  <c r="U64"/>
  <c r="AD174"/>
  <c r="AD46"/>
  <c r="AD72"/>
  <c r="AD4"/>
  <c r="AD6"/>
  <c r="AD8"/>
  <c r="AD74"/>
  <c r="AD50"/>
  <c r="AD10"/>
  <c r="AD38"/>
  <c r="AD62"/>
  <c r="AD180"/>
  <c r="AD150"/>
  <c r="AD12"/>
  <c r="AD154"/>
  <c r="AD84"/>
  <c r="AD52"/>
  <c r="AD14"/>
  <c r="AD168"/>
  <c r="AD86"/>
  <c r="AD156"/>
  <c r="AD110"/>
  <c r="AD16"/>
  <c r="AD70"/>
  <c r="AD152"/>
  <c r="AD126"/>
  <c r="AD18"/>
  <c r="AD54"/>
  <c r="AD20"/>
  <c r="AD176"/>
  <c r="AD22"/>
  <c r="AD56"/>
  <c r="AD48"/>
  <c r="AD112"/>
  <c r="AD58"/>
  <c r="AD158"/>
  <c r="AD160"/>
  <c r="AD114"/>
  <c r="AD24"/>
  <c r="AD116"/>
  <c r="AD108"/>
  <c r="AD170"/>
  <c r="AD60"/>
  <c r="AD66"/>
  <c r="AD140"/>
  <c r="AD96"/>
  <c r="AD142"/>
  <c r="AD80"/>
  <c r="AD82"/>
  <c r="AD68"/>
  <c r="AD42"/>
  <c r="AD44"/>
  <c r="AD98"/>
  <c r="AD100"/>
  <c r="AD166"/>
  <c r="AD88"/>
  <c r="AD102"/>
  <c r="AD144"/>
  <c r="AD146"/>
  <c r="AD76"/>
  <c r="AD26"/>
  <c r="AD118"/>
  <c r="AD120"/>
  <c r="AD178"/>
  <c r="AD128"/>
  <c r="AD28"/>
  <c r="AD92"/>
  <c r="AD30"/>
  <c r="AD32"/>
  <c r="AD162"/>
  <c r="AD34"/>
  <c r="AD130"/>
  <c r="AD104"/>
  <c r="AD122"/>
  <c r="AD172"/>
  <c r="AD132"/>
  <c r="AD136"/>
  <c r="AD90"/>
  <c r="AD106"/>
  <c r="AD182"/>
  <c r="AD134"/>
  <c r="AD36"/>
  <c r="AD148"/>
  <c r="Z174"/>
  <c r="Z46"/>
  <c r="Z72"/>
  <c r="Z4"/>
  <c r="Z6"/>
  <c r="Z8"/>
  <c r="Z74"/>
  <c r="Z50"/>
  <c r="Z10"/>
  <c r="Z38"/>
  <c r="Z62"/>
  <c r="Z180"/>
  <c r="Z150"/>
  <c r="Z12"/>
  <c r="Z154"/>
  <c r="Z84"/>
  <c r="Z52"/>
  <c r="Z14"/>
  <c r="Z168"/>
  <c r="Z86"/>
  <c r="Z156"/>
  <c r="Z110"/>
  <c r="Z16"/>
  <c r="Z70"/>
  <c r="Z152"/>
  <c r="Z126"/>
  <c r="Z18"/>
  <c r="Z54"/>
  <c r="Z20"/>
  <c r="Z176"/>
  <c r="Z22"/>
  <c r="Z56"/>
  <c r="Z48"/>
  <c r="Z112"/>
  <c r="Z58"/>
  <c r="Z158"/>
  <c r="Z160"/>
  <c r="Z114"/>
  <c r="Z24"/>
  <c r="Z116"/>
  <c r="Z108"/>
  <c r="Z170"/>
  <c r="Z60"/>
  <c r="Z66"/>
  <c r="Z140"/>
  <c r="Z96"/>
  <c r="Z142"/>
  <c r="Z80"/>
  <c r="Z82"/>
  <c r="Z68"/>
  <c r="Z42"/>
  <c r="Z44"/>
  <c r="Z98"/>
  <c r="Z100"/>
  <c r="Z166"/>
  <c r="Z88"/>
  <c r="Z102"/>
  <c r="Z144"/>
  <c r="Z146"/>
  <c r="Z76"/>
  <c r="Z26"/>
  <c r="Z118"/>
  <c r="Z120"/>
  <c r="Z178"/>
  <c r="Z128"/>
  <c r="Z28"/>
  <c r="Z92"/>
  <c r="Z30"/>
  <c r="Z32"/>
  <c r="Z162"/>
  <c r="Z34"/>
  <c r="Z130"/>
  <c r="Z104"/>
  <c r="Z122"/>
  <c r="Z172"/>
  <c r="Z132"/>
  <c r="Z136"/>
  <c r="Z90"/>
  <c r="Z106"/>
  <c r="Z182"/>
  <c r="Z134"/>
  <c r="Z36"/>
  <c r="Z148"/>
  <c r="AD192"/>
  <c r="F193"/>
  <c r="S193"/>
  <c r="P193"/>
  <c r="O193"/>
  <c r="H193"/>
  <c r="Z192"/>
  <c r="G193"/>
  <c r="U192"/>
</calcChain>
</file>

<file path=xl/sharedStrings.xml><?xml version="1.0" encoding="utf-8"?>
<sst xmlns="http://schemas.openxmlformats.org/spreadsheetml/2006/main" count="337" uniqueCount="136">
  <si>
    <t>Субъект РФ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</si>
  <si>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</si>
  <si>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</si>
  <si>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</si>
  <si>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</si>
  <si>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</si>
  <si>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</si>
  <si>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</si>
  <si>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</si>
  <si>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</si>
  <si>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</si>
  <si>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</si>
  <si>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</si>
  <si>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</si>
  <si>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</si>
  <si>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</si>
  <si>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</si>
  <si>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</si>
  <si>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</si>
  <si>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Центральный федеральный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</si>
  <si>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</si>
  <si>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</si>
  <si>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</si>
  <si>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</si>
  <si>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</si>
  <si>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</si>
  <si>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</si>
  <si>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</si>
  <si>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</si>
  <si>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</si>
  <si>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Северо-Западный федеральный округ</t>
  </si>
  <si>
    <t>Республика Адыгея (Адыгея)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</si>
  <si>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</si>
  <si>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</si>
  <si>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</si>
  <si>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</si>
  <si>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</si>
  <si>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Южный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</si>
  <si>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</si>
  <si>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</si>
  <si>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</si>
  <si>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</si>
  <si>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</si>
  <si>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</si>
  <si>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</si>
  <si>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Северо-Кавказский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</si>
  <si>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</si>
  <si>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</si>
  <si>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</si>
  <si>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 (Татарстан)</t>
  </si>
  <si>
    <t>Удмуртская республика</t>
  </si>
  <si>
    <t>Чувашская Республика-Чувашия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</si>
  <si>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</si>
  <si>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</si>
  <si>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</si>
  <si>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</si>
  <si>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</si>
  <si>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</si>
  <si>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</si>
  <si>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</si>
  <si>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Приволжский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</si>
  <si>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</si>
  <si>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</si>
  <si>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</si>
  <si>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</t>
  </si>
  <si>
    <t>Ямало-Ненецкий автономный округ</t>
  </si>
  <si>
    <t>Челябинская область</t>
  </si>
  <si>
    <t>Уральский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</si>
  <si>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</si>
  <si>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</si>
  <si>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</si>
  <si>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</si>
  <si>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</si>
  <si>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</si>
  <si>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</si>
  <si>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</si>
  <si>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</si>
  <si>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</si>
  <si>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</si>
  <si>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</si>
  <si>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Сибирский федеральный округ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</si>
  <si>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</si>
  <si>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</si>
  <si>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</si>
  <si>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</si>
  <si>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</si>
  <si>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</si>
  <si>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</si>
  <si>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</si>
  <si>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</si>
  <si>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Дальневосточный федеральный округ</t>
  </si>
  <si>
    <t>Российская Федерация</t>
  </si>
  <si>
    <t>Кадры</t>
  </si>
  <si>
    <t>Численность занимающихся в клубах, в том числе по месту жительства</t>
  </si>
  <si>
    <t>Количество учащихся отнесеных к спецмед-группе</t>
  </si>
  <si>
    <t>Из них посещают занятия в спецмед-группе</t>
  </si>
  <si>
    <t>Численность занимающихся группах и секциях по видам спорта</t>
  </si>
  <si>
    <t>Спортивные сооружения</t>
  </si>
  <si>
    <t>Всего</t>
  </si>
  <si>
    <t>Плоскостные спорт-сооружения</t>
  </si>
  <si>
    <t>Залы</t>
  </si>
  <si>
    <t>Бассейны</t>
  </si>
  <si>
    <t>Площадь спортивных сооружений</t>
  </si>
  <si>
    <t>Численность занимающихся</t>
  </si>
  <si>
    <t>из них женщины</t>
  </si>
  <si>
    <t>Подготовлено разрядников</t>
  </si>
  <si>
    <t>ЕПС факт</t>
  </si>
  <si>
    <t>ЕПС норма</t>
  </si>
  <si>
    <t>Численность занимающихся на предприятиях, в учреждениях, организациях</t>
  </si>
  <si>
    <t>Численность занимающихся в учреждениях дополнительного образования</t>
  </si>
  <si>
    <t>Спортивные звания</t>
  </si>
  <si>
    <t>Массовые разряды</t>
  </si>
  <si>
    <t>Финансирование физической культуры и спорта (тыс.руб.)</t>
  </si>
  <si>
    <t>Внебюджетные средства</t>
  </si>
  <si>
    <t>Финансиро-вание ФКиС
на 1 жителя (руб.)</t>
  </si>
  <si>
    <t>% внебюд-жетных</t>
  </si>
  <si>
    <t>Всего израсхо-довано на ФКиС</t>
  </si>
  <si>
    <t>% от норма-тива ЕПС</t>
  </si>
  <si>
    <t>Плоскост-
ные спорт-сооружения</t>
  </si>
  <si>
    <t>Ненецкий автономный округ</t>
  </si>
  <si>
    <t>Женщины</t>
  </si>
  <si>
    <t>ЦФО</t>
  </si>
  <si>
    <t>СЗФО</t>
  </si>
  <si>
    <t>ЮФО</t>
  </si>
  <si>
    <t>СКФО</t>
  </si>
  <si>
    <t>ПФО</t>
  </si>
  <si>
    <t>УФО</t>
  </si>
  <si>
    <t>СФО</t>
  </si>
  <si>
    <t>ДФО</t>
  </si>
  <si>
    <t>РФ</t>
  </si>
  <si>
    <t>Стадионы</t>
  </si>
  <si>
    <t>Население 3-79</t>
  </si>
  <si>
    <t>Республика Крым</t>
  </si>
  <si>
    <t>г. Севастополь</t>
  </si>
  <si>
    <t>Крымский федеральный округ</t>
  </si>
  <si>
    <t>КФО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</si>
</sst>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#,##0.0"/>
  </numFmts>
  <fonts count="14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sz val="7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7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1" xfId="9" applyFont="1" applyBorder="1" applyAlignment="1">
      <alignment horizontal="center" vertical="center" wrapText="1"/>
    </xf>
    <xf numFmtId="0" fontId="8" fillId="0" borderId="0" xfId="0" applyFont="1" applyBorder="1" applyAlignment="1"/>
    <xf numFmtId="0" fontId="8" fillId="2" borderId="0" xfId="0" applyFont="1" applyFill="1" applyBorder="1" applyAlignment="1"/>
    <xf numFmtId="0" fontId="9" fillId="0" borderId="0" xfId="0" applyFont="1" applyBorder="1" applyAlignment="1"/>
    <xf numFmtId="0" fontId="2" fillId="3" borderId="1" xfId="7" applyFont="1" applyFill="1" applyBorder="1" applyAlignment="1">
      <alignment horizontal="center" vertical="center" wrapText="1"/>
    </xf>
    <xf numFmtId="3" fontId="5" fillId="0" borderId="2" xfId="0" applyNumberFormat="1" applyFont="1" applyBorder="1"/>
    <xf numFmtId="3" fontId="5" fillId="2" borderId="2" xfId="0" applyNumberFormat="1" applyFont="1" applyFill="1" applyBorder="1"/>
    <xf numFmtId="3" fontId="5" fillId="0" borderId="2" xfId="0" applyNumberFormat="1" applyFont="1" applyBorder="1" applyAlignment="1"/>
    <xf numFmtId="164" fontId="5" fillId="0" borderId="2" xfId="11" applyNumberFormat="1" applyFont="1" applyBorder="1" applyAlignment="1"/>
    <xf numFmtId="165" fontId="5" fillId="0" borderId="2" xfId="0" applyNumberFormat="1" applyFont="1" applyBorder="1"/>
    <xf numFmtId="3" fontId="5" fillId="0" borderId="3" xfId="0" applyNumberFormat="1" applyFont="1" applyBorder="1"/>
    <xf numFmtId="164" fontId="5" fillId="0" borderId="3" xfId="11" applyNumberFormat="1" applyFont="1" applyBorder="1"/>
    <xf numFmtId="3" fontId="5" fillId="2" borderId="3" xfId="0" applyNumberFormat="1" applyFont="1" applyFill="1" applyBorder="1"/>
    <xf numFmtId="0" fontId="5" fillId="0" borderId="3" xfId="0" applyFont="1" applyBorder="1" applyAlignment="1"/>
    <xf numFmtId="164" fontId="5" fillId="0" borderId="3" xfId="11" applyNumberFormat="1" applyFont="1" applyBorder="1" applyAlignment="1"/>
    <xf numFmtId="165" fontId="5" fillId="0" borderId="3" xfId="0" applyNumberFormat="1" applyFont="1" applyBorder="1"/>
    <xf numFmtId="3" fontId="2" fillId="2" borderId="4" xfId="0" applyNumberFormat="1" applyFont="1" applyFill="1" applyBorder="1"/>
    <xf numFmtId="0" fontId="10" fillId="0" borderId="0" xfId="0" applyFont="1" applyBorder="1" applyAlignment="1"/>
    <xf numFmtId="164" fontId="2" fillId="0" borderId="2" xfId="11" applyNumberFormat="1" applyFont="1" applyBorder="1" applyAlignment="1"/>
    <xf numFmtId="165" fontId="2" fillId="0" borderId="2" xfId="0" applyNumberFormat="1" applyFont="1" applyBorder="1"/>
    <xf numFmtId="164" fontId="2" fillId="0" borderId="3" xfId="11" applyNumberFormat="1" applyFont="1" applyBorder="1"/>
    <xf numFmtId="3" fontId="2" fillId="0" borderId="2" xfId="0" applyNumberFormat="1" applyFont="1" applyBorder="1"/>
    <xf numFmtId="3" fontId="2" fillId="2" borderId="2" xfId="0" applyNumberFormat="1" applyFont="1" applyFill="1" applyBorder="1"/>
    <xf numFmtId="3" fontId="2" fillId="0" borderId="3" xfId="0" applyNumberFormat="1" applyFont="1" applyBorder="1"/>
    <xf numFmtId="3" fontId="2" fillId="2" borderId="3" xfId="0" applyNumberFormat="1" applyFont="1" applyFill="1" applyBorder="1"/>
    <xf numFmtId="0" fontId="2" fillId="0" borderId="3" xfId="0" applyFont="1" applyBorder="1" applyAlignment="1"/>
    <xf numFmtId="164" fontId="2" fillId="0" borderId="3" xfId="11" applyNumberFormat="1" applyFont="1" applyBorder="1" applyAlignment="1"/>
    <xf numFmtId="165" fontId="2" fillId="0" borderId="3" xfId="0" applyNumberFormat="1" applyFont="1" applyBorder="1"/>
    <xf numFmtId="0" fontId="4" fillId="2" borderId="2" xfId="6" applyFont="1" applyFill="1" applyBorder="1" applyAlignment="1">
      <alignment horizontal="center" vertical="center" wrapText="1"/>
    </xf>
    <xf numFmtId="0" fontId="11" fillId="0" borderId="0" xfId="0" applyFont="1" applyFill="1" applyAlignment="1"/>
    <xf numFmtId="0" fontId="4" fillId="0" borderId="0" xfId="0" applyFont="1" applyFill="1" applyAlignment="1"/>
    <xf numFmtId="0" fontId="11" fillId="0" borderId="0" xfId="0" applyFont="1" applyFill="1"/>
    <xf numFmtId="0" fontId="4" fillId="0" borderId="0" xfId="0" applyFont="1" applyFill="1"/>
    <xf numFmtId="0" fontId="4" fillId="0" borderId="2" xfId="5" applyFont="1" applyFill="1" applyBorder="1" applyAlignment="1">
      <alignment horizontal="center" vertical="center"/>
    </xf>
    <xf numFmtId="0" fontId="4" fillId="0" borderId="2" xfId="5" applyFont="1" applyFill="1" applyBorder="1" applyAlignment="1">
      <alignment horizontal="center" vertical="center" wrapText="1"/>
    </xf>
    <xf numFmtId="0" fontId="4" fillId="0" borderId="2" xfId="8" applyFont="1" applyFill="1" applyBorder="1" applyAlignment="1">
      <alignment horizontal="center" vertical="center" wrapText="1"/>
    </xf>
    <xf numFmtId="0" fontId="4" fillId="0" borderId="2" xfId="10" applyFont="1" applyFill="1" applyBorder="1" applyAlignment="1">
      <alignment horizontal="center" vertical="center" wrapText="1"/>
    </xf>
    <xf numFmtId="0" fontId="4" fillId="0" borderId="2" xfId="9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10" fillId="0" borderId="0" xfId="0" applyFont="1" applyFill="1" applyAlignment="1"/>
    <xf numFmtId="0" fontId="10" fillId="0" borderId="0" xfId="0" applyFont="1" applyFill="1"/>
    <xf numFmtId="0" fontId="12" fillId="0" borderId="0" xfId="0" applyFont="1" applyBorder="1" applyAlignment="1"/>
    <xf numFmtId="0" fontId="6" fillId="0" borderId="0" xfId="0" applyFont="1" applyBorder="1" applyAlignment="1"/>
    <xf numFmtId="0" fontId="13" fillId="0" borderId="0" xfId="0" applyFont="1" applyBorder="1" applyAlignment="1"/>
    <xf numFmtId="0" fontId="11" fillId="0" borderId="0" xfId="0" applyFont="1" applyBorder="1" applyAlignment="1"/>
    <xf numFmtId="0" fontId="4" fillId="0" borderId="0" xfId="0" applyFont="1" applyBorder="1" applyAlignment="1"/>
    <xf numFmtId="0" fontId="2" fillId="0" borderId="1" xfId="5" applyFont="1" applyBorder="1" applyAlignment="1">
      <alignment horizontal="center" vertical="center" wrapText="1"/>
    </xf>
    <xf numFmtId="0" fontId="2" fillId="3" borderId="1" xfId="6" applyFont="1" applyFill="1" applyBorder="1" applyAlignment="1">
      <alignment horizontal="center" vertical="center" wrapText="1"/>
    </xf>
    <xf numFmtId="165" fontId="5" fillId="0" borderId="2" xfId="0" applyNumberFormat="1" applyFont="1" applyFill="1" applyBorder="1"/>
    <xf numFmtId="0" fontId="5" fillId="0" borderId="0" xfId="0" applyFont="1" applyBorder="1" applyAlignment="1"/>
    <xf numFmtId="0" fontId="2" fillId="0" borderId="0" xfId="0" applyFont="1" applyBorder="1" applyAlignment="1"/>
    <xf numFmtId="0" fontId="5" fillId="0" borderId="2" xfId="0" applyFont="1" applyBorder="1"/>
    <xf numFmtId="0" fontId="5" fillId="2" borderId="2" xfId="0" applyFont="1" applyFill="1" applyBorder="1"/>
    <xf numFmtId="3" fontId="2" fillId="0" borderId="4" xfId="0" applyNumberFormat="1" applyFont="1" applyBorder="1"/>
    <xf numFmtId="164" fontId="2" fillId="0" borderId="4" xfId="11" applyNumberFormat="1" applyFont="1" applyBorder="1" applyAlignment="1"/>
    <xf numFmtId="165" fontId="2" fillId="0" borderId="4" xfId="0" applyNumberFormat="1" applyFont="1" applyBorder="1"/>
    <xf numFmtId="164" fontId="2" fillId="0" borderId="4" xfId="11" applyNumberFormat="1" applyFont="1" applyBorder="1"/>
    <xf numFmtId="0" fontId="2" fillId="0" borderId="4" xfId="0" applyFont="1" applyBorder="1" applyAlignment="1"/>
    <xf numFmtId="164" fontId="2" fillId="0" borderId="5" xfId="11" applyNumberFormat="1" applyFont="1" applyBorder="1"/>
    <xf numFmtId="3" fontId="2" fillId="0" borderId="6" xfId="0" applyNumberFormat="1" applyFont="1" applyBorder="1"/>
    <xf numFmtId="3" fontId="2" fillId="2" borderId="7" xfId="0" applyNumberFormat="1" applyFont="1" applyFill="1" applyBorder="1"/>
    <xf numFmtId="0" fontId="5" fillId="0" borderId="2" xfId="11" applyNumberFormat="1" applyFont="1" applyBorder="1"/>
    <xf numFmtId="0" fontId="2" fillId="0" borderId="4" xfId="11" applyNumberFormat="1" applyFont="1" applyBorder="1"/>
    <xf numFmtId="164" fontId="5" fillId="0" borderId="2" xfId="0" applyNumberFormat="1" applyFont="1" applyBorder="1" applyAlignment="1"/>
    <xf numFmtId="0" fontId="2" fillId="0" borderId="8" xfId="11" applyNumberFormat="1" applyFont="1" applyBorder="1"/>
    <xf numFmtId="0" fontId="2" fillId="0" borderId="2" xfId="11" applyNumberFormat="1" applyFont="1" applyBorder="1"/>
    <xf numFmtId="3" fontId="5" fillId="0" borderId="8" xfId="0" applyNumberFormat="1" applyFont="1" applyBorder="1"/>
    <xf numFmtId="0" fontId="5" fillId="0" borderId="8" xfId="11" applyNumberFormat="1" applyFont="1" applyBorder="1"/>
    <xf numFmtId="3" fontId="5" fillId="2" borderId="9" xfId="0" applyNumberFormat="1" applyFont="1" applyFill="1" applyBorder="1"/>
    <xf numFmtId="3" fontId="5" fillId="0" borderId="5" xfId="0" applyNumberFormat="1" applyFont="1" applyBorder="1"/>
    <xf numFmtId="164" fontId="5" fillId="0" borderId="6" xfId="11" applyNumberFormat="1" applyFont="1" applyBorder="1"/>
    <xf numFmtId="164" fontId="5" fillId="0" borderId="4" xfId="11" applyNumberFormat="1" applyFont="1" applyBorder="1"/>
    <xf numFmtId="3" fontId="5" fillId="2" borderId="10" xfId="0" applyNumberFormat="1" applyFont="1" applyFill="1" applyBorder="1"/>
    <xf numFmtId="165" fontId="5" fillId="0" borderId="8" xfId="0" applyNumberFormat="1" applyFont="1" applyBorder="1"/>
    <xf numFmtId="165" fontId="5" fillId="0" borderId="5" xfId="0" applyNumberFormat="1" applyFont="1" applyBorder="1"/>
    <xf numFmtId="0" fontId="5" fillId="0" borderId="2" xfId="0" applyNumberFormat="1" applyFont="1" applyBorder="1"/>
    <xf numFmtId="0" fontId="5" fillId="0" borderId="8" xfId="0" applyNumberFormat="1" applyFont="1" applyBorder="1"/>
    <xf numFmtId="165" fontId="5" fillId="0" borderId="4" xfId="0" applyNumberFormat="1" applyFont="1" applyBorder="1"/>
    <xf numFmtId="9" fontId="2" fillId="0" borderId="3" xfId="11" applyNumberFormat="1" applyFont="1" applyBorder="1"/>
    <xf numFmtId="9" fontId="2" fillId="0" borderId="2" xfId="11" applyNumberFormat="1" applyFont="1" applyBorder="1" applyAlignment="1"/>
    <xf numFmtId="164" fontId="2" fillId="0" borderId="4" xfId="0" applyNumberFormat="1" applyFont="1" applyBorder="1" applyAlignment="1"/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2" xfId="5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2" fillId="0" borderId="11" xfId="5" applyFont="1" applyBorder="1" applyAlignment="1">
      <alignment horizontal="center" vertical="center" wrapText="1"/>
    </xf>
    <xf numFmtId="0" fontId="2" fillId="0" borderId="12" xfId="5" applyFont="1" applyBorder="1" applyAlignment="1">
      <alignment horizontal="center" vertical="center" wrapText="1"/>
    </xf>
    <xf numFmtId="0" fontId="2" fillId="0" borderId="13" xfId="5" applyFont="1" applyBorder="1" applyAlignment="1">
      <alignment horizontal="center" vertical="center" wrapText="1"/>
    </xf>
    <xf numFmtId="0" fontId="2" fillId="3" borderId="11" xfId="6" applyFont="1" applyFill="1" applyBorder="1" applyAlignment="1">
      <alignment horizontal="center" vertical="center" wrapText="1"/>
    </xf>
    <xf numFmtId="0" fontId="2" fillId="3" borderId="12" xfId="6" applyFont="1" applyFill="1" applyBorder="1" applyAlignment="1">
      <alignment horizontal="center" vertical="center" wrapText="1"/>
    </xf>
    <xf numFmtId="0" fontId="2" fillId="3" borderId="13" xfId="6" applyFont="1" applyFill="1" applyBorder="1" applyAlignment="1">
      <alignment horizontal="center" vertical="center" wrapText="1"/>
    </xf>
    <xf numFmtId="0" fontId="2" fillId="3" borderId="1" xfId="7" applyFont="1" applyFill="1" applyBorder="1" applyAlignment="1">
      <alignment horizontal="center" vertical="center" wrapText="1"/>
    </xf>
    <xf numFmtId="0" fontId="2" fillId="0" borderId="2" xfId="8" applyFont="1" applyBorder="1" applyAlignment="1">
      <alignment horizontal="center" vertical="center" wrapText="1"/>
    </xf>
    <xf numFmtId="0" fontId="2" fillId="0" borderId="3" xfId="8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4" applyFont="1" applyBorder="1" applyAlignment="1">
      <alignment horizontal="center" vertical="center" wrapText="1"/>
    </xf>
    <xf numFmtId="0" fontId="2" fillId="0" borderId="2" xfId="10" applyFont="1" applyBorder="1" applyAlignment="1">
      <alignment horizontal="center" vertical="center" wrapText="1"/>
    </xf>
    <xf numFmtId="0" fontId="2" fillId="0" borderId="3" xfId="1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0" fontId="2" fillId="0" borderId="13" xfId="2" applyFont="1" applyBorder="1" applyAlignment="1">
      <alignment horizontal="center" vertical="center" wrapText="1"/>
    </xf>
    <xf numFmtId="0" fontId="2" fillId="0" borderId="2" xfId="3" applyFont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</cellXfs>
  <cellStyles count="12">
    <cellStyle name="Обычный" xfId="0" builtinId="0"/>
    <cellStyle name="Обычный 10" xfId="1"/>
    <cellStyle name="Обычный 11" xfId="2"/>
    <cellStyle name="Обычный 12" xfId="3"/>
    <cellStyle name="Обычный 13" xfId="4"/>
    <cellStyle name="Обычный 3" xfId="5"/>
    <cellStyle name="Обычный 4" xfId="6"/>
    <cellStyle name="Обычный 5" xfId="7"/>
    <cellStyle name="Обычный 6" xfId="8"/>
    <cellStyle name="Обычный 7" xfId="9"/>
    <cellStyle name="Обычный 8" xfId="10"/>
    <cellStyle name="Процентный" xfId="1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93"/>
  <sheetViews>
    <sheetView showZeros="0" tabSelected="1" zoomScaleSheetLayoutView="100" workbookViewId="0">
      <pane xSplit="3" ySplit="3" topLeftCell="D4" activePane="bottomRight" state="frozenSplit"/>
      <selection pane="topRight" activeCell="C1" sqref="C1"/>
      <selection pane="bottomLeft" activeCell="A2" sqref="A2"/>
      <selection pane="bottomRight" activeCell="O15" sqref="O15"/>
    </sheetView>
  </sheetViews>
  <sheetFormatPr defaultRowHeight="11.25"/>
  <cols>
    <col min="1" max="1" width="2.85546875" style="46" bestFit="1" customWidth="1"/>
    <col min="2" max="2" width="4.85546875" style="46" bestFit="1" customWidth="1"/>
    <col min="3" max="3" width="18.7109375" style="4" customWidth="1"/>
    <col min="4" max="4" width="8.28515625" style="4" customWidth="1"/>
    <col min="5" max="5" width="9.140625" style="4" customWidth="1"/>
    <col min="6" max="6" width="10.85546875" style="4" bestFit="1" customWidth="1"/>
    <col min="7" max="7" width="8.28515625" style="4" customWidth="1"/>
    <col min="8" max="8" width="9.140625" style="4" customWidth="1"/>
    <col min="9" max="10" width="9.42578125" style="5" hidden="1" customWidth="1"/>
    <col min="11" max="11" width="9.5703125" style="5" hidden="1" customWidth="1"/>
    <col min="12" max="12" width="9.28515625" style="5" hidden="1" customWidth="1"/>
    <col min="13" max="13" width="10.28515625" style="5" hidden="1" customWidth="1"/>
    <col min="14" max="14" width="8.28515625" style="4" customWidth="1"/>
    <col min="15" max="15" width="12.7109375" style="4" bestFit="1" customWidth="1"/>
    <col min="16" max="16" width="9" style="4" bestFit="1" customWidth="1"/>
    <col min="17" max="17" width="13.5703125" style="4" customWidth="1"/>
    <col min="18" max="19" width="10" style="4" customWidth="1"/>
    <col min="20" max="20" width="11.140625" style="4" customWidth="1"/>
    <col min="21" max="22" width="9" style="4" customWidth="1"/>
    <col min="23" max="23" width="14.7109375" style="4" customWidth="1"/>
    <col min="24" max="24" width="16" style="4" customWidth="1"/>
    <col min="25" max="25" width="11.28515625" style="4" bestFit="1" customWidth="1"/>
    <col min="26" max="26" width="13.140625" style="4" bestFit="1" customWidth="1"/>
    <col min="27" max="27" width="13.28515625" style="4" bestFit="1" customWidth="1"/>
    <col min="28" max="28" width="12.7109375" style="4" customWidth="1"/>
    <col min="29" max="30" width="10.5703125" style="4" customWidth="1"/>
    <col min="31" max="16384" width="9.140625" style="4"/>
  </cols>
  <sheetData>
    <row r="1" spans="1:30" s="44" customFormat="1" ht="23.25" customHeight="1">
      <c r="A1" s="32"/>
      <c r="B1" s="33"/>
      <c r="C1" s="102" t="s">
        <v>0</v>
      </c>
      <c r="D1" s="104" t="s">
        <v>97</v>
      </c>
      <c r="E1" s="105"/>
      <c r="F1" s="105"/>
      <c r="G1" s="105"/>
      <c r="H1" s="106"/>
      <c r="I1" s="107" t="s">
        <v>102</v>
      </c>
      <c r="J1" s="108"/>
      <c r="K1" s="109"/>
      <c r="L1" s="110" t="s">
        <v>131</v>
      </c>
      <c r="M1" s="110"/>
      <c r="N1" s="111" t="s">
        <v>92</v>
      </c>
      <c r="O1" s="111" t="s">
        <v>103</v>
      </c>
      <c r="P1" s="111" t="s">
        <v>104</v>
      </c>
      <c r="Q1" s="111" t="s">
        <v>93</v>
      </c>
      <c r="R1" s="111" t="s">
        <v>94</v>
      </c>
      <c r="S1" s="111" t="s">
        <v>95</v>
      </c>
      <c r="T1" s="111" t="s">
        <v>105</v>
      </c>
      <c r="U1" s="115" t="s">
        <v>117</v>
      </c>
      <c r="V1" s="3" t="s">
        <v>106</v>
      </c>
      <c r="W1" s="117" t="s">
        <v>108</v>
      </c>
      <c r="X1" s="117" t="s">
        <v>109</v>
      </c>
      <c r="Y1" s="1" t="s">
        <v>110</v>
      </c>
      <c r="Z1" s="119" t="s">
        <v>112</v>
      </c>
      <c r="AA1" s="120"/>
      <c r="AB1" s="121" t="s">
        <v>96</v>
      </c>
      <c r="AC1" s="121" t="s">
        <v>116</v>
      </c>
      <c r="AD1" s="113" t="s">
        <v>114</v>
      </c>
    </row>
    <row r="2" spans="1:30" s="45" customFormat="1" ht="44.25" customHeight="1">
      <c r="A2" s="34"/>
      <c r="B2" s="35"/>
      <c r="C2" s="103"/>
      <c r="D2" s="51" t="s">
        <v>98</v>
      </c>
      <c r="E2" s="51" t="s">
        <v>130</v>
      </c>
      <c r="F2" s="51" t="s">
        <v>118</v>
      </c>
      <c r="G2" s="51" t="s">
        <v>100</v>
      </c>
      <c r="H2" s="51" t="s">
        <v>101</v>
      </c>
      <c r="I2" s="52" t="s">
        <v>99</v>
      </c>
      <c r="J2" s="52" t="s">
        <v>100</v>
      </c>
      <c r="K2" s="52" t="s">
        <v>101</v>
      </c>
      <c r="L2" s="7" t="s">
        <v>98</v>
      </c>
      <c r="M2" s="7" t="s">
        <v>120</v>
      </c>
      <c r="N2" s="112"/>
      <c r="O2" s="112"/>
      <c r="P2" s="112"/>
      <c r="Q2" s="112"/>
      <c r="R2" s="112"/>
      <c r="S2" s="112"/>
      <c r="T2" s="112"/>
      <c r="U2" s="116"/>
      <c r="V2" s="3" t="s">
        <v>107</v>
      </c>
      <c r="W2" s="118"/>
      <c r="X2" s="118"/>
      <c r="Y2" s="1" t="s">
        <v>111</v>
      </c>
      <c r="Z2" s="2" t="s">
        <v>115</v>
      </c>
      <c r="AA2" s="2" t="s">
        <v>113</v>
      </c>
      <c r="AB2" s="122"/>
      <c r="AC2" s="122"/>
      <c r="AD2" s="114"/>
    </row>
    <row r="3" spans="1:30" s="34" customFormat="1" ht="9">
      <c r="B3" s="35"/>
      <c r="C3" s="36"/>
      <c r="D3" s="37"/>
      <c r="E3" s="37"/>
      <c r="F3" s="37"/>
      <c r="G3" s="37"/>
      <c r="H3" s="37"/>
      <c r="I3" s="31"/>
      <c r="J3" s="31"/>
      <c r="K3" s="31"/>
      <c r="L3" s="31"/>
      <c r="M3" s="31"/>
      <c r="N3" s="38"/>
      <c r="O3" s="38"/>
      <c r="P3" s="38"/>
      <c r="Q3" s="38"/>
      <c r="R3" s="38"/>
      <c r="S3" s="38"/>
      <c r="T3" s="38"/>
      <c r="U3" s="39"/>
      <c r="V3" s="40"/>
      <c r="W3" s="41"/>
      <c r="X3" s="41"/>
      <c r="Y3" s="41"/>
      <c r="Z3" s="42"/>
      <c r="AA3" s="42"/>
      <c r="AB3" s="41"/>
      <c r="AC3" s="43"/>
      <c r="AD3" s="43"/>
    </row>
    <row r="4" spans="1:30">
      <c r="B4" s="47" t="s">
        <v>121</v>
      </c>
      <c r="C4" s="86" t="s">
        <v>1</v>
      </c>
      <c r="D4" s="8">
        <v>5705</v>
      </c>
      <c r="E4" s="8">
        <v>23</v>
      </c>
      <c r="F4" s="8">
        <v>3266</v>
      </c>
      <c r="G4" s="8">
        <v>821</v>
      </c>
      <c r="H4" s="8">
        <v>143</v>
      </c>
      <c r="I4" s="9">
        <f>F4*540</f>
        <v>1763640</v>
      </c>
      <c r="J4" s="9">
        <f>G4*400</f>
        <v>328400</v>
      </c>
      <c r="K4" s="9">
        <f>H4*200</f>
        <v>28600</v>
      </c>
      <c r="L4" s="57">
        <v>1437936</v>
      </c>
      <c r="M4" s="57">
        <v>766719</v>
      </c>
      <c r="N4" s="8">
        <v>4243</v>
      </c>
      <c r="O4" s="56">
        <v>522513</v>
      </c>
      <c r="P4" s="56">
        <v>170288</v>
      </c>
      <c r="Q4" s="8">
        <f>3634+1043+1722+7539+66569</f>
        <v>80507</v>
      </c>
      <c r="R4" s="8">
        <v>9714</v>
      </c>
      <c r="S4" s="8">
        <v>6661</v>
      </c>
      <c r="T4" s="10">
        <f>Y4+Y5</f>
        <v>20079</v>
      </c>
      <c r="U4" s="11">
        <f>V4/V5</f>
        <v>0.58628258984075998</v>
      </c>
      <c r="V4" s="56">
        <v>160177</v>
      </c>
      <c r="W4" s="8">
        <v>117838</v>
      </c>
      <c r="X4" s="8">
        <v>51329</v>
      </c>
      <c r="Y4" s="8">
        <v>110</v>
      </c>
      <c r="Z4" s="11">
        <f>AA4/AC4</f>
        <v>0.12119433210794951</v>
      </c>
      <c r="AA4" s="12">
        <v>164024.29999999999</v>
      </c>
      <c r="AB4" s="8">
        <v>323589</v>
      </c>
      <c r="AC4" s="12">
        <v>1353399.1</v>
      </c>
      <c r="AD4" s="12">
        <f>AC4*1000/L4</f>
        <v>941.2095531372745</v>
      </c>
    </row>
    <row r="5" spans="1:30">
      <c r="B5" s="47" t="s">
        <v>121</v>
      </c>
      <c r="C5" s="87"/>
      <c r="D5" s="13"/>
      <c r="E5" s="13"/>
      <c r="F5" s="14">
        <f>I4/L4/1.95</f>
        <v>0.62897845886796711</v>
      </c>
      <c r="G5" s="14">
        <f>J4/L4/0.35</f>
        <v>0.65252258395764096</v>
      </c>
      <c r="H5" s="14">
        <f>K4/L4/0.075</f>
        <v>0.26519492754429497</v>
      </c>
      <c r="I5" s="15"/>
      <c r="J5" s="15"/>
      <c r="K5" s="15"/>
      <c r="L5" s="15"/>
      <c r="M5" s="15"/>
      <c r="N5" s="13"/>
      <c r="O5" s="14">
        <f>O4/L4</f>
        <v>0.36337709049637812</v>
      </c>
      <c r="P5" s="14">
        <f>P4/M4</f>
        <v>0.22209962189537497</v>
      </c>
      <c r="Q5" s="13"/>
      <c r="R5" s="13"/>
      <c r="S5" s="14">
        <f>S4/R4</f>
        <v>0.68571134445130744</v>
      </c>
      <c r="T5" s="16"/>
      <c r="U5" s="16"/>
      <c r="V5" s="13">
        <f>0.19*L4</f>
        <v>273207.84000000003</v>
      </c>
      <c r="W5" s="13"/>
      <c r="X5" s="13"/>
      <c r="Y5" s="13">
        <v>19969</v>
      </c>
      <c r="Z5" s="17"/>
      <c r="AA5" s="18"/>
      <c r="AB5" s="13"/>
      <c r="AC5" s="18"/>
      <c r="AD5" s="18"/>
    </row>
    <row r="6" spans="1:30">
      <c r="B6" s="47" t="s">
        <v>121</v>
      </c>
      <c r="C6" s="86" t="s">
        <v>2</v>
      </c>
      <c r="D6" s="8">
        <v>2711</v>
      </c>
      <c r="E6" s="8">
        <v>30</v>
      </c>
      <c r="F6" s="8">
        <v>1550</v>
      </c>
      <c r="G6" s="8">
        <v>682</v>
      </c>
      <c r="H6" s="8">
        <v>48</v>
      </c>
      <c r="I6" s="9">
        <f>F6*540</f>
        <v>837000</v>
      </c>
      <c r="J6" s="9">
        <f>G6*400</f>
        <v>272800</v>
      </c>
      <c r="K6" s="9">
        <f>H6*200</f>
        <v>9600</v>
      </c>
      <c r="L6" s="57">
        <v>1151029</v>
      </c>
      <c r="M6" s="57">
        <v>616503</v>
      </c>
      <c r="N6" s="8">
        <v>2165</v>
      </c>
      <c r="O6" s="56">
        <v>215622</v>
      </c>
      <c r="P6" s="56">
        <v>65058</v>
      </c>
      <c r="Q6" s="8">
        <f>1260+641+3955</f>
        <v>5856</v>
      </c>
      <c r="R6" s="8">
        <v>5403</v>
      </c>
      <c r="S6" s="8">
        <v>3216</v>
      </c>
      <c r="T6" s="10">
        <f>Y6+Y7</f>
        <v>19209</v>
      </c>
      <c r="U6" s="11">
        <f>V6/V7</f>
        <v>0.37071177181461107</v>
      </c>
      <c r="V6" s="56">
        <v>81073</v>
      </c>
      <c r="W6" s="56">
        <v>29581</v>
      </c>
      <c r="X6" s="8">
        <v>24614</v>
      </c>
      <c r="Y6" s="8">
        <v>34</v>
      </c>
      <c r="Z6" s="11">
        <f>AA6/AC6</f>
        <v>0.12190747729188979</v>
      </c>
      <c r="AA6" s="12">
        <v>153737.79999999999</v>
      </c>
      <c r="AB6" s="8">
        <v>137785</v>
      </c>
      <c r="AC6" s="12">
        <v>1261102.3</v>
      </c>
      <c r="AD6" s="12">
        <f>AC6*1000/L6</f>
        <v>1095.6303446742002</v>
      </c>
    </row>
    <row r="7" spans="1:30">
      <c r="B7" s="47" t="s">
        <v>121</v>
      </c>
      <c r="C7" s="87"/>
      <c r="D7" s="13"/>
      <c r="E7" s="13"/>
      <c r="F7" s="14">
        <f>I6/L6/1.95</f>
        <v>0.37291047335103567</v>
      </c>
      <c r="G7" s="14">
        <f>J6/L6/0.35</f>
        <v>0.67715806589457916</v>
      </c>
      <c r="H7" s="14">
        <f>K6/L6/0.075</f>
        <v>0.11120484366597193</v>
      </c>
      <c r="I7" s="15"/>
      <c r="J7" s="15"/>
      <c r="K7" s="15"/>
      <c r="L7" s="15"/>
      <c r="M7" s="15"/>
      <c r="N7" s="13"/>
      <c r="O7" s="14">
        <f>O6/L6</f>
        <v>0.18732977188237654</v>
      </c>
      <c r="P7" s="14">
        <f>P6/M6</f>
        <v>0.1055274670196252</v>
      </c>
      <c r="Q7" s="13"/>
      <c r="R7" s="13"/>
      <c r="S7" s="14">
        <f>S6/R6</f>
        <v>0.59522487506940591</v>
      </c>
      <c r="T7" s="16"/>
      <c r="U7" s="16"/>
      <c r="V7" s="13">
        <f>0.19*L6</f>
        <v>218695.51</v>
      </c>
      <c r="W7" s="13"/>
      <c r="X7" s="13"/>
      <c r="Y7" s="13">
        <v>19175</v>
      </c>
      <c r="Z7" s="17"/>
      <c r="AA7" s="18"/>
      <c r="AB7" s="13"/>
      <c r="AC7" s="18"/>
      <c r="AD7" s="18"/>
    </row>
    <row r="8" spans="1:30" s="6" customFormat="1">
      <c r="A8" s="48"/>
      <c r="B8" s="47" t="s">
        <v>121</v>
      </c>
      <c r="C8" s="86" t="s">
        <v>3</v>
      </c>
      <c r="D8" s="8">
        <v>2995</v>
      </c>
      <c r="E8" s="8">
        <v>33</v>
      </c>
      <c r="F8" s="8">
        <v>1539</v>
      </c>
      <c r="G8" s="8">
        <v>701</v>
      </c>
      <c r="H8" s="8">
        <v>55</v>
      </c>
      <c r="I8" s="9">
        <f>F8*540</f>
        <v>831060</v>
      </c>
      <c r="J8" s="9">
        <f>G8*400</f>
        <v>280400</v>
      </c>
      <c r="K8" s="9">
        <f>H8*200</f>
        <v>11000</v>
      </c>
      <c r="L8" s="57">
        <v>1313035</v>
      </c>
      <c r="M8" s="57">
        <v>710123</v>
      </c>
      <c r="N8" s="8">
        <v>2950</v>
      </c>
      <c r="O8" s="56">
        <v>397906</v>
      </c>
      <c r="P8" s="56">
        <v>149999</v>
      </c>
      <c r="Q8" s="8">
        <f>214+258+8592+5319+11609</f>
        <v>25992</v>
      </c>
      <c r="R8" s="8">
        <v>6694</v>
      </c>
      <c r="S8" s="8">
        <v>4069</v>
      </c>
      <c r="T8" s="10">
        <f>Y8+Y9</f>
        <v>46038</v>
      </c>
      <c r="U8" s="11">
        <f>V8/V9</f>
        <v>0.32737733170619376</v>
      </c>
      <c r="V8" s="56">
        <v>81673</v>
      </c>
      <c r="W8" s="56">
        <v>96026</v>
      </c>
      <c r="X8" s="8">
        <v>36663</v>
      </c>
      <c r="Y8" s="8">
        <v>32</v>
      </c>
      <c r="Z8" s="11">
        <f>AA8/AC8</f>
        <v>0.22443840262297046</v>
      </c>
      <c r="AA8" s="12">
        <v>503158.4</v>
      </c>
      <c r="AB8" s="8">
        <v>240565</v>
      </c>
      <c r="AC8" s="12">
        <v>2241855.2000000002</v>
      </c>
      <c r="AD8" s="12">
        <f>AC8*1000/L8</f>
        <v>1707.3841900634789</v>
      </c>
    </row>
    <row r="9" spans="1:30" s="6" customFormat="1">
      <c r="A9" s="48"/>
      <c r="B9" s="47" t="s">
        <v>121</v>
      </c>
      <c r="C9" s="87"/>
      <c r="D9" s="13"/>
      <c r="E9" s="13"/>
      <c r="F9" s="14">
        <f>I8/L8/1.95</f>
        <v>0.32457978301006096</v>
      </c>
      <c r="G9" s="14">
        <f>J8/L8/0.35</f>
        <v>0.6101458507525368</v>
      </c>
      <c r="H9" s="14">
        <f>K8/L8/0.075</f>
        <v>0.11170050049440167</v>
      </c>
      <c r="I9" s="15"/>
      <c r="J9" s="15"/>
      <c r="K9" s="15"/>
      <c r="L9" s="15"/>
      <c r="M9" s="15"/>
      <c r="N9" s="13"/>
      <c r="O9" s="14">
        <f>O8/L8</f>
        <v>0.30304295011176396</v>
      </c>
      <c r="P9" s="14">
        <f>P8/M8</f>
        <v>0.21122960388552406</v>
      </c>
      <c r="Q9" s="13"/>
      <c r="R9" s="13"/>
      <c r="S9" s="14">
        <f>S8/R8</f>
        <v>0.60785778308933369</v>
      </c>
      <c r="T9" s="16"/>
      <c r="U9" s="16"/>
      <c r="V9" s="13">
        <f>0.19*L8</f>
        <v>249476.65</v>
      </c>
      <c r="W9" s="13"/>
      <c r="X9" s="13"/>
      <c r="Y9" s="13">
        <v>46006</v>
      </c>
      <c r="Z9" s="17"/>
      <c r="AA9" s="18"/>
      <c r="AB9" s="13"/>
      <c r="AC9" s="18"/>
      <c r="AD9" s="18"/>
    </row>
    <row r="10" spans="1:30">
      <c r="B10" s="47" t="s">
        <v>121</v>
      </c>
      <c r="C10" s="86" t="s">
        <v>4</v>
      </c>
      <c r="D10" s="8">
        <v>5932</v>
      </c>
      <c r="E10" s="8">
        <v>23</v>
      </c>
      <c r="F10" s="8">
        <v>4117</v>
      </c>
      <c r="G10" s="8">
        <v>1413</v>
      </c>
      <c r="H10" s="8">
        <v>77</v>
      </c>
      <c r="I10" s="9">
        <f>F10*540</f>
        <v>2223180</v>
      </c>
      <c r="J10" s="9">
        <f>G10*400</f>
        <v>565200</v>
      </c>
      <c r="K10" s="9">
        <f>H10*200</f>
        <v>15400</v>
      </c>
      <c r="L10" s="57">
        <v>2156936</v>
      </c>
      <c r="M10" s="57">
        <v>1151909</v>
      </c>
      <c r="N10" s="8">
        <v>5978</v>
      </c>
      <c r="O10" s="56">
        <v>759853</v>
      </c>
      <c r="P10" s="56">
        <v>239657</v>
      </c>
      <c r="Q10" s="8">
        <f>4202+744+18033+21004+28613</f>
        <v>72596</v>
      </c>
      <c r="R10" s="8">
        <v>15410</v>
      </c>
      <c r="S10" s="8">
        <v>9426</v>
      </c>
      <c r="T10" s="10">
        <f>Y10+Y11</f>
        <v>17017</v>
      </c>
      <c r="U10" s="11">
        <f>V10/V11</f>
        <v>0.35571169864152324</v>
      </c>
      <c r="V10" s="56">
        <v>145777</v>
      </c>
      <c r="W10" s="56">
        <v>204040</v>
      </c>
      <c r="X10" s="8">
        <v>73242</v>
      </c>
      <c r="Y10" s="8">
        <v>87</v>
      </c>
      <c r="Z10" s="11">
        <f>AA10/AC10</f>
        <v>7.2801398851592938E-2</v>
      </c>
      <c r="AA10" s="12">
        <v>346448.6</v>
      </c>
      <c r="AB10" s="8">
        <v>402237</v>
      </c>
      <c r="AC10" s="12">
        <v>4758817.9000000004</v>
      </c>
      <c r="AD10" s="12">
        <f>AC10*1000/L10</f>
        <v>2206.2860928650643</v>
      </c>
    </row>
    <row r="11" spans="1:30">
      <c r="B11" s="47" t="s">
        <v>121</v>
      </c>
      <c r="C11" s="87"/>
      <c r="D11" s="13"/>
      <c r="E11" s="13"/>
      <c r="F11" s="14">
        <f>I10/L10/1.95</f>
        <v>0.5285702995788043</v>
      </c>
      <c r="G11" s="14">
        <f>J10/L10/0.35</f>
        <v>0.74868106557503</v>
      </c>
      <c r="H11" s="14">
        <f>K10/L10/0.075</f>
        <v>9.5196766771630373E-2</v>
      </c>
      <c r="I11" s="15"/>
      <c r="J11" s="15"/>
      <c r="K11" s="15"/>
      <c r="L11" s="15"/>
      <c r="M11" s="15"/>
      <c r="N11" s="13"/>
      <c r="O11" s="14">
        <f>O10/L10</f>
        <v>0.35228351698891391</v>
      </c>
      <c r="P11" s="14">
        <f>P10/M10</f>
        <v>0.20805202494294253</v>
      </c>
      <c r="Q11" s="13"/>
      <c r="R11" s="13"/>
      <c r="S11" s="14">
        <f>S10/R10</f>
        <v>0.61168072680077867</v>
      </c>
      <c r="T11" s="16"/>
      <c r="U11" s="16"/>
      <c r="V11" s="13">
        <f>0.19*L10</f>
        <v>409817.84</v>
      </c>
      <c r="W11" s="13"/>
      <c r="X11" s="13"/>
      <c r="Y11" s="13">
        <v>16930</v>
      </c>
      <c r="Z11" s="17"/>
      <c r="AA11" s="18"/>
      <c r="AB11" s="13"/>
      <c r="AC11" s="18"/>
      <c r="AD11" s="18"/>
    </row>
    <row r="12" spans="1:30">
      <c r="B12" s="47" t="s">
        <v>121</v>
      </c>
      <c r="C12" s="86" t="s">
        <v>5</v>
      </c>
      <c r="D12" s="8">
        <v>1986</v>
      </c>
      <c r="E12" s="8">
        <v>22</v>
      </c>
      <c r="F12" s="8">
        <v>1005</v>
      </c>
      <c r="G12" s="8">
        <v>515</v>
      </c>
      <c r="H12" s="8">
        <v>29</v>
      </c>
      <c r="I12" s="9">
        <f>F12*540</f>
        <v>542700</v>
      </c>
      <c r="J12" s="9">
        <f>G12*400</f>
        <v>206000</v>
      </c>
      <c r="K12" s="9">
        <f>H12*200</f>
        <v>5800</v>
      </c>
      <c r="L12" s="57">
        <v>968134</v>
      </c>
      <c r="M12" s="57">
        <v>525392</v>
      </c>
      <c r="N12" s="8">
        <v>1952</v>
      </c>
      <c r="O12" s="56">
        <v>242088</v>
      </c>
      <c r="P12" s="56">
        <v>95055</v>
      </c>
      <c r="Q12" s="8">
        <f>189+20+990+1570+11512</f>
        <v>14281</v>
      </c>
      <c r="R12" s="8">
        <v>6911</v>
      </c>
      <c r="S12" s="8">
        <v>4078</v>
      </c>
      <c r="T12" s="10">
        <f>Y12+Y13</f>
        <v>12462</v>
      </c>
      <c r="U12" s="11">
        <f>V12/V13</f>
        <v>0.23341157754042965</v>
      </c>
      <c r="V12" s="56">
        <v>42935</v>
      </c>
      <c r="W12" s="56">
        <v>26316</v>
      </c>
      <c r="X12" s="8">
        <v>30469</v>
      </c>
      <c r="Y12" s="8">
        <v>31</v>
      </c>
      <c r="Z12" s="11">
        <f>AA12/AC12</f>
        <v>0.38414057545189106</v>
      </c>
      <c r="AA12" s="12">
        <v>2936100.7</v>
      </c>
      <c r="AB12" s="8">
        <v>121961</v>
      </c>
      <c r="AC12" s="12">
        <v>7643297.5</v>
      </c>
      <c r="AD12" s="53">
        <f>AC12*1000/L12</f>
        <v>7894.8756060627975</v>
      </c>
    </row>
    <row r="13" spans="1:30">
      <c r="B13" s="47" t="s">
        <v>121</v>
      </c>
      <c r="C13" s="87"/>
      <c r="D13" s="13"/>
      <c r="E13" s="13"/>
      <c r="F13" s="14">
        <f>I12/L12/1.95</f>
        <v>0.2874681524537846</v>
      </c>
      <c r="G13" s="14">
        <f>J12/L12/0.35</f>
        <v>0.60794417773926812</v>
      </c>
      <c r="H13" s="14">
        <f>K12/L12/0.075</f>
        <v>7.9878749567036514E-2</v>
      </c>
      <c r="I13" s="15"/>
      <c r="J13" s="15"/>
      <c r="K13" s="15"/>
      <c r="L13" s="15"/>
      <c r="M13" s="15"/>
      <c r="N13" s="13"/>
      <c r="O13" s="14">
        <f>O12/L12</f>
        <v>0.25005629386014744</v>
      </c>
      <c r="P13" s="14">
        <f>P12/M12</f>
        <v>0.18092205438986508</v>
      </c>
      <c r="Q13" s="13"/>
      <c r="R13" s="13"/>
      <c r="S13" s="14">
        <f>S12/R12</f>
        <v>0.5900737953986398</v>
      </c>
      <c r="T13" s="16"/>
      <c r="U13" s="16"/>
      <c r="V13" s="13">
        <f>0.19*L12</f>
        <v>183945.46</v>
      </c>
      <c r="W13" s="13"/>
      <c r="X13" s="13"/>
      <c r="Y13" s="13">
        <v>12431</v>
      </c>
      <c r="Z13" s="17"/>
      <c r="AA13" s="18"/>
      <c r="AB13" s="13"/>
      <c r="AC13" s="18"/>
      <c r="AD13" s="18"/>
    </row>
    <row r="14" spans="1:30">
      <c r="B14" s="47" t="s">
        <v>121</v>
      </c>
      <c r="C14" s="86" t="s">
        <v>6</v>
      </c>
      <c r="D14" s="8">
        <v>2020</v>
      </c>
      <c r="E14" s="8">
        <v>18</v>
      </c>
      <c r="F14" s="8">
        <v>1056</v>
      </c>
      <c r="G14" s="8">
        <v>586</v>
      </c>
      <c r="H14" s="8">
        <v>45</v>
      </c>
      <c r="I14" s="9">
        <f>F14*540</f>
        <v>570240</v>
      </c>
      <c r="J14" s="9">
        <f>G14*400</f>
        <v>234400</v>
      </c>
      <c r="K14" s="9">
        <f>H14*200</f>
        <v>9000</v>
      </c>
      <c r="L14" s="57">
        <v>933208</v>
      </c>
      <c r="M14" s="57">
        <v>496137</v>
      </c>
      <c r="N14" s="8">
        <v>2316</v>
      </c>
      <c r="O14" s="56">
        <v>289390</v>
      </c>
      <c r="P14" s="56">
        <v>122873</v>
      </c>
      <c r="Q14" s="8">
        <f>20+360+6583+9117</f>
        <v>16080</v>
      </c>
      <c r="R14" s="8">
        <v>5534</v>
      </c>
      <c r="S14" s="8">
        <v>2524</v>
      </c>
      <c r="T14" s="10">
        <f>Y14+Y15</f>
        <v>38276</v>
      </c>
      <c r="U14" s="11">
        <f>V14/V15</f>
        <v>0.64529530055690187</v>
      </c>
      <c r="V14" s="56">
        <v>114417</v>
      </c>
      <c r="W14" s="56">
        <v>60798</v>
      </c>
      <c r="X14" s="8">
        <v>42354</v>
      </c>
      <c r="Y14" s="8">
        <v>54</v>
      </c>
      <c r="Z14" s="11">
        <f>AA14/AC14</f>
        <v>3.7964600478295981E-3</v>
      </c>
      <c r="AA14" s="12">
        <v>7621.4</v>
      </c>
      <c r="AB14" s="8">
        <v>219758</v>
      </c>
      <c r="AC14" s="12">
        <v>2007501.7</v>
      </c>
      <c r="AD14" s="12">
        <f>AC14*1000/L14</f>
        <v>2151.1835517912405</v>
      </c>
    </row>
    <row r="15" spans="1:30">
      <c r="B15" s="47" t="s">
        <v>121</v>
      </c>
      <c r="C15" s="87"/>
      <c r="D15" s="13"/>
      <c r="E15" s="13"/>
      <c r="F15" s="14">
        <f>I14/L14/1.95</f>
        <v>0.31336076119232714</v>
      </c>
      <c r="G15" s="14">
        <f>J14/L14/0.35</f>
        <v>0.71764739020056179</v>
      </c>
      <c r="H15" s="14">
        <f>K14/L14/0.075</f>
        <v>0.12858869619634639</v>
      </c>
      <c r="I15" s="15"/>
      <c r="J15" s="15"/>
      <c r="K15" s="15"/>
      <c r="L15" s="15"/>
      <c r="M15" s="15"/>
      <c r="N15" s="13"/>
      <c r="O15" s="14">
        <f>O14/L14</f>
        <v>0.31010235660217228</v>
      </c>
      <c r="P15" s="14">
        <f>P14/M14</f>
        <v>0.24765941665306154</v>
      </c>
      <c r="Q15" s="13"/>
      <c r="R15" s="13"/>
      <c r="S15" s="14">
        <f>S14/R14</f>
        <v>0.45608962775569206</v>
      </c>
      <c r="T15" s="16"/>
      <c r="U15" s="16"/>
      <c r="V15" s="13">
        <f>0.19*L14</f>
        <v>177309.52</v>
      </c>
      <c r="W15" s="13"/>
      <c r="X15" s="13"/>
      <c r="Y15" s="13">
        <v>38222</v>
      </c>
      <c r="Z15" s="17"/>
      <c r="AA15" s="18"/>
      <c r="AB15" s="13"/>
      <c r="AC15" s="18"/>
      <c r="AD15" s="18"/>
    </row>
    <row r="16" spans="1:30">
      <c r="B16" s="47" t="s">
        <v>121</v>
      </c>
      <c r="C16" s="86" t="s">
        <v>7</v>
      </c>
      <c r="D16" s="8">
        <v>1235</v>
      </c>
      <c r="E16" s="8">
        <v>6</v>
      </c>
      <c r="F16" s="8">
        <v>641</v>
      </c>
      <c r="G16" s="8">
        <v>365</v>
      </c>
      <c r="H16" s="8">
        <v>32</v>
      </c>
      <c r="I16" s="9">
        <f>F16*540</f>
        <v>346140</v>
      </c>
      <c r="J16" s="9">
        <f>G16*400</f>
        <v>146000</v>
      </c>
      <c r="K16" s="9">
        <f>H16*200</f>
        <v>6400</v>
      </c>
      <c r="L16" s="57">
        <v>608004</v>
      </c>
      <c r="M16" s="57">
        <v>325178</v>
      </c>
      <c r="N16" s="8">
        <v>1409</v>
      </c>
      <c r="O16" s="56">
        <v>175077</v>
      </c>
      <c r="P16" s="56">
        <v>81760</v>
      </c>
      <c r="Q16" s="8">
        <f>2685+314+441+5197</f>
        <v>8637</v>
      </c>
      <c r="R16" s="8">
        <v>4126</v>
      </c>
      <c r="S16" s="8">
        <v>3232</v>
      </c>
      <c r="T16" s="10">
        <f>Y16+Y17</f>
        <v>8841</v>
      </c>
      <c r="U16" s="11">
        <f>V16/V17</f>
        <v>0.29131560422559549</v>
      </c>
      <c r="V16" s="56">
        <v>33653</v>
      </c>
      <c r="W16" s="56">
        <v>10695</v>
      </c>
      <c r="X16" s="8">
        <v>10845</v>
      </c>
      <c r="Y16" s="8">
        <v>21</v>
      </c>
      <c r="Z16" s="11">
        <f>AA16/AC16</f>
        <v>0.2533788198648958</v>
      </c>
      <c r="AA16" s="12">
        <v>198158.2</v>
      </c>
      <c r="AB16" s="8">
        <v>81357</v>
      </c>
      <c r="AC16" s="12">
        <v>782063</v>
      </c>
      <c r="AD16" s="12">
        <f>AC16*1000/L16</f>
        <v>1286.2793665831146</v>
      </c>
    </row>
    <row r="17" spans="2:30">
      <c r="B17" s="47" t="s">
        <v>121</v>
      </c>
      <c r="C17" s="87"/>
      <c r="D17" s="13"/>
      <c r="E17" s="13"/>
      <c r="F17" s="14">
        <f>I16/L16/1.95</f>
        <v>0.29195152056185869</v>
      </c>
      <c r="G17" s="14">
        <f>J16/L16/0.35</f>
        <v>0.68608571184212142</v>
      </c>
      <c r="H17" s="14">
        <f>K16/L16/0.075</f>
        <v>0.14034995383802301</v>
      </c>
      <c r="I17" s="15"/>
      <c r="J17" s="15"/>
      <c r="K17" s="15"/>
      <c r="L17" s="15"/>
      <c r="M17" s="15"/>
      <c r="N17" s="13"/>
      <c r="O17" s="14">
        <f>O16/L16</f>
        <v>0.28795369767304163</v>
      </c>
      <c r="P17" s="14">
        <f>P16/M16</f>
        <v>0.25143152365781202</v>
      </c>
      <c r="Q17" s="13"/>
      <c r="R17" s="13"/>
      <c r="S17" s="14">
        <f>S16/R16</f>
        <v>0.78332525448376156</v>
      </c>
      <c r="T17" s="16"/>
      <c r="U17" s="16"/>
      <c r="V17" s="13">
        <f>0.19*L16</f>
        <v>115520.76</v>
      </c>
      <c r="W17" s="13"/>
      <c r="X17" s="13"/>
      <c r="Y17" s="13">
        <v>8820</v>
      </c>
      <c r="Z17" s="17"/>
      <c r="AA17" s="18"/>
      <c r="AB17" s="13"/>
      <c r="AC17" s="18"/>
      <c r="AD17" s="18"/>
    </row>
    <row r="18" spans="2:30">
      <c r="B18" s="47" t="s">
        <v>121</v>
      </c>
      <c r="C18" s="86" t="s">
        <v>8</v>
      </c>
      <c r="D18" s="8">
        <v>2142</v>
      </c>
      <c r="E18" s="8">
        <v>14</v>
      </c>
      <c r="F18" s="8">
        <v>1187</v>
      </c>
      <c r="G18" s="8">
        <v>662</v>
      </c>
      <c r="H18" s="8">
        <v>32</v>
      </c>
      <c r="I18" s="9">
        <f>F18*540</f>
        <v>640980</v>
      </c>
      <c r="J18" s="9">
        <f>G18*400</f>
        <v>264800</v>
      </c>
      <c r="K18" s="9">
        <f>H18*200</f>
        <v>6400</v>
      </c>
      <c r="L18" s="57">
        <v>1036342</v>
      </c>
      <c r="M18" s="57">
        <v>558870</v>
      </c>
      <c r="N18" s="8">
        <v>2192</v>
      </c>
      <c r="O18" s="56">
        <v>327549</v>
      </c>
      <c r="P18" s="56">
        <v>108270</v>
      </c>
      <c r="Q18" s="8">
        <f>7048+1201+860+2855+9014</f>
        <v>20978</v>
      </c>
      <c r="R18" s="8">
        <v>8632</v>
      </c>
      <c r="S18" s="8">
        <v>6494</v>
      </c>
      <c r="T18" s="10">
        <f>Y18+Y19</f>
        <v>7304</v>
      </c>
      <c r="U18" s="11">
        <f>V18/V19</f>
        <v>0.29712808685691949</v>
      </c>
      <c r="V18" s="56">
        <v>58506</v>
      </c>
      <c r="W18" s="56">
        <v>119162</v>
      </c>
      <c r="X18" s="8">
        <v>33122</v>
      </c>
      <c r="Y18" s="8">
        <v>16</v>
      </c>
      <c r="Z18" s="11">
        <f>AA18/AC18</f>
        <v>7.082173555988408E-2</v>
      </c>
      <c r="AA18" s="12">
        <v>596187.19999999995</v>
      </c>
      <c r="AB18" s="8">
        <v>141378</v>
      </c>
      <c r="AC18" s="12">
        <v>8418138.8000000007</v>
      </c>
      <c r="AD18" s="53">
        <f>AC18*1000/L18</f>
        <v>8122.9350928554486</v>
      </c>
    </row>
    <row r="19" spans="2:30">
      <c r="B19" s="47" t="s">
        <v>121</v>
      </c>
      <c r="C19" s="87"/>
      <c r="D19" s="13"/>
      <c r="E19" s="13"/>
      <c r="F19" s="14">
        <f>I18/L18/1.95</f>
        <v>0.31718071091173794</v>
      </c>
      <c r="G19" s="14">
        <f>J18/L18/0.35</f>
        <v>0.73004030384895002</v>
      </c>
      <c r="H19" s="14">
        <f>K18/L18/0.075</f>
        <v>8.2340900333416331E-2</v>
      </c>
      <c r="I19" s="15"/>
      <c r="J19" s="15"/>
      <c r="K19" s="15"/>
      <c r="L19" s="15"/>
      <c r="M19" s="15"/>
      <c r="N19" s="13"/>
      <c r="O19" s="14">
        <f>O18/L18</f>
        <v>0.31606265113254117</v>
      </c>
      <c r="P19" s="14">
        <f>P18/M18</f>
        <v>0.1937302055934296</v>
      </c>
      <c r="Q19" s="13"/>
      <c r="R19" s="13"/>
      <c r="S19" s="14">
        <f>S18/R18</f>
        <v>0.75231696014828542</v>
      </c>
      <c r="T19" s="16"/>
      <c r="U19" s="16"/>
      <c r="V19" s="13">
        <f>0.19*L18</f>
        <v>196904.98</v>
      </c>
      <c r="W19" s="13"/>
      <c r="X19" s="13"/>
      <c r="Y19" s="13">
        <v>7288</v>
      </c>
      <c r="Z19" s="17"/>
      <c r="AA19" s="18"/>
      <c r="AB19" s="13"/>
      <c r="AC19" s="18"/>
      <c r="AD19" s="18"/>
    </row>
    <row r="20" spans="2:30">
      <c r="B20" s="47" t="s">
        <v>121</v>
      </c>
      <c r="C20" s="86" t="s">
        <v>9</v>
      </c>
      <c r="D20" s="8">
        <v>2940</v>
      </c>
      <c r="E20" s="8">
        <v>21</v>
      </c>
      <c r="F20" s="8">
        <v>1908</v>
      </c>
      <c r="G20" s="8">
        <v>596</v>
      </c>
      <c r="H20" s="8">
        <v>41</v>
      </c>
      <c r="I20" s="9">
        <f>F20*540</f>
        <v>1030320</v>
      </c>
      <c r="J20" s="9">
        <f>G20*400</f>
        <v>238400</v>
      </c>
      <c r="K20" s="9">
        <f>H20*200</f>
        <v>8200</v>
      </c>
      <c r="L20" s="57">
        <v>1078328</v>
      </c>
      <c r="M20" s="57">
        <v>578755</v>
      </c>
      <c r="N20" s="8">
        <v>2160</v>
      </c>
      <c r="O20" s="56">
        <v>329794</v>
      </c>
      <c r="P20" s="56">
        <v>107717</v>
      </c>
      <c r="Q20" s="8">
        <f>12086+484+2914+14213+3521</f>
        <v>33218</v>
      </c>
      <c r="R20" s="8">
        <v>5621</v>
      </c>
      <c r="S20" s="8">
        <v>3215</v>
      </c>
      <c r="T20" s="10">
        <f>Y20+Y21</f>
        <v>10199</v>
      </c>
      <c r="U20" s="11">
        <f>V20/V21</f>
        <v>0.32805173233102786</v>
      </c>
      <c r="V20" s="56">
        <v>67212</v>
      </c>
      <c r="W20" s="8">
        <v>149149</v>
      </c>
      <c r="X20" s="8">
        <v>35032</v>
      </c>
      <c r="Y20" s="8">
        <v>36</v>
      </c>
      <c r="Z20" s="11">
        <f>AA20/AC20</f>
        <v>0.10732913942441175</v>
      </c>
      <c r="AA20" s="12">
        <v>173530.3</v>
      </c>
      <c r="AB20" s="8">
        <v>182826</v>
      </c>
      <c r="AC20" s="12">
        <v>1616805.1</v>
      </c>
      <c r="AD20" s="12">
        <f>AC20*1000/L20</f>
        <v>1499.3629953038408</v>
      </c>
    </row>
    <row r="21" spans="2:30">
      <c r="B21" s="47" t="s">
        <v>121</v>
      </c>
      <c r="C21" s="87"/>
      <c r="D21" s="13"/>
      <c r="E21" s="13"/>
      <c r="F21" s="14">
        <f>I20/L20/1.95</f>
        <v>0.48998934532835164</v>
      </c>
      <c r="G21" s="14">
        <f>J20/L20/0.35</f>
        <v>0.63166574283785382</v>
      </c>
      <c r="H21" s="14">
        <f>K20/L20/0.075</f>
        <v>0.10139153702151232</v>
      </c>
      <c r="I21" s="15"/>
      <c r="J21" s="15"/>
      <c r="K21" s="15"/>
      <c r="L21" s="15"/>
      <c r="M21" s="15"/>
      <c r="N21" s="13"/>
      <c r="O21" s="14">
        <f>O20/L20</f>
        <v>0.30583829780920091</v>
      </c>
      <c r="P21" s="14">
        <f>P20/M20</f>
        <v>0.18611847845806948</v>
      </c>
      <c r="Q21" s="13"/>
      <c r="R21" s="13"/>
      <c r="S21" s="14">
        <f>S20/R20</f>
        <v>0.57196228429105145</v>
      </c>
      <c r="T21" s="16"/>
      <c r="U21" s="16"/>
      <c r="V21" s="13">
        <f>0.19*L20</f>
        <v>204882.32</v>
      </c>
      <c r="W21" s="13"/>
      <c r="X21" s="13"/>
      <c r="Y21" s="13">
        <v>10163</v>
      </c>
      <c r="Z21" s="17"/>
      <c r="AA21" s="18"/>
      <c r="AB21" s="13"/>
      <c r="AC21" s="18"/>
      <c r="AD21" s="18"/>
    </row>
    <row r="22" spans="2:30">
      <c r="B22" s="47" t="s">
        <v>121</v>
      </c>
      <c r="C22" s="86" t="s">
        <v>10</v>
      </c>
      <c r="D22" s="8">
        <v>8283</v>
      </c>
      <c r="E22" s="8">
        <v>125</v>
      </c>
      <c r="F22" s="8">
        <v>4212</v>
      </c>
      <c r="G22" s="8">
        <v>2122</v>
      </c>
      <c r="H22" s="8">
        <v>243</v>
      </c>
      <c r="I22" s="9">
        <f>F22*540</f>
        <v>2274480</v>
      </c>
      <c r="J22" s="9">
        <f>G22*400</f>
        <v>848800</v>
      </c>
      <c r="K22" s="9">
        <f>H22*200</f>
        <v>48600</v>
      </c>
      <c r="L22" s="57">
        <v>6653551</v>
      </c>
      <c r="M22" s="57">
        <v>3541826</v>
      </c>
      <c r="N22" s="8">
        <v>19625</v>
      </c>
      <c r="O22" s="56">
        <v>1682129</v>
      </c>
      <c r="P22" s="56">
        <v>617296</v>
      </c>
      <c r="Q22" s="8">
        <f>99276+1596+3151+39515+107584</f>
        <v>251122</v>
      </c>
      <c r="R22" s="8">
        <v>33348</v>
      </c>
      <c r="S22" s="8">
        <v>14524</v>
      </c>
      <c r="T22" s="10">
        <f>Y22+Y23</f>
        <v>36299</v>
      </c>
      <c r="U22" s="11">
        <f>V22/V23</f>
        <v>0.16661779552001632</v>
      </c>
      <c r="V22" s="56">
        <v>210634</v>
      </c>
      <c r="W22" s="56">
        <v>330676</v>
      </c>
      <c r="X22" s="8">
        <v>148076</v>
      </c>
      <c r="Y22" s="8">
        <v>204</v>
      </c>
      <c r="Z22" s="11">
        <f>AA22/AC22</f>
        <v>0.10605876446415982</v>
      </c>
      <c r="AA22" s="12">
        <v>2384340.7999999998</v>
      </c>
      <c r="AB22" s="8">
        <v>1005520</v>
      </c>
      <c r="AC22" s="12">
        <v>22481317.899999999</v>
      </c>
      <c r="AD22" s="12">
        <f>AC22*1000/L22</f>
        <v>3378.8450558205686</v>
      </c>
    </row>
    <row r="23" spans="2:30">
      <c r="B23" s="47" t="s">
        <v>121</v>
      </c>
      <c r="C23" s="87"/>
      <c r="D23" s="13"/>
      <c r="E23" s="13"/>
      <c r="F23" s="14">
        <f>I22/L22/1.95</f>
        <v>0.17530488606760511</v>
      </c>
      <c r="G23" s="14">
        <f>J22/L22/0.35</f>
        <v>0.36448850503180297</v>
      </c>
      <c r="H23" s="14">
        <f>K22/L22/0.075</f>
        <v>9.7391603370891727E-2</v>
      </c>
      <c r="I23" s="15"/>
      <c r="J23" s="15"/>
      <c r="K23" s="15"/>
      <c r="L23" s="15"/>
      <c r="M23" s="15"/>
      <c r="N23" s="13"/>
      <c r="O23" s="14">
        <f>O22/L22</f>
        <v>0.25281672899178198</v>
      </c>
      <c r="P23" s="14">
        <f>P22/M22</f>
        <v>0.17428750028939874</v>
      </c>
      <c r="Q23" s="13"/>
      <c r="R23" s="13"/>
      <c r="S23" s="14">
        <f>S22/R22</f>
        <v>0.43552836751829194</v>
      </c>
      <c r="T23" s="16"/>
      <c r="U23" s="16"/>
      <c r="V23" s="13">
        <f>0.19*L22</f>
        <v>1264174.69</v>
      </c>
      <c r="W23" s="13"/>
      <c r="X23" s="13"/>
      <c r="Y23" s="13">
        <v>36095</v>
      </c>
      <c r="Z23" s="17"/>
      <c r="AA23" s="18"/>
      <c r="AB23" s="13"/>
      <c r="AC23" s="18"/>
      <c r="AD23" s="18"/>
    </row>
    <row r="24" spans="2:30">
      <c r="B24" s="47" t="s">
        <v>121</v>
      </c>
      <c r="C24" s="86" t="s">
        <v>11</v>
      </c>
      <c r="D24" s="8">
        <v>1864</v>
      </c>
      <c r="E24" s="8">
        <v>14</v>
      </c>
      <c r="F24" s="8">
        <v>1067</v>
      </c>
      <c r="G24" s="8">
        <v>582</v>
      </c>
      <c r="H24" s="8">
        <v>32</v>
      </c>
      <c r="I24" s="9">
        <f>F24*540</f>
        <v>576180</v>
      </c>
      <c r="J24" s="9">
        <f>G24*400</f>
        <v>232800</v>
      </c>
      <c r="K24" s="9">
        <f>H24*200</f>
        <v>6400</v>
      </c>
      <c r="L24" s="57">
        <v>714818</v>
      </c>
      <c r="M24" s="57">
        <v>386923</v>
      </c>
      <c r="N24" s="8">
        <v>1822</v>
      </c>
      <c r="O24" s="56">
        <v>128482</v>
      </c>
      <c r="P24" s="56">
        <v>38154</v>
      </c>
      <c r="Q24" s="8">
        <f>724+286+236+4217</f>
        <v>5463</v>
      </c>
      <c r="R24" s="8">
        <v>3710</v>
      </c>
      <c r="S24" s="8">
        <v>2315</v>
      </c>
      <c r="T24" s="10">
        <f>Y24+Y25</f>
        <v>4872</v>
      </c>
      <c r="U24" s="11">
        <f>V24/V25</f>
        <v>0.38802663202749726</v>
      </c>
      <c r="V24" s="56">
        <v>52700</v>
      </c>
      <c r="W24" s="56">
        <v>26230</v>
      </c>
      <c r="X24" s="8">
        <v>24204</v>
      </c>
      <c r="Y24" s="8">
        <v>20</v>
      </c>
      <c r="Z24" s="11">
        <f>AA24/AC24</f>
        <v>7.2923857048672949E-2</v>
      </c>
      <c r="AA24" s="12">
        <v>63069.7</v>
      </c>
      <c r="AB24" s="8">
        <v>80457</v>
      </c>
      <c r="AC24" s="12">
        <v>864870.6</v>
      </c>
      <c r="AD24" s="12">
        <f>AC24*1000/L24</f>
        <v>1209.917209695335</v>
      </c>
    </row>
    <row r="25" spans="2:30">
      <c r="B25" s="47" t="s">
        <v>121</v>
      </c>
      <c r="C25" s="87"/>
      <c r="D25" s="13"/>
      <c r="E25" s="13"/>
      <c r="F25" s="14">
        <f>I24/L24/1.95</f>
        <v>0.4133596566915258</v>
      </c>
      <c r="G25" s="14">
        <f>J24/L24/0.35</f>
        <v>0.93050658649174645</v>
      </c>
      <c r="H25" s="14">
        <f>K24/L24/0.075</f>
        <v>0.11937770639985751</v>
      </c>
      <c r="I25" s="15"/>
      <c r="J25" s="15"/>
      <c r="K25" s="15"/>
      <c r="L25" s="15"/>
      <c r="M25" s="15"/>
      <c r="N25" s="13"/>
      <c r="O25" s="14">
        <f>O24/L24</f>
        <v>0.1797408571132792</v>
      </c>
      <c r="P25" s="14">
        <f>P24/M24</f>
        <v>9.8608767119039195E-2</v>
      </c>
      <c r="Q25" s="13"/>
      <c r="R25" s="13"/>
      <c r="S25" s="14">
        <f>S24/R24</f>
        <v>0.62398921832884102</v>
      </c>
      <c r="T25" s="16"/>
      <c r="U25" s="16"/>
      <c r="V25" s="13">
        <f>0.19*L24</f>
        <v>135815.42000000001</v>
      </c>
      <c r="W25" s="13"/>
      <c r="X25" s="13"/>
      <c r="Y25" s="13">
        <v>4852</v>
      </c>
      <c r="Z25" s="17"/>
      <c r="AA25" s="18"/>
      <c r="AB25" s="13"/>
      <c r="AC25" s="18"/>
      <c r="AD25" s="18"/>
    </row>
    <row r="26" spans="2:30">
      <c r="B26" s="47" t="s">
        <v>121</v>
      </c>
      <c r="C26" s="86" t="s">
        <v>12</v>
      </c>
      <c r="D26" s="8">
        <v>2799</v>
      </c>
      <c r="E26" s="8">
        <v>15</v>
      </c>
      <c r="F26" s="8">
        <v>1334</v>
      </c>
      <c r="G26" s="8">
        <v>503</v>
      </c>
      <c r="H26" s="8">
        <v>37</v>
      </c>
      <c r="I26" s="9">
        <f>F26*540</f>
        <v>720360</v>
      </c>
      <c r="J26" s="9">
        <f>G26*400</f>
        <v>201200</v>
      </c>
      <c r="K26" s="9">
        <f>H26*200</f>
        <v>7400</v>
      </c>
      <c r="L26" s="57">
        <v>1057318</v>
      </c>
      <c r="M26" s="57">
        <v>566872</v>
      </c>
      <c r="N26" s="8">
        <v>2343</v>
      </c>
      <c r="O26" s="56">
        <v>334394</v>
      </c>
      <c r="P26" s="56">
        <v>147901</v>
      </c>
      <c r="Q26" s="8">
        <f>149+11083+2077+3514</f>
        <v>16823</v>
      </c>
      <c r="R26" s="8">
        <v>10308</v>
      </c>
      <c r="S26" s="8">
        <v>7535</v>
      </c>
      <c r="T26" s="10">
        <f>Y26+Y27</f>
        <v>9822</v>
      </c>
      <c r="U26" s="11">
        <f>V26/V27</f>
        <v>0.36600550688280703</v>
      </c>
      <c r="V26" s="8">
        <v>73527</v>
      </c>
      <c r="W26" s="8">
        <v>94236</v>
      </c>
      <c r="X26" s="8">
        <v>40189</v>
      </c>
      <c r="Y26" s="8">
        <v>49</v>
      </c>
      <c r="Z26" s="11">
        <f>AA26/AC26</f>
        <v>0.14660859666285542</v>
      </c>
      <c r="AA26" s="12">
        <v>296236.7</v>
      </c>
      <c r="AB26" s="8">
        <v>161921</v>
      </c>
      <c r="AC26" s="12">
        <v>2020595.7</v>
      </c>
      <c r="AD26" s="12">
        <f>AC26*1000/L26</f>
        <v>1911.0576950359305</v>
      </c>
    </row>
    <row r="27" spans="2:30">
      <c r="B27" s="47" t="s">
        <v>121</v>
      </c>
      <c r="C27" s="87"/>
      <c r="D27" s="13"/>
      <c r="E27" s="13"/>
      <c r="F27" s="14">
        <f>I26/L26/1.95</f>
        <v>0.3493891001717408</v>
      </c>
      <c r="G27" s="14">
        <f>J26/L26/0.35</f>
        <v>0.54369370696152242</v>
      </c>
      <c r="H27" s="14">
        <f>K26/L26/0.075</f>
        <v>9.3317872831699317E-2</v>
      </c>
      <c r="I27" s="15"/>
      <c r="J27" s="15"/>
      <c r="K27" s="15"/>
      <c r="L27" s="15"/>
      <c r="M27" s="15"/>
      <c r="N27" s="13"/>
      <c r="O27" s="14">
        <f>O26/L26</f>
        <v>0.31626625102381689</v>
      </c>
      <c r="P27" s="14">
        <f>P26/M26</f>
        <v>0.26090722420581719</v>
      </c>
      <c r="Q27" s="13"/>
      <c r="R27" s="13"/>
      <c r="S27" s="14">
        <f>S26/R26</f>
        <v>0.73098564221963525</v>
      </c>
      <c r="T27" s="16"/>
      <c r="U27" s="16"/>
      <c r="V27" s="13">
        <f>0.19*L26</f>
        <v>200890.42</v>
      </c>
      <c r="W27" s="13"/>
      <c r="X27" s="13"/>
      <c r="Y27" s="13">
        <v>9773</v>
      </c>
      <c r="Z27" s="17"/>
      <c r="AA27" s="18"/>
      <c r="AB27" s="13"/>
      <c r="AC27" s="18"/>
      <c r="AD27" s="18"/>
    </row>
    <row r="28" spans="2:30">
      <c r="B28" s="47" t="s">
        <v>121</v>
      </c>
      <c r="C28" s="86" t="s">
        <v>13</v>
      </c>
      <c r="D28" s="8">
        <v>2417</v>
      </c>
      <c r="E28" s="8">
        <v>25</v>
      </c>
      <c r="F28" s="8">
        <v>1209</v>
      </c>
      <c r="G28" s="8">
        <v>914</v>
      </c>
      <c r="H28" s="8">
        <v>42</v>
      </c>
      <c r="I28" s="9">
        <f>F28*540</f>
        <v>652860</v>
      </c>
      <c r="J28" s="9">
        <f>G28*400</f>
        <v>365600</v>
      </c>
      <c r="K28" s="9">
        <f>H28*200</f>
        <v>8400</v>
      </c>
      <c r="L28" s="57">
        <v>900503</v>
      </c>
      <c r="M28" s="57">
        <v>479374</v>
      </c>
      <c r="N28" s="8">
        <v>2510</v>
      </c>
      <c r="O28" s="56">
        <v>237552</v>
      </c>
      <c r="P28" s="56">
        <v>93372</v>
      </c>
      <c r="Q28" s="8">
        <f>1239+29311</f>
        <v>30550</v>
      </c>
      <c r="R28" s="8">
        <v>2924</v>
      </c>
      <c r="S28" s="8">
        <v>1823</v>
      </c>
      <c r="T28" s="10">
        <f>Y28+Y29</f>
        <v>27358</v>
      </c>
      <c r="U28" s="11">
        <f>V28/V29</f>
        <v>0.33094369421721437</v>
      </c>
      <c r="V28" s="56">
        <v>56623</v>
      </c>
      <c r="W28" s="56">
        <v>53769</v>
      </c>
      <c r="X28" s="8">
        <v>23422</v>
      </c>
      <c r="Y28" s="8">
        <v>26</v>
      </c>
      <c r="Z28" s="11">
        <f>AA28/AC28</f>
        <v>8.0644626592974028E-2</v>
      </c>
      <c r="AA28" s="12">
        <v>98764.7</v>
      </c>
      <c r="AB28" s="8">
        <v>56486</v>
      </c>
      <c r="AC28" s="12">
        <v>1224690.3999999999</v>
      </c>
      <c r="AD28" s="12">
        <f>AC28*1000/L28</f>
        <v>1360.0070182997724</v>
      </c>
    </row>
    <row r="29" spans="2:30">
      <c r="B29" s="47" t="s">
        <v>121</v>
      </c>
      <c r="C29" s="87"/>
      <c r="D29" s="13"/>
      <c r="E29" s="13"/>
      <c r="F29" s="14">
        <f>I28/L28/1.95</f>
        <v>0.37179220946515446</v>
      </c>
      <c r="G29" s="14">
        <f>J28/L28/0.35</f>
        <v>1.1599866170034177</v>
      </c>
      <c r="H29" s="14">
        <f>K28/L28/0.075</f>
        <v>0.12437493267651525</v>
      </c>
      <c r="I29" s="15"/>
      <c r="J29" s="15"/>
      <c r="K29" s="15"/>
      <c r="L29" s="15"/>
      <c r="M29" s="15"/>
      <c r="N29" s="13"/>
      <c r="O29" s="14">
        <f>O28/L28</f>
        <v>0.26379923220688883</v>
      </c>
      <c r="P29" s="14">
        <f>P28/M28</f>
        <v>0.1947790243108721</v>
      </c>
      <c r="Q29" s="13"/>
      <c r="R29" s="13"/>
      <c r="S29" s="14">
        <f>S28/R28</f>
        <v>0.62346101231190154</v>
      </c>
      <c r="T29" s="16"/>
      <c r="U29" s="16"/>
      <c r="V29" s="13">
        <f>0.19*L28</f>
        <v>171095.57</v>
      </c>
      <c r="W29" s="13"/>
      <c r="X29" s="13"/>
      <c r="Y29" s="13">
        <v>27332</v>
      </c>
      <c r="Z29" s="17"/>
      <c r="AA29" s="18"/>
      <c r="AB29" s="13"/>
      <c r="AC29" s="18"/>
      <c r="AD29" s="18"/>
    </row>
    <row r="30" spans="2:30">
      <c r="B30" s="47" t="s">
        <v>121</v>
      </c>
      <c r="C30" s="86" t="s">
        <v>14</v>
      </c>
      <c r="D30" s="8">
        <v>3842</v>
      </c>
      <c r="E30" s="8">
        <v>21</v>
      </c>
      <c r="F30" s="8">
        <v>2764</v>
      </c>
      <c r="G30" s="8">
        <v>628</v>
      </c>
      <c r="H30" s="8">
        <v>40</v>
      </c>
      <c r="I30" s="9">
        <f>F30*540</f>
        <v>1492560</v>
      </c>
      <c r="J30" s="9">
        <f>G30*400</f>
        <v>251200</v>
      </c>
      <c r="K30" s="9">
        <f>H30*200</f>
        <v>8000</v>
      </c>
      <c r="L30" s="57">
        <v>992736</v>
      </c>
      <c r="M30" s="57">
        <v>524934</v>
      </c>
      <c r="N30" s="8">
        <v>1991</v>
      </c>
      <c r="O30" s="56">
        <v>317883</v>
      </c>
      <c r="P30" s="56">
        <v>113472</v>
      </c>
      <c r="Q30" s="8">
        <f>8837+459+500+1055+6722</f>
        <v>17573</v>
      </c>
      <c r="R30" s="8">
        <v>3958</v>
      </c>
      <c r="S30" s="8">
        <v>2911</v>
      </c>
      <c r="T30" s="10">
        <f>Y30+Y31</f>
        <v>12672</v>
      </c>
      <c r="U30" s="11">
        <f>V30/V31</f>
        <v>0.48397877975084702</v>
      </c>
      <c r="V30" s="56">
        <v>91288</v>
      </c>
      <c r="W30" s="56">
        <v>76751</v>
      </c>
      <c r="X30" s="8">
        <v>28005</v>
      </c>
      <c r="Y30" s="8">
        <v>17</v>
      </c>
      <c r="Z30" s="11">
        <f>AA30/AC30</f>
        <v>7.5621041611081408E-2</v>
      </c>
      <c r="AA30" s="12">
        <v>37270.699999999997</v>
      </c>
      <c r="AB30" s="8">
        <v>148258</v>
      </c>
      <c r="AC30" s="12">
        <v>492861.5</v>
      </c>
      <c r="AD30" s="12">
        <f>AC30*1000/L30</f>
        <v>496.46784240724622</v>
      </c>
    </row>
    <row r="31" spans="2:30">
      <c r="B31" s="47" t="s">
        <v>121</v>
      </c>
      <c r="C31" s="87"/>
      <c r="D31" s="13"/>
      <c r="E31" s="13"/>
      <c r="F31" s="14">
        <f>I30/L30/1.95</f>
        <v>0.77101604516748123</v>
      </c>
      <c r="G31" s="14">
        <f>J30/L30/0.35</f>
        <v>0.72296591008514433</v>
      </c>
      <c r="H31" s="14">
        <f>K30/L30/0.075</f>
        <v>0.10744716285766474</v>
      </c>
      <c r="I31" s="15"/>
      <c r="J31" s="15"/>
      <c r="K31" s="15"/>
      <c r="L31" s="15"/>
      <c r="M31" s="15"/>
      <c r="N31" s="13"/>
      <c r="O31" s="14">
        <f>O30/L30</f>
        <v>0.32020899816265352</v>
      </c>
      <c r="P31" s="14">
        <f>P30/M30</f>
        <v>0.21616431779995199</v>
      </c>
      <c r="Q31" s="13"/>
      <c r="R31" s="13"/>
      <c r="S31" s="14">
        <f>S30/R30</f>
        <v>0.73547246083880746</v>
      </c>
      <c r="T31" s="16"/>
      <c r="U31" s="16"/>
      <c r="V31" s="13">
        <f>0.19*L30</f>
        <v>188619.84</v>
      </c>
      <c r="W31" s="13"/>
      <c r="X31" s="13"/>
      <c r="Y31" s="13">
        <v>12655</v>
      </c>
      <c r="Z31" s="17"/>
      <c r="AA31" s="18"/>
      <c r="AB31" s="13"/>
      <c r="AC31" s="18"/>
      <c r="AD31" s="18"/>
    </row>
    <row r="32" spans="2:30">
      <c r="B32" s="47" t="s">
        <v>121</v>
      </c>
      <c r="C32" s="86" t="s">
        <v>15</v>
      </c>
      <c r="D32" s="8">
        <v>3447</v>
      </c>
      <c r="E32" s="8">
        <v>19</v>
      </c>
      <c r="F32" s="8">
        <v>1880</v>
      </c>
      <c r="G32" s="8">
        <v>819</v>
      </c>
      <c r="H32" s="8">
        <v>57</v>
      </c>
      <c r="I32" s="9">
        <f>F32*540</f>
        <v>1015200</v>
      </c>
      <c r="J32" s="9">
        <f>G32*400</f>
        <v>327600</v>
      </c>
      <c r="K32" s="9">
        <f>H32*200</f>
        <v>11400</v>
      </c>
      <c r="L32" s="57">
        <v>1224919</v>
      </c>
      <c r="M32" s="57">
        <v>657445</v>
      </c>
      <c r="N32" s="8">
        <v>2998</v>
      </c>
      <c r="O32" s="56">
        <v>351597</v>
      </c>
      <c r="P32" s="56">
        <v>140865</v>
      </c>
      <c r="Q32" s="8">
        <f>13797+1621+3237+21997</f>
        <v>40652</v>
      </c>
      <c r="R32" s="8">
        <v>6681</v>
      </c>
      <c r="S32" s="8">
        <v>3497</v>
      </c>
      <c r="T32" s="10">
        <f>Y32+Y33</f>
        <v>28409</v>
      </c>
      <c r="U32" s="11">
        <f>V32/V33</f>
        <v>0.32274529344818975</v>
      </c>
      <c r="V32" s="8">
        <v>75114</v>
      </c>
      <c r="W32" s="8">
        <v>122557</v>
      </c>
      <c r="X32" s="8">
        <v>39146</v>
      </c>
      <c r="Y32" s="8">
        <v>35</v>
      </c>
      <c r="Z32" s="11">
        <f>AA32/AC32</f>
        <v>6.046690634118535E-3</v>
      </c>
      <c r="AA32" s="12">
        <v>8102.3</v>
      </c>
      <c r="AB32" s="8">
        <v>201211</v>
      </c>
      <c r="AC32" s="12">
        <v>1339956.1000000001</v>
      </c>
      <c r="AD32" s="12">
        <f>AC32*1000/L32</f>
        <v>1093.9140465614462</v>
      </c>
    </row>
    <row r="33" spans="1:30">
      <c r="B33" s="47" t="s">
        <v>121</v>
      </c>
      <c r="C33" s="87"/>
      <c r="D33" s="13"/>
      <c r="E33" s="13"/>
      <c r="F33" s="14">
        <f>I32/L32/1.95</f>
        <v>0.42502025408650257</v>
      </c>
      <c r="G33" s="14">
        <f>J32/L32/0.35</f>
        <v>0.76413215894275466</v>
      </c>
      <c r="H33" s="14">
        <f>K32/L32/0.075</f>
        <v>0.12408983777702852</v>
      </c>
      <c r="I33" s="15"/>
      <c r="J33" s="15"/>
      <c r="K33" s="15"/>
      <c r="L33" s="15"/>
      <c r="M33" s="15"/>
      <c r="N33" s="13"/>
      <c r="O33" s="14">
        <f>O32/L32</f>
        <v>0.28703693876901248</v>
      </c>
      <c r="P33" s="14">
        <f>P32/M32</f>
        <v>0.2142612690034908</v>
      </c>
      <c r="Q33" s="13"/>
      <c r="R33" s="13"/>
      <c r="S33" s="14">
        <f>S32/R32</f>
        <v>0.52342463703038467</v>
      </c>
      <c r="T33" s="16"/>
      <c r="U33" s="16"/>
      <c r="V33" s="13">
        <f>0.19*L32</f>
        <v>232734.61000000002</v>
      </c>
      <c r="W33" s="13"/>
      <c r="X33" s="13"/>
      <c r="Y33" s="13">
        <v>28374</v>
      </c>
      <c r="Z33" s="17"/>
      <c r="AA33" s="18"/>
      <c r="AB33" s="13"/>
      <c r="AC33" s="18"/>
      <c r="AD33" s="18"/>
    </row>
    <row r="34" spans="1:30">
      <c r="B34" s="47" t="s">
        <v>121</v>
      </c>
      <c r="C34" s="86" t="s">
        <v>16</v>
      </c>
      <c r="D34" s="8">
        <v>2224</v>
      </c>
      <c r="E34" s="8">
        <v>20</v>
      </c>
      <c r="F34" s="8">
        <v>1208</v>
      </c>
      <c r="G34" s="8">
        <v>595</v>
      </c>
      <c r="H34" s="8">
        <v>43</v>
      </c>
      <c r="I34" s="9">
        <f>F34*540</f>
        <v>652320</v>
      </c>
      <c r="J34" s="9">
        <f>G34*400</f>
        <v>238000</v>
      </c>
      <c r="K34" s="9">
        <f>H34*200</f>
        <v>8600</v>
      </c>
      <c r="L34" s="57">
        <v>1411406</v>
      </c>
      <c r="M34" s="57">
        <v>762891</v>
      </c>
      <c r="N34" s="8">
        <v>2187</v>
      </c>
      <c r="O34" s="56">
        <v>298585</v>
      </c>
      <c r="P34" s="56">
        <v>110581</v>
      </c>
      <c r="Q34" s="8">
        <f>4230+42+3484+6673+9544</f>
        <v>23973</v>
      </c>
      <c r="R34" s="8">
        <v>7505</v>
      </c>
      <c r="S34" s="8">
        <v>5591</v>
      </c>
      <c r="T34" s="10">
        <f>Y34+Y35</f>
        <v>5213</v>
      </c>
      <c r="U34" s="11">
        <f>V34/V35</f>
        <v>0.30076019008145438</v>
      </c>
      <c r="V34" s="56">
        <v>80654</v>
      </c>
      <c r="W34" s="56">
        <v>62840</v>
      </c>
      <c r="X34" s="8">
        <v>27872</v>
      </c>
      <c r="Y34" s="8">
        <v>37</v>
      </c>
      <c r="Z34" s="11">
        <f>AA34/AC34</f>
        <v>4.7682836451378496E-2</v>
      </c>
      <c r="AA34" s="12">
        <v>53589.4</v>
      </c>
      <c r="AB34" s="8">
        <v>106927</v>
      </c>
      <c r="AC34" s="12">
        <v>1123871.8999999999</v>
      </c>
      <c r="AD34" s="12">
        <f>AC34*1000/L34</f>
        <v>796.27825019873796</v>
      </c>
    </row>
    <row r="35" spans="1:30">
      <c r="B35" s="47" t="s">
        <v>121</v>
      </c>
      <c r="C35" s="87"/>
      <c r="D35" s="13"/>
      <c r="E35" s="13"/>
      <c r="F35" s="14">
        <f>I34/L34/1.95</f>
        <v>0.2370140674781579</v>
      </c>
      <c r="G35" s="14">
        <f>J34/L34/0.35</f>
        <v>0.48178908124239239</v>
      </c>
      <c r="H35" s="14">
        <f>K34/L34/0.075</f>
        <v>8.1242864680089691E-2</v>
      </c>
      <c r="I35" s="15"/>
      <c r="J35" s="15"/>
      <c r="K35" s="15"/>
      <c r="L35" s="15"/>
      <c r="M35" s="15"/>
      <c r="N35" s="13"/>
      <c r="O35" s="14">
        <f>O34/L34</f>
        <v>0.21155146003347017</v>
      </c>
      <c r="P35" s="14">
        <f>P34/M34</f>
        <v>0.14494993386997618</v>
      </c>
      <c r="Q35" s="13"/>
      <c r="R35" s="13"/>
      <c r="S35" s="14">
        <f>S34/R34</f>
        <v>0.74497001998667556</v>
      </c>
      <c r="T35" s="16"/>
      <c r="U35" s="16"/>
      <c r="V35" s="13">
        <f>0.19*L34</f>
        <v>268167.14</v>
      </c>
      <c r="W35" s="13"/>
      <c r="X35" s="13"/>
      <c r="Y35" s="13">
        <v>5176</v>
      </c>
      <c r="Z35" s="17"/>
      <c r="AA35" s="18"/>
      <c r="AB35" s="13"/>
      <c r="AC35" s="18"/>
      <c r="AD35" s="18"/>
    </row>
    <row r="36" spans="1:30">
      <c r="B36" s="47" t="s">
        <v>121</v>
      </c>
      <c r="C36" s="86" t="s">
        <v>17</v>
      </c>
      <c r="D36" s="8">
        <v>2258</v>
      </c>
      <c r="E36" s="8">
        <v>16</v>
      </c>
      <c r="F36" s="8">
        <v>1096</v>
      </c>
      <c r="G36" s="8">
        <v>593</v>
      </c>
      <c r="H36" s="8">
        <v>26</v>
      </c>
      <c r="I36" s="9">
        <f>F36*540</f>
        <v>591840</v>
      </c>
      <c r="J36" s="9">
        <f>G36*400</f>
        <v>237200</v>
      </c>
      <c r="K36" s="9">
        <f>H36*200</f>
        <v>5200</v>
      </c>
      <c r="L36" s="57">
        <v>1178978</v>
      </c>
      <c r="M36" s="57">
        <v>642513</v>
      </c>
      <c r="N36" s="8">
        <v>3016</v>
      </c>
      <c r="O36" s="56">
        <v>355778</v>
      </c>
      <c r="P36" s="56">
        <v>128331</v>
      </c>
      <c r="Q36" s="8">
        <f>55+100+5000+1173+9131</f>
        <v>15459</v>
      </c>
      <c r="R36" s="8">
        <v>8429</v>
      </c>
      <c r="S36" s="8">
        <v>4540</v>
      </c>
      <c r="T36" s="10">
        <f>Y36+Y37</f>
        <v>9570</v>
      </c>
      <c r="U36" s="11">
        <f>V36/V37</f>
        <v>0.26760465420050245</v>
      </c>
      <c r="V36" s="56">
        <v>59945</v>
      </c>
      <c r="W36" s="8">
        <v>104132</v>
      </c>
      <c r="X36" s="8">
        <v>46202</v>
      </c>
      <c r="Y36" s="8">
        <v>47</v>
      </c>
      <c r="Z36" s="11">
        <f>AA36/AC36</f>
        <v>0.1771209638755751</v>
      </c>
      <c r="AA36" s="12">
        <v>573484.4</v>
      </c>
      <c r="AB36" s="8">
        <v>149370</v>
      </c>
      <c r="AC36" s="12">
        <v>3237812.1</v>
      </c>
      <c r="AD36" s="12">
        <f>AC36*1000/L36</f>
        <v>2746.2871232542084</v>
      </c>
    </row>
    <row r="37" spans="1:30">
      <c r="B37" s="47" t="s">
        <v>121</v>
      </c>
      <c r="C37" s="87"/>
      <c r="D37" s="13"/>
      <c r="E37" s="13"/>
      <c r="F37" s="14">
        <f>I36/L36/1.95</f>
        <v>0.25743287178190971</v>
      </c>
      <c r="G37" s="14">
        <f>J36/L36/0.35</f>
        <v>0.57483200340827878</v>
      </c>
      <c r="H37" s="14">
        <f>K36/L36/0.075</f>
        <v>5.8807995851774451E-2</v>
      </c>
      <c r="I37" s="15"/>
      <c r="J37" s="15"/>
      <c r="K37" s="15"/>
      <c r="L37" s="15"/>
      <c r="M37" s="15"/>
      <c r="N37" s="13"/>
      <c r="O37" s="14">
        <f>O36/L36</f>
        <v>0.3017681415598934</v>
      </c>
      <c r="P37" s="14">
        <f>P36/M36</f>
        <v>0.19973292369181636</v>
      </c>
      <c r="Q37" s="13"/>
      <c r="R37" s="13"/>
      <c r="S37" s="14">
        <f>S36/R36</f>
        <v>0.53861668050777078</v>
      </c>
      <c r="T37" s="16"/>
      <c r="U37" s="16"/>
      <c r="V37" s="13">
        <f>0.19*L36</f>
        <v>224005.82</v>
      </c>
      <c r="W37" s="13"/>
      <c r="X37" s="13"/>
      <c r="Y37" s="13">
        <v>9523</v>
      </c>
      <c r="Z37" s="17"/>
      <c r="AA37" s="18"/>
      <c r="AB37" s="13"/>
      <c r="AC37" s="18"/>
      <c r="AD37" s="18"/>
    </row>
    <row r="38" spans="1:30">
      <c r="B38" s="47" t="s">
        <v>121</v>
      </c>
      <c r="C38" s="86" t="s">
        <v>18</v>
      </c>
      <c r="D38" s="8">
        <v>14602</v>
      </c>
      <c r="E38" s="8">
        <v>22</v>
      </c>
      <c r="F38" s="8">
        <v>7896</v>
      </c>
      <c r="G38" s="8">
        <v>3589</v>
      </c>
      <c r="H38" s="8">
        <v>301</v>
      </c>
      <c r="I38" s="9">
        <f>F38*540</f>
        <v>4263840</v>
      </c>
      <c r="J38" s="9">
        <f>G38*400</f>
        <v>1435600</v>
      </c>
      <c r="K38" s="9">
        <f>H38*200</f>
        <v>60200</v>
      </c>
      <c r="L38" s="57">
        <v>11271282</v>
      </c>
      <c r="M38" s="57">
        <v>6010917</v>
      </c>
      <c r="N38" s="8">
        <v>29840</v>
      </c>
      <c r="O38" s="56">
        <v>3175446</v>
      </c>
      <c r="P38" s="56">
        <v>1401734</v>
      </c>
      <c r="Q38" s="8">
        <f>58847+2186+18116+100135+378922</f>
        <v>558206</v>
      </c>
      <c r="R38" s="8">
        <v>74955</v>
      </c>
      <c r="S38" s="8">
        <v>43005</v>
      </c>
      <c r="T38" s="10">
        <f>Y38+Y39</f>
        <v>29303</v>
      </c>
      <c r="U38" s="11">
        <f>V38/V39</f>
        <v>0.18605785271948563</v>
      </c>
      <c r="V38" s="56">
        <v>398451</v>
      </c>
      <c r="W38" s="56">
        <v>460532</v>
      </c>
      <c r="X38" s="8">
        <v>322901</v>
      </c>
      <c r="Y38" s="8">
        <v>587</v>
      </c>
      <c r="Z38" s="11">
        <f>AA38/AC38</f>
        <v>4.3622537461068825E-2</v>
      </c>
      <c r="AA38" s="12">
        <v>1727206.3999999999</v>
      </c>
      <c r="AB38" s="8">
        <v>2888854</v>
      </c>
      <c r="AC38" s="12">
        <v>39594358.799999997</v>
      </c>
      <c r="AD38" s="12">
        <f>AC38*1000/L38</f>
        <v>3512.8531785470368</v>
      </c>
    </row>
    <row r="39" spans="1:30">
      <c r="B39" s="47" t="s">
        <v>121</v>
      </c>
      <c r="C39" s="87"/>
      <c r="D39" s="13"/>
      <c r="E39" s="13"/>
      <c r="F39" s="14">
        <f>I38/L38/1.95</f>
        <v>0.19399608805676369</v>
      </c>
      <c r="G39" s="14">
        <f>J38/L38/0.35</f>
        <v>0.36390840773163918</v>
      </c>
      <c r="H39" s="14">
        <f>K38/L38/0.075</f>
        <v>7.1213431326327098E-2</v>
      </c>
      <c r="I39" s="15"/>
      <c r="J39" s="15"/>
      <c r="K39" s="15"/>
      <c r="L39" s="15"/>
      <c r="M39" s="15"/>
      <c r="N39" s="13"/>
      <c r="O39" s="14">
        <f>O38/L38</f>
        <v>0.28172891069534062</v>
      </c>
      <c r="P39" s="14">
        <f>P38/M38</f>
        <v>0.2331980295186242</v>
      </c>
      <c r="Q39" s="13"/>
      <c r="R39" s="13"/>
      <c r="S39" s="14">
        <f>S38/R38</f>
        <v>0.57374424654792877</v>
      </c>
      <c r="T39" s="16"/>
      <c r="U39" s="16"/>
      <c r="V39" s="13">
        <f>0.19*L38</f>
        <v>2141543.58</v>
      </c>
      <c r="W39" s="13"/>
      <c r="X39" s="13"/>
      <c r="Y39" s="13">
        <v>28716</v>
      </c>
      <c r="Z39" s="17"/>
      <c r="AA39" s="18"/>
      <c r="AB39" s="13"/>
      <c r="AC39" s="18"/>
      <c r="AD39" s="18"/>
    </row>
    <row r="40" spans="1:30" s="20" customFormat="1" ht="11.25" customHeight="1">
      <c r="A40" s="49" t="s">
        <v>129</v>
      </c>
      <c r="B40" s="50" t="s">
        <v>121</v>
      </c>
      <c r="C40" s="88" t="s">
        <v>19</v>
      </c>
      <c r="D40" s="24">
        <f t="shared" ref="D40:T40" si="0">SUM(D38,D36,D34,D32,D30,D28,D26,D24,D22,D20,D18,D16,D14,D12,D10,D8,D6,D4)</f>
        <v>69402</v>
      </c>
      <c r="E40" s="24">
        <f t="shared" si="0"/>
        <v>467</v>
      </c>
      <c r="F40" s="24">
        <f t="shared" si="0"/>
        <v>38935</v>
      </c>
      <c r="G40" s="24">
        <f t="shared" si="0"/>
        <v>16686</v>
      </c>
      <c r="H40" s="24">
        <f t="shared" si="0"/>
        <v>1323</v>
      </c>
      <c r="I40" s="19">
        <f t="shared" si="0"/>
        <v>21024900</v>
      </c>
      <c r="J40" s="19">
        <f t="shared" si="0"/>
        <v>6674400</v>
      </c>
      <c r="K40" s="19">
        <f t="shared" si="0"/>
        <v>264600</v>
      </c>
      <c r="L40" s="19">
        <f t="shared" si="0"/>
        <v>36088463</v>
      </c>
      <c r="M40" s="19">
        <f t="shared" si="0"/>
        <v>19303281</v>
      </c>
      <c r="N40" s="24"/>
      <c r="O40" s="24">
        <f t="shared" si="0"/>
        <v>10141638</v>
      </c>
      <c r="P40" s="24">
        <f t="shared" si="0"/>
        <v>3932383</v>
      </c>
      <c r="Q40" s="24">
        <f t="shared" si="0"/>
        <v>1237966</v>
      </c>
      <c r="R40" s="24">
        <f t="shared" si="0"/>
        <v>219863</v>
      </c>
      <c r="S40" s="24">
        <f t="shared" si="0"/>
        <v>128656</v>
      </c>
      <c r="T40" s="24">
        <f t="shared" si="0"/>
        <v>342943</v>
      </c>
      <c r="U40" s="21">
        <f>V40/V41</f>
        <v>0.27481577553935788</v>
      </c>
      <c r="V40" s="24">
        <f>SUM(V38,V36,V34,V32,V30,V28,V26,V24,V22,V20,V18,V16,V14,V12,V10,V8,V6,V4)</f>
        <v>1884359</v>
      </c>
      <c r="W40" s="24">
        <f>SUM(W38,W36,W34,W32,W30,W28,W26,W24,W22,W20,W18,W16,W14,W12,W10,W8,W6,W4)</f>
        <v>2145328</v>
      </c>
      <c r="X40" s="24">
        <f>SUM(X38,X36,X34,X32,X30,X28,X26,X24,X22,X20,X18,X16,X14,X12,X10,X8,X6,X4)</f>
        <v>1037687</v>
      </c>
      <c r="Y40" s="24">
        <f>SUM(Y38,Y36,Y34,Y32,Y30,Y28,Y26,Y24,Y22,Y20,Y18,Y16,Y14,Y12,Y10,Y8,Y6,Y4)</f>
        <v>1443</v>
      </c>
      <c r="Z40" s="21">
        <f>AA40/AC40</f>
        <v>0.10072904570345567</v>
      </c>
      <c r="AA40" s="22">
        <f>SUM(AA38,AA36,AA34,AA32,AA30,AA28,AA26,AA24,AA22,AA20,AA18,AA16,AA14,AA12,AA10,AA8,AA6,AA4)</f>
        <v>10321032.000000002</v>
      </c>
      <c r="AB40" s="24">
        <f>SUM(AB38,AB36,AB34,AB32,AB30,AB28,AB26,AB24,AB22,AB20,AB18,AB16,AB14,AB12,AB10,AB8,AB6,AB4)</f>
        <v>6650460</v>
      </c>
      <c r="AC40" s="22">
        <f>SUM(AC38,AC36,AC34,AC32,AC30,AC28,AC26,AC24,AC22,AC20,AC18,AC16,AC14,AC12,AC10,AC8,AC6,AC4)</f>
        <v>102463315.59999999</v>
      </c>
      <c r="AD40" s="22">
        <f>AC40*1000/L40</f>
        <v>2839.2263643924098</v>
      </c>
    </row>
    <row r="41" spans="1:30" s="20" customFormat="1">
      <c r="A41" s="49" t="s">
        <v>129</v>
      </c>
      <c r="B41" s="50" t="s">
        <v>121</v>
      </c>
      <c r="C41" s="89"/>
      <c r="D41" s="26"/>
      <c r="E41" s="26"/>
      <c r="F41" s="23">
        <f>I40/L40/1.95</f>
        <v>0.29876584103900466</v>
      </c>
      <c r="G41" s="23">
        <f>J40/L40/0.35</f>
        <v>0.52841580661704235</v>
      </c>
      <c r="H41" s="23">
        <f>K40/L40/0.075</f>
        <v>9.7759774363347082E-2</v>
      </c>
      <c r="I41" s="19"/>
      <c r="J41" s="19"/>
      <c r="K41" s="19"/>
      <c r="L41" s="19"/>
      <c r="M41" s="19"/>
      <c r="N41" s="26"/>
      <c r="O41" s="23">
        <f>O40/L40</f>
        <v>0.28102161070145881</v>
      </c>
      <c r="P41" s="23">
        <f>P40/M40</f>
        <v>0.20371578282469183</v>
      </c>
      <c r="Q41" s="26"/>
      <c r="R41" s="26"/>
      <c r="S41" s="23"/>
      <c r="T41" s="28"/>
      <c r="U41" s="28"/>
      <c r="V41" s="26">
        <f>SUM(V39,V37,V35,V33,V31,V29,V27,V25,V23,V21,V19,V17,V15,V13,V11,V9,V7,V5)</f>
        <v>6856807.9699999997</v>
      </c>
      <c r="W41" s="26"/>
      <c r="X41" s="26"/>
      <c r="Y41" s="26">
        <f>SUM(Y39,Y37,Y35,Y33,Y31,Y29,Y27,Y25,Y23,Y21,Y19,Y17,Y15,Y13,Y11,Y9,Y7,Y5)</f>
        <v>341500</v>
      </c>
      <c r="Z41" s="29"/>
      <c r="AA41" s="30"/>
      <c r="AB41" s="26"/>
      <c r="AC41" s="30"/>
      <c r="AD41" s="30"/>
    </row>
    <row r="42" spans="1:30">
      <c r="B42" s="47" t="s">
        <v>122</v>
      </c>
      <c r="C42" s="86" t="s">
        <v>20</v>
      </c>
      <c r="D42" s="8">
        <v>1526</v>
      </c>
      <c r="E42" s="8">
        <v>4</v>
      </c>
      <c r="F42" s="8">
        <v>597</v>
      </c>
      <c r="G42" s="8">
        <v>379</v>
      </c>
      <c r="H42" s="8">
        <v>30</v>
      </c>
      <c r="I42" s="9">
        <f t="shared" ref="I42:I60" si="1">F42*540</f>
        <v>322380</v>
      </c>
      <c r="J42" s="9">
        <f>G42*400</f>
        <v>151600</v>
      </c>
      <c r="K42" s="9">
        <f>H42*200</f>
        <v>6000</v>
      </c>
      <c r="L42" s="57">
        <v>591614</v>
      </c>
      <c r="M42" s="57">
        <v>318358</v>
      </c>
      <c r="N42" s="8">
        <v>1641</v>
      </c>
      <c r="O42" s="56">
        <v>164925</v>
      </c>
      <c r="P42" s="56">
        <v>62191</v>
      </c>
      <c r="Q42" s="8">
        <f>922+213+740+29267+26010</f>
        <v>57152</v>
      </c>
      <c r="R42" s="8">
        <v>4601</v>
      </c>
      <c r="S42" s="8">
        <v>3189</v>
      </c>
      <c r="T42" s="10">
        <f>Y42+Y43</f>
        <v>7096</v>
      </c>
      <c r="U42" s="11">
        <f>V42/V43</f>
        <v>0.34140325849019976</v>
      </c>
      <c r="V42" s="56">
        <v>38376</v>
      </c>
      <c r="W42" s="8">
        <v>41700</v>
      </c>
      <c r="X42" s="8">
        <v>23823</v>
      </c>
      <c r="Y42" s="8">
        <v>15</v>
      </c>
      <c r="Z42" s="11">
        <f>AA42/AC42</f>
        <v>0.16014091390724836</v>
      </c>
      <c r="AA42" s="12">
        <f>163043.5</f>
        <v>163043.5</v>
      </c>
      <c r="AB42" s="8">
        <v>103821</v>
      </c>
      <c r="AC42" s="12">
        <f>1018125.2</f>
        <v>1018125.2</v>
      </c>
      <c r="AD42" s="12">
        <f>AC42*1000/L42</f>
        <v>1720.9281727612936</v>
      </c>
    </row>
    <row r="43" spans="1:30">
      <c r="B43" s="47" t="s">
        <v>122</v>
      </c>
      <c r="C43" s="87"/>
      <c r="D43" s="13"/>
      <c r="E43" s="13"/>
      <c r="F43" s="14">
        <f>I42/L42/1.95</f>
        <v>0.27944415940643214</v>
      </c>
      <c r="G43" s="14">
        <f>J42/L42/0.35</f>
        <v>0.732137605166303</v>
      </c>
      <c r="H43" s="14">
        <f>K42/L42/0.075</f>
        <v>0.1352233043842776</v>
      </c>
      <c r="I43" s="15"/>
      <c r="J43" s="15"/>
      <c r="K43" s="15"/>
      <c r="L43" s="15"/>
      <c r="M43" s="15"/>
      <c r="N43" s="13"/>
      <c r="O43" s="14">
        <f>O42/L42</f>
        <v>0.27877129344471224</v>
      </c>
      <c r="P43" s="14">
        <f>P42/M42</f>
        <v>0.19534926089496729</v>
      </c>
      <c r="Q43" s="13"/>
      <c r="R43" s="13"/>
      <c r="S43" s="14">
        <f>S42/R42</f>
        <v>0.6931101934362095</v>
      </c>
      <c r="T43" s="16"/>
      <c r="U43" s="16"/>
      <c r="V43" s="13">
        <f>0.19*L42</f>
        <v>112406.66</v>
      </c>
      <c r="W43" s="13"/>
      <c r="X43" s="13"/>
      <c r="Y43" s="13">
        <v>7081</v>
      </c>
      <c r="Z43" s="17"/>
      <c r="AA43" s="18"/>
      <c r="AB43" s="13"/>
      <c r="AC43" s="18"/>
      <c r="AD43" s="18"/>
    </row>
    <row r="44" spans="1:30">
      <c r="B44" s="47" t="s">
        <v>122</v>
      </c>
      <c r="C44" s="86" t="s">
        <v>21</v>
      </c>
      <c r="D44" s="8">
        <v>2244</v>
      </c>
      <c r="E44" s="8">
        <v>8</v>
      </c>
      <c r="F44" s="8">
        <v>785</v>
      </c>
      <c r="G44" s="8">
        <v>616</v>
      </c>
      <c r="H44" s="8">
        <v>37</v>
      </c>
      <c r="I44" s="9">
        <f t="shared" si="1"/>
        <v>423900</v>
      </c>
      <c r="J44" s="9">
        <f>G44*400</f>
        <v>246400</v>
      </c>
      <c r="K44" s="9">
        <f>H44*200</f>
        <v>7400</v>
      </c>
      <c r="L44" s="57">
        <v>819354</v>
      </c>
      <c r="M44" s="57">
        <v>429044</v>
      </c>
      <c r="N44" s="8">
        <v>2162</v>
      </c>
      <c r="O44" s="56">
        <v>228358</v>
      </c>
      <c r="P44" s="56">
        <v>79084</v>
      </c>
      <c r="Q44" s="8">
        <f>6312+2531+83+3350</f>
        <v>12276</v>
      </c>
      <c r="R44" s="8">
        <v>5221</v>
      </c>
      <c r="S44" s="8">
        <v>3325</v>
      </c>
      <c r="T44" s="10">
        <f>Y44+Y45</f>
        <v>9005</v>
      </c>
      <c r="U44" s="11">
        <f>V44/V45</f>
        <v>0.35244710756086017</v>
      </c>
      <c r="V44" s="56">
        <v>54868</v>
      </c>
      <c r="W44" s="56">
        <v>50414</v>
      </c>
      <c r="X44" s="8">
        <v>35076</v>
      </c>
      <c r="Y44" s="8">
        <v>28</v>
      </c>
      <c r="Z44" s="11">
        <f>AA44/AC44</f>
        <v>0.12655694999025013</v>
      </c>
      <c r="AA44" s="12">
        <f>238320</f>
        <v>238320</v>
      </c>
      <c r="AB44" s="8">
        <v>147546</v>
      </c>
      <c r="AC44" s="53">
        <f>1883104.8</f>
        <v>1883104.8</v>
      </c>
      <c r="AD44" s="53">
        <f>AC44*1000/L44</f>
        <v>2298.2798643809633</v>
      </c>
    </row>
    <row r="45" spans="1:30">
      <c r="B45" s="47" t="s">
        <v>122</v>
      </c>
      <c r="C45" s="87"/>
      <c r="D45" s="13"/>
      <c r="E45" s="13"/>
      <c r="F45" s="14">
        <f>I44/L44/1.95</f>
        <v>0.26531220374174702</v>
      </c>
      <c r="G45" s="14">
        <f>J44/L44/0.35</f>
        <v>0.85921347793505609</v>
      </c>
      <c r="H45" s="14">
        <f>K44/L44/0.075</f>
        <v>0.12042007077120105</v>
      </c>
      <c r="I45" s="15"/>
      <c r="J45" s="15"/>
      <c r="K45" s="15"/>
      <c r="L45" s="15"/>
      <c r="M45" s="15"/>
      <c r="N45" s="13"/>
      <c r="O45" s="14">
        <f>O44/L44</f>
        <v>0.27870493095780335</v>
      </c>
      <c r="P45" s="14">
        <f>P44/M44</f>
        <v>0.18432608310569545</v>
      </c>
      <c r="Q45" s="13"/>
      <c r="R45" s="13"/>
      <c r="S45" s="14">
        <f>S44/R44</f>
        <v>0.63685117793526147</v>
      </c>
      <c r="T45" s="16"/>
      <c r="U45" s="16"/>
      <c r="V45" s="13">
        <f>0.19*L44</f>
        <v>155677.26</v>
      </c>
      <c r="W45" s="13"/>
      <c r="X45" s="13"/>
      <c r="Y45" s="13">
        <v>8977</v>
      </c>
      <c r="Z45" s="17"/>
      <c r="AA45" s="18"/>
      <c r="AB45" s="13"/>
      <c r="AC45" s="18"/>
      <c r="AD45" s="18"/>
    </row>
    <row r="46" spans="1:30" s="6" customFormat="1">
      <c r="A46" s="48"/>
      <c r="B46" s="47" t="s">
        <v>122</v>
      </c>
      <c r="C46" s="86" t="s">
        <v>22</v>
      </c>
      <c r="D46" s="8">
        <v>1989</v>
      </c>
      <c r="E46" s="8">
        <v>11</v>
      </c>
      <c r="F46" s="8">
        <v>801</v>
      </c>
      <c r="G46" s="8">
        <v>647</v>
      </c>
      <c r="H46" s="8">
        <v>47</v>
      </c>
      <c r="I46" s="9">
        <f t="shared" si="1"/>
        <v>432540</v>
      </c>
      <c r="J46" s="9">
        <f>G46*400</f>
        <v>258800</v>
      </c>
      <c r="K46" s="9">
        <f>H46*200</f>
        <v>9400</v>
      </c>
      <c r="L46" s="57">
        <v>1071989</v>
      </c>
      <c r="M46" s="57">
        <v>564774</v>
      </c>
      <c r="N46" s="8">
        <v>2610</v>
      </c>
      <c r="O46" s="56">
        <v>313679</v>
      </c>
      <c r="P46" s="56">
        <v>124173</v>
      </c>
      <c r="Q46" s="8">
        <f>5862+714+7414+223+18915</f>
        <v>33128</v>
      </c>
      <c r="R46" s="8">
        <v>6612</v>
      </c>
      <c r="S46" s="8">
        <v>2963</v>
      </c>
      <c r="T46" s="10">
        <f>Y46+Y47</f>
        <v>11121</v>
      </c>
      <c r="U46" s="11">
        <f>V46/V47</f>
        <v>0.2671571011308983</v>
      </c>
      <c r="V46" s="56">
        <v>54414</v>
      </c>
      <c r="W46" s="56">
        <v>50813</v>
      </c>
      <c r="X46" s="8">
        <v>31068</v>
      </c>
      <c r="Y46" s="8">
        <v>76</v>
      </c>
      <c r="Z46" s="11">
        <f>AA46/AC46</f>
        <v>0.29072308769482635</v>
      </c>
      <c r="AA46" s="12">
        <f>695952.9</f>
        <v>695952.9</v>
      </c>
      <c r="AB46" s="8">
        <v>151195</v>
      </c>
      <c r="AC46" s="12">
        <f>2393868.7</f>
        <v>2393868.7000000002</v>
      </c>
      <c r="AD46" s="12">
        <f>AC46*1000/L46</f>
        <v>2233.1093882493196</v>
      </c>
    </row>
    <row r="47" spans="1:30" s="6" customFormat="1">
      <c r="A47" s="48"/>
      <c r="B47" s="47" t="s">
        <v>122</v>
      </c>
      <c r="C47" s="87"/>
      <c r="D47" s="13"/>
      <c r="E47" s="13"/>
      <c r="F47" s="14">
        <f>I46/L46/1.95</f>
        <v>0.20691945963567221</v>
      </c>
      <c r="G47" s="14">
        <f>J46/L46/0.35</f>
        <v>0.68977253631200641</v>
      </c>
      <c r="H47" s="14">
        <f>K46/L46/0.075</f>
        <v>0.11691662258972185</v>
      </c>
      <c r="I47" s="15"/>
      <c r="J47" s="15"/>
      <c r="K47" s="15"/>
      <c r="L47" s="15"/>
      <c r="M47" s="15"/>
      <c r="N47" s="13"/>
      <c r="O47" s="14">
        <f>O46/L46</f>
        <v>0.29261401003181936</v>
      </c>
      <c r="P47" s="14">
        <f>P46/M46</f>
        <v>0.21986316650554028</v>
      </c>
      <c r="Q47" s="13"/>
      <c r="R47" s="13"/>
      <c r="S47" s="14">
        <f>S46/R46</f>
        <v>0.44812462189957653</v>
      </c>
      <c r="T47" s="16"/>
      <c r="U47" s="16"/>
      <c r="V47" s="13">
        <f>0.19*L46</f>
        <v>203677.91</v>
      </c>
      <c r="W47" s="13"/>
      <c r="X47" s="13"/>
      <c r="Y47" s="13">
        <v>11045</v>
      </c>
      <c r="Z47" s="17"/>
      <c r="AA47" s="18"/>
      <c r="AB47" s="13"/>
      <c r="AC47" s="18"/>
      <c r="AD47" s="18"/>
    </row>
    <row r="48" spans="1:30" s="6" customFormat="1">
      <c r="A48" s="48"/>
      <c r="B48" s="47" t="s">
        <v>122</v>
      </c>
      <c r="C48" s="86" t="s">
        <v>119</v>
      </c>
      <c r="D48" s="8">
        <v>91</v>
      </c>
      <c r="E48" s="8">
        <v>0</v>
      </c>
      <c r="F48" s="8">
        <v>31</v>
      </c>
      <c r="G48" s="8">
        <v>52</v>
      </c>
      <c r="H48" s="8">
        <v>2</v>
      </c>
      <c r="I48" s="9">
        <f t="shared" si="1"/>
        <v>16740</v>
      </c>
      <c r="J48" s="9">
        <f>G48*400</f>
        <v>20800</v>
      </c>
      <c r="K48" s="9">
        <f>H48*200</f>
        <v>400</v>
      </c>
      <c r="L48" s="57">
        <v>40312</v>
      </c>
      <c r="M48" s="57">
        <v>20536</v>
      </c>
      <c r="N48" s="8">
        <v>163</v>
      </c>
      <c r="O48" s="56">
        <v>12195</v>
      </c>
      <c r="P48" s="56">
        <v>4002</v>
      </c>
      <c r="Q48" s="8">
        <f>87</f>
        <v>87</v>
      </c>
      <c r="R48" s="8">
        <v>33</v>
      </c>
      <c r="S48" s="8">
        <v>33</v>
      </c>
      <c r="T48" s="10">
        <f>Y48+Y49</f>
        <v>18</v>
      </c>
      <c r="U48" s="11">
        <f>V48/V49</f>
        <v>0.32418190743777486</v>
      </c>
      <c r="V48" s="56">
        <v>2483</v>
      </c>
      <c r="W48" s="56">
        <v>626</v>
      </c>
      <c r="X48" s="8">
        <v>3708</v>
      </c>
      <c r="Y48" s="8">
        <v>2</v>
      </c>
      <c r="Z48" s="11">
        <f>AA48/AC48</f>
        <v>1.9007313582830664E-2</v>
      </c>
      <c r="AA48" s="12">
        <f>9216.5</f>
        <v>9216.5</v>
      </c>
      <c r="AB48" s="8">
        <v>7918</v>
      </c>
      <c r="AC48" s="53">
        <f>484892.3</f>
        <v>484892.3</v>
      </c>
      <c r="AD48" s="53">
        <f>AC48*1000/L48</f>
        <v>12028.485314546537</v>
      </c>
    </row>
    <row r="49" spans="1:30" s="6" customFormat="1">
      <c r="A49" s="48"/>
      <c r="B49" s="47" t="s">
        <v>122</v>
      </c>
      <c r="C49" s="87"/>
      <c r="D49" s="13"/>
      <c r="E49" s="13"/>
      <c r="F49" s="14">
        <f>I48/L48/1.95</f>
        <v>0.2129543407574763</v>
      </c>
      <c r="G49" s="14">
        <f>J48/L48/0.35</f>
        <v>1.4742154055509882</v>
      </c>
      <c r="H49" s="14">
        <f>K48/L48/0.075</f>
        <v>0.13230138254944765</v>
      </c>
      <c r="I49" s="15"/>
      <c r="J49" s="15"/>
      <c r="K49" s="15"/>
      <c r="L49" s="15"/>
      <c r="M49" s="15"/>
      <c r="N49" s="13"/>
      <c r="O49" s="14">
        <f>O48/L48</f>
        <v>0.30251538003572137</v>
      </c>
      <c r="P49" s="14">
        <f>P48/M48</f>
        <v>0.19487728866380991</v>
      </c>
      <c r="Q49" s="13"/>
      <c r="R49" s="13"/>
      <c r="S49" s="14">
        <f>S48/R48</f>
        <v>1</v>
      </c>
      <c r="T49" s="16"/>
      <c r="U49" s="16"/>
      <c r="V49" s="13">
        <f>0.19*L48</f>
        <v>7659.28</v>
      </c>
      <c r="W49" s="13"/>
      <c r="X49" s="13"/>
      <c r="Y49" s="13">
        <v>16</v>
      </c>
      <c r="Z49" s="17"/>
      <c r="AA49" s="18"/>
      <c r="AB49" s="13"/>
      <c r="AC49" s="18"/>
      <c r="AD49" s="18"/>
    </row>
    <row r="50" spans="1:30">
      <c r="B50" s="47" t="s">
        <v>122</v>
      </c>
      <c r="C50" s="86" t="s">
        <v>23</v>
      </c>
      <c r="D50" s="8">
        <v>1919</v>
      </c>
      <c r="E50" s="8">
        <v>14</v>
      </c>
      <c r="F50" s="8">
        <v>778</v>
      </c>
      <c r="G50" s="8">
        <v>661</v>
      </c>
      <c r="H50" s="8">
        <v>46</v>
      </c>
      <c r="I50" s="9">
        <f t="shared" si="1"/>
        <v>420120</v>
      </c>
      <c r="J50" s="9">
        <f>G50*400</f>
        <v>264400</v>
      </c>
      <c r="K50" s="9">
        <f>H50*200</f>
        <v>9200</v>
      </c>
      <c r="L50" s="57">
        <v>1103757</v>
      </c>
      <c r="M50" s="57">
        <v>586955</v>
      </c>
      <c r="N50" s="8">
        <v>2641</v>
      </c>
      <c r="O50" s="56">
        <v>261015</v>
      </c>
      <c r="P50" s="56">
        <v>104358</v>
      </c>
      <c r="Q50" s="8">
        <f>899+57+13677</f>
        <v>14633</v>
      </c>
      <c r="R50" s="8">
        <v>5451</v>
      </c>
      <c r="S50" s="8">
        <v>221</v>
      </c>
      <c r="T50" s="10">
        <f>Y50+Y51</f>
        <v>4618</v>
      </c>
      <c r="U50" s="11">
        <f>V50/V51</f>
        <v>0.24100937930512259</v>
      </c>
      <c r="V50" s="56">
        <v>50543</v>
      </c>
      <c r="W50" s="56">
        <v>47951</v>
      </c>
      <c r="X50" s="8">
        <v>22775</v>
      </c>
      <c r="Y50" s="8">
        <v>22</v>
      </c>
      <c r="Z50" s="11">
        <f>AA50/AC50</f>
        <v>0.16009676622884433</v>
      </c>
      <c r="AA50" s="12">
        <f>257938.4</f>
        <v>257938.4</v>
      </c>
      <c r="AB50" s="8">
        <v>142509</v>
      </c>
      <c r="AC50" s="12">
        <f>1611140.6</f>
        <v>1611140.6</v>
      </c>
      <c r="AD50" s="12">
        <f>AC50*1000/L50</f>
        <v>1459.6877754795667</v>
      </c>
    </row>
    <row r="51" spans="1:30">
      <c r="B51" s="47" t="s">
        <v>122</v>
      </c>
      <c r="C51" s="87"/>
      <c r="D51" s="13"/>
      <c r="E51" s="13"/>
      <c r="F51" s="14">
        <f>I50/L50/1.95</f>
        <v>0.19519346545132113</v>
      </c>
      <c r="G51" s="14">
        <f>J50/L50/0.35</f>
        <v>0.68441565618933475</v>
      </c>
      <c r="H51" s="14">
        <f>K50/L50/0.075</f>
        <v>0.11113557301712848</v>
      </c>
      <c r="I51" s="15"/>
      <c r="J51" s="15"/>
      <c r="K51" s="15"/>
      <c r="L51" s="15"/>
      <c r="M51" s="15"/>
      <c r="N51" s="13"/>
      <c r="O51" s="14">
        <f>O50/L50</f>
        <v>0.23647868144890588</v>
      </c>
      <c r="P51" s="14">
        <f>P50/M50</f>
        <v>0.17779557206259425</v>
      </c>
      <c r="Q51" s="13"/>
      <c r="R51" s="13"/>
      <c r="S51" s="14">
        <f>S50/R50</f>
        <v>4.0543019629425796E-2</v>
      </c>
      <c r="T51" s="16"/>
      <c r="U51" s="16"/>
      <c r="V51" s="13">
        <f>0.19*L50</f>
        <v>209713.83000000002</v>
      </c>
      <c r="W51" s="13"/>
      <c r="X51" s="13"/>
      <c r="Y51" s="13">
        <v>4596</v>
      </c>
      <c r="Z51" s="17"/>
      <c r="AA51" s="18"/>
      <c r="AB51" s="13"/>
      <c r="AC51" s="18"/>
      <c r="AD51" s="18"/>
    </row>
    <row r="52" spans="1:30">
      <c r="B52" s="47" t="s">
        <v>122</v>
      </c>
      <c r="C52" s="86" t="s">
        <v>24</v>
      </c>
      <c r="D52" s="8">
        <v>1865</v>
      </c>
      <c r="E52" s="8">
        <v>6</v>
      </c>
      <c r="F52" s="8">
        <v>1033</v>
      </c>
      <c r="G52" s="8">
        <v>419</v>
      </c>
      <c r="H52" s="8">
        <v>32</v>
      </c>
      <c r="I52" s="9">
        <f t="shared" si="1"/>
        <v>557820</v>
      </c>
      <c r="J52" s="9">
        <f>G52*400</f>
        <v>167600</v>
      </c>
      <c r="K52" s="9">
        <f>H52*200</f>
        <v>6400</v>
      </c>
      <c r="L52" s="57">
        <v>901322</v>
      </c>
      <c r="M52" s="57">
        <v>472940</v>
      </c>
      <c r="N52" s="8">
        <v>2327</v>
      </c>
      <c r="O52" s="56">
        <v>217384</v>
      </c>
      <c r="P52" s="56">
        <v>84432</v>
      </c>
      <c r="Q52" s="8">
        <f>1272+2558+9463</f>
        <v>13293</v>
      </c>
      <c r="R52" s="8">
        <v>5156</v>
      </c>
      <c r="S52" s="8">
        <v>3242</v>
      </c>
      <c r="T52" s="10">
        <f>Y52+Y53</f>
        <v>7581</v>
      </c>
      <c r="U52" s="11">
        <f>V52/V53</f>
        <v>0.26616458934764714</v>
      </c>
      <c r="V52" s="56">
        <v>45581</v>
      </c>
      <c r="W52" s="56">
        <v>32665</v>
      </c>
      <c r="X52" s="8">
        <v>26979</v>
      </c>
      <c r="Y52" s="8">
        <v>30</v>
      </c>
      <c r="Z52" s="11">
        <f>AA52/AC52</f>
        <v>8.8937401054623805E-2</v>
      </c>
      <c r="AA52" s="12">
        <f>112075.8</f>
        <v>112075.8</v>
      </c>
      <c r="AB52" s="8">
        <v>133874</v>
      </c>
      <c r="AC52" s="12">
        <f>1260165</f>
        <v>1260165</v>
      </c>
      <c r="AD52" s="12">
        <f>AC52*1000/L52</f>
        <v>1398.1296362454261</v>
      </c>
    </row>
    <row r="53" spans="1:30">
      <c r="B53" s="47" t="s">
        <v>122</v>
      </c>
      <c r="C53" s="87"/>
      <c r="D53" s="13"/>
      <c r="E53" s="13"/>
      <c r="F53" s="14">
        <f>I52/L52/1.95</f>
        <v>0.31737995795236162</v>
      </c>
      <c r="G53" s="14">
        <f>J52/L52/0.35</f>
        <v>0.53128309622659042</v>
      </c>
      <c r="H53" s="14">
        <f>K52/L52/0.075</f>
        <v>9.4675746662495022E-2</v>
      </c>
      <c r="I53" s="15"/>
      <c r="J53" s="15"/>
      <c r="K53" s="15"/>
      <c r="L53" s="15"/>
      <c r="M53" s="15"/>
      <c r="N53" s="13"/>
      <c r="O53" s="14">
        <f>O52/L52</f>
        <v>0.24118350600562286</v>
      </c>
      <c r="P53" s="14">
        <f>P52/M52</f>
        <v>0.17852581722840108</v>
      </c>
      <c r="Q53" s="13"/>
      <c r="R53" s="13"/>
      <c r="S53" s="14">
        <f>S52/R52</f>
        <v>0.62878200155159036</v>
      </c>
      <c r="T53" s="16"/>
      <c r="U53" s="16"/>
      <c r="V53" s="13">
        <f>0.19*L52</f>
        <v>171251.18</v>
      </c>
      <c r="W53" s="13"/>
      <c r="X53" s="13"/>
      <c r="Y53" s="13">
        <v>7551</v>
      </c>
      <c r="Z53" s="17"/>
      <c r="AA53" s="18"/>
      <c r="AB53" s="13"/>
      <c r="AC53" s="18"/>
      <c r="AD53" s="18"/>
    </row>
    <row r="54" spans="1:30">
      <c r="B54" s="47" t="s">
        <v>122</v>
      </c>
      <c r="C54" s="86" t="s">
        <v>25</v>
      </c>
      <c r="D54" s="8">
        <v>2445</v>
      </c>
      <c r="E54" s="8">
        <v>26</v>
      </c>
      <c r="F54" s="8">
        <v>1083</v>
      </c>
      <c r="G54" s="8">
        <v>692</v>
      </c>
      <c r="H54" s="8">
        <v>60</v>
      </c>
      <c r="I54" s="9">
        <f t="shared" si="1"/>
        <v>584820</v>
      </c>
      <c r="J54" s="9">
        <f>G54*400</f>
        <v>276800</v>
      </c>
      <c r="K54" s="9">
        <f>H54*200</f>
        <v>12000</v>
      </c>
      <c r="L54" s="57">
        <v>1654913</v>
      </c>
      <c r="M54" s="57">
        <v>864508</v>
      </c>
      <c r="N54" s="8">
        <v>3472</v>
      </c>
      <c r="O54" s="56">
        <v>398725</v>
      </c>
      <c r="P54" s="56">
        <v>158940</v>
      </c>
      <c r="Q54" s="8">
        <f>3166+45+237+5065+55486</f>
        <v>63999</v>
      </c>
      <c r="R54" s="8">
        <v>5799</v>
      </c>
      <c r="S54" s="8">
        <v>2581</v>
      </c>
      <c r="T54" s="10">
        <f>Y54+Y55</f>
        <v>13565</v>
      </c>
      <c r="U54" s="11">
        <f>V54/V55</f>
        <v>0.19426367046739648</v>
      </c>
      <c r="V54" s="56">
        <v>61083</v>
      </c>
      <c r="W54" s="56">
        <v>121934</v>
      </c>
      <c r="X54" s="8">
        <v>38309</v>
      </c>
      <c r="Y54" s="8">
        <v>64</v>
      </c>
      <c r="Z54" s="11">
        <f>AA54/AC54</f>
        <v>0.13800423524464997</v>
      </c>
      <c r="AA54" s="12">
        <f>429955.3</f>
        <v>429955.3</v>
      </c>
      <c r="AB54" s="8">
        <v>205449</v>
      </c>
      <c r="AC54" s="12">
        <f>3115522.5</f>
        <v>3115522.5</v>
      </c>
      <c r="AD54" s="12">
        <f>AC54*1000/L54</f>
        <v>1882.5899004962798</v>
      </c>
    </row>
    <row r="55" spans="1:30">
      <c r="B55" s="47" t="s">
        <v>122</v>
      </c>
      <c r="C55" s="87"/>
      <c r="D55" s="13"/>
      <c r="E55" s="13"/>
      <c r="F55" s="14">
        <f>I54/L54/1.95</f>
        <v>0.18122263364158256</v>
      </c>
      <c r="G55" s="14">
        <f>J54/L54/0.35</f>
        <v>0.47788442223678401</v>
      </c>
      <c r="H55" s="14">
        <f>K54/L54/0.075</f>
        <v>9.668181952767306E-2</v>
      </c>
      <c r="I55" s="15"/>
      <c r="J55" s="15"/>
      <c r="K55" s="15"/>
      <c r="L55" s="15"/>
      <c r="M55" s="15"/>
      <c r="N55" s="13"/>
      <c r="O55" s="14">
        <f>O54/L54</f>
        <v>0.2409341155698215</v>
      </c>
      <c r="P55" s="14">
        <f>P54/M54</f>
        <v>0.18385023620371355</v>
      </c>
      <c r="Q55" s="13"/>
      <c r="R55" s="13"/>
      <c r="S55" s="14">
        <f>S54/R54</f>
        <v>0.44507673736851183</v>
      </c>
      <c r="T55" s="16"/>
      <c r="U55" s="16"/>
      <c r="V55" s="13">
        <f>0.19*L54</f>
        <v>314433.47000000003</v>
      </c>
      <c r="W55" s="13"/>
      <c r="X55" s="13"/>
      <c r="Y55" s="13">
        <v>13501</v>
      </c>
      <c r="Z55" s="17"/>
      <c r="AA55" s="18"/>
      <c r="AB55" s="13"/>
      <c r="AC55" s="18"/>
      <c r="AD55" s="18"/>
    </row>
    <row r="56" spans="1:30">
      <c r="B56" s="47" t="s">
        <v>122</v>
      </c>
      <c r="C56" s="86" t="s">
        <v>26</v>
      </c>
      <c r="D56" s="8">
        <v>1115</v>
      </c>
      <c r="E56" s="8">
        <v>7</v>
      </c>
      <c r="F56" s="8">
        <v>283</v>
      </c>
      <c r="G56" s="8">
        <v>371</v>
      </c>
      <c r="H56" s="8">
        <v>32</v>
      </c>
      <c r="I56" s="9">
        <f t="shared" si="1"/>
        <v>152820</v>
      </c>
      <c r="J56" s="9">
        <f>G56*400</f>
        <v>148400</v>
      </c>
      <c r="K56" s="9">
        <f>H56*200</f>
        <v>6400</v>
      </c>
      <c r="L56" s="57">
        <v>730062</v>
      </c>
      <c r="M56" s="57">
        <v>377351</v>
      </c>
      <c r="N56" s="8">
        <v>1979</v>
      </c>
      <c r="O56" s="56">
        <v>191367</v>
      </c>
      <c r="P56" s="56">
        <v>67943</v>
      </c>
      <c r="Q56" s="8">
        <f>1391+265+556+12507</f>
        <v>14719</v>
      </c>
      <c r="R56" s="8">
        <v>2328</v>
      </c>
      <c r="S56" s="8">
        <v>1251</v>
      </c>
      <c r="T56" s="10">
        <f>Y56+Y57</f>
        <v>5532</v>
      </c>
      <c r="U56" s="11">
        <f>V56/V57</f>
        <v>0.1900343287354542</v>
      </c>
      <c r="V56" s="56">
        <v>26360</v>
      </c>
      <c r="W56" s="56">
        <v>28847</v>
      </c>
      <c r="X56" s="8">
        <v>32900</v>
      </c>
      <c r="Y56" s="8">
        <v>22</v>
      </c>
      <c r="Z56" s="11">
        <f>AA56/AC56</f>
        <v>5.2782689581907176E-2</v>
      </c>
      <c r="AA56" s="12">
        <f>130045.6</f>
        <v>130045.6</v>
      </c>
      <c r="AB56" s="8">
        <v>82191</v>
      </c>
      <c r="AC56" s="12">
        <f>2463792.6</f>
        <v>2463792.6</v>
      </c>
      <c r="AD56" s="12">
        <f>AC56*1000/L56</f>
        <v>3374.7717317159363</v>
      </c>
    </row>
    <row r="57" spans="1:30">
      <c r="B57" s="47" t="s">
        <v>122</v>
      </c>
      <c r="C57" s="87"/>
      <c r="D57" s="13"/>
      <c r="E57" s="13"/>
      <c r="F57" s="14">
        <f>I56/L56/1.95</f>
        <v>0.1073459935857924</v>
      </c>
      <c r="G57" s="14">
        <f>J56/L56/0.35</f>
        <v>0.58077259191685093</v>
      </c>
      <c r="H57" s="14">
        <f>K56/L56/0.075</f>
        <v>0.11688504994552976</v>
      </c>
      <c r="I57" s="15"/>
      <c r="J57" s="15"/>
      <c r="K57" s="15"/>
      <c r="L57" s="15"/>
      <c r="M57" s="15"/>
      <c r="N57" s="13"/>
      <c r="O57" s="14">
        <f>O56/L56</f>
        <v>0.26212431272960379</v>
      </c>
      <c r="P57" s="14">
        <f>P56/M56</f>
        <v>0.18005252404260225</v>
      </c>
      <c r="Q57" s="13"/>
      <c r="R57" s="13"/>
      <c r="S57" s="14">
        <f>S56/R56</f>
        <v>0.53737113402061853</v>
      </c>
      <c r="T57" s="16"/>
      <c r="U57" s="16"/>
      <c r="V57" s="13">
        <f>0.19*L56</f>
        <v>138711.78</v>
      </c>
      <c r="W57" s="13"/>
      <c r="X57" s="13"/>
      <c r="Y57" s="13">
        <v>5510</v>
      </c>
      <c r="Z57" s="17"/>
      <c r="AA57" s="18"/>
      <c r="AB57" s="13"/>
      <c r="AC57" s="18"/>
      <c r="AD57" s="18"/>
    </row>
    <row r="58" spans="1:30">
      <c r="B58" s="47" t="s">
        <v>122</v>
      </c>
      <c r="C58" s="86" t="s">
        <v>27</v>
      </c>
      <c r="D58" s="8">
        <v>1555</v>
      </c>
      <c r="E58" s="8">
        <v>4</v>
      </c>
      <c r="F58" s="8">
        <v>757</v>
      </c>
      <c r="G58" s="8">
        <v>295</v>
      </c>
      <c r="H58" s="8">
        <v>31</v>
      </c>
      <c r="I58" s="9">
        <f t="shared" si="1"/>
        <v>408780</v>
      </c>
      <c r="J58" s="9">
        <f>G58*400</f>
        <v>118000</v>
      </c>
      <c r="K58" s="9">
        <f>H58*200</f>
        <v>6200</v>
      </c>
      <c r="L58" s="57">
        <v>575315</v>
      </c>
      <c r="M58" s="57">
        <v>311678</v>
      </c>
      <c r="N58" s="8">
        <v>1276</v>
      </c>
      <c r="O58" s="56">
        <v>161281</v>
      </c>
      <c r="P58" s="56">
        <v>60233</v>
      </c>
      <c r="Q58" s="8">
        <f>8257+436+2640+743+7778</f>
        <v>19854</v>
      </c>
      <c r="R58" s="8">
        <v>4280</v>
      </c>
      <c r="S58" s="8">
        <v>2352</v>
      </c>
      <c r="T58" s="10">
        <f>Y58+Y59</f>
        <v>7795</v>
      </c>
      <c r="U58" s="11">
        <f>V58/V59</f>
        <v>0.33136995430878369</v>
      </c>
      <c r="V58" s="56">
        <v>36222</v>
      </c>
      <c r="W58" s="56">
        <v>29641</v>
      </c>
      <c r="X58" s="8">
        <v>10742</v>
      </c>
      <c r="Y58" s="8">
        <v>9</v>
      </c>
      <c r="Z58" s="11">
        <f>AA58/AC58</f>
        <v>0.16546946790643965</v>
      </c>
      <c r="AA58" s="12">
        <f>133777.2</f>
        <v>133777.20000000001</v>
      </c>
      <c r="AB58" s="8">
        <v>99103</v>
      </c>
      <c r="AC58" s="12">
        <f>808470.6</f>
        <v>808470.6</v>
      </c>
      <c r="AD58" s="12">
        <f>AC58*1000/L58</f>
        <v>1405.2659847214136</v>
      </c>
    </row>
    <row r="59" spans="1:30">
      <c r="B59" s="47" t="s">
        <v>122</v>
      </c>
      <c r="C59" s="87"/>
      <c r="D59" s="13"/>
      <c r="E59" s="13"/>
      <c r="F59" s="14">
        <f>I58/L58/1.95</f>
        <v>0.3643756363570726</v>
      </c>
      <c r="G59" s="14">
        <f>J58/L58/0.35</f>
        <v>0.586014369767618</v>
      </c>
      <c r="H59" s="14">
        <f>K58/L58/0.075</f>
        <v>0.14368939914076059</v>
      </c>
      <c r="I59" s="15"/>
      <c r="J59" s="15"/>
      <c r="K59" s="15"/>
      <c r="L59" s="15"/>
      <c r="M59" s="15"/>
      <c r="N59" s="13"/>
      <c r="O59" s="14">
        <f>O58/L58</f>
        <v>0.2803351207599315</v>
      </c>
      <c r="P59" s="14">
        <f>P58/M58</f>
        <v>0.19325393515102124</v>
      </c>
      <c r="Q59" s="13"/>
      <c r="R59" s="13"/>
      <c r="S59" s="14">
        <f>S58/R58</f>
        <v>0.54953271028037387</v>
      </c>
      <c r="T59" s="16"/>
      <c r="U59" s="16"/>
      <c r="V59" s="13">
        <f>0.19*L58</f>
        <v>109309.85</v>
      </c>
      <c r="W59" s="13"/>
      <c r="X59" s="13"/>
      <c r="Y59" s="13">
        <v>7786</v>
      </c>
      <c r="Z59" s="17"/>
      <c r="AA59" s="18"/>
      <c r="AB59" s="13"/>
      <c r="AC59" s="18"/>
      <c r="AD59" s="18"/>
    </row>
    <row r="60" spans="1:30">
      <c r="B60" s="47" t="s">
        <v>122</v>
      </c>
      <c r="C60" s="86" t="s">
        <v>28</v>
      </c>
      <c r="D60" s="8">
        <v>1218</v>
      </c>
      <c r="E60" s="8">
        <v>11</v>
      </c>
      <c r="F60" s="8">
        <v>583</v>
      </c>
      <c r="G60" s="8">
        <v>340</v>
      </c>
      <c r="H60" s="8">
        <v>13</v>
      </c>
      <c r="I60" s="9">
        <f t="shared" si="1"/>
        <v>314820</v>
      </c>
      <c r="J60" s="9">
        <f>G60*400</f>
        <v>136000</v>
      </c>
      <c r="K60" s="9">
        <f>H60*200</f>
        <v>2600</v>
      </c>
      <c r="L60" s="57">
        <v>607402</v>
      </c>
      <c r="M60" s="57">
        <v>322081</v>
      </c>
      <c r="N60" s="8">
        <v>1177</v>
      </c>
      <c r="O60" s="56">
        <v>120629</v>
      </c>
      <c r="P60" s="56">
        <v>47240</v>
      </c>
      <c r="Q60" s="8">
        <f>312+502+573+4883</f>
        <v>6270</v>
      </c>
      <c r="R60" s="8">
        <v>5683</v>
      </c>
      <c r="S60" s="8">
        <v>3444</v>
      </c>
      <c r="T60" s="10">
        <f>Y60+Y61</f>
        <v>5358</v>
      </c>
      <c r="U60" s="11">
        <f>V60/V61</f>
        <v>0.45382239699399635</v>
      </c>
      <c r="V60" s="56">
        <v>52374</v>
      </c>
      <c r="W60" s="56">
        <v>28548</v>
      </c>
      <c r="X60" s="8">
        <v>19788</v>
      </c>
      <c r="Y60" s="8">
        <v>22</v>
      </c>
      <c r="Z60" s="11">
        <f>AA60/AC60</f>
        <v>1.8038604150060797E-2</v>
      </c>
      <c r="AA60" s="12">
        <f>38936.3</f>
        <v>38936.300000000003</v>
      </c>
      <c r="AB60" s="8">
        <v>105173</v>
      </c>
      <c r="AC60" s="12">
        <f>2158498.5</f>
        <v>2158498.5</v>
      </c>
      <c r="AD60" s="12">
        <f>AC60*1000/L60</f>
        <v>3553.6572154849673</v>
      </c>
    </row>
    <row r="61" spans="1:30">
      <c r="B61" s="47" t="s">
        <v>122</v>
      </c>
      <c r="C61" s="87"/>
      <c r="D61" s="13"/>
      <c r="E61" s="13"/>
      <c r="F61" s="14">
        <f>I60/L60/1.95</f>
        <v>0.26579786343501316</v>
      </c>
      <c r="G61" s="14">
        <f>J60/L60/0.35</f>
        <v>0.63972694948556075</v>
      </c>
      <c r="H61" s="14">
        <f>K60/L60/0.075</f>
        <v>5.7073678826652964E-2</v>
      </c>
      <c r="I61" s="15"/>
      <c r="J61" s="15"/>
      <c r="K61" s="15"/>
      <c r="L61" s="15"/>
      <c r="M61" s="15"/>
      <c r="N61" s="13"/>
      <c r="O61" s="14">
        <f>O60/L60</f>
        <v>0.19859829239943233</v>
      </c>
      <c r="P61" s="14">
        <f>P60/M60</f>
        <v>0.14667117898913629</v>
      </c>
      <c r="Q61" s="13"/>
      <c r="R61" s="13"/>
      <c r="S61" s="14">
        <f>S60/R60</f>
        <v>0.60601794826676048</v>
      </c>
      <c r="T61" s="16"/>
      <c r="U61" s="16"/>
      <c r="V61" s="13">
        <f>0.19*L60</f>
        <v>115406.38</v>
      </c>
      <c r="W61" s="13"/>
      <c r="X61" s="13"/>
      <c r="Y61" s="13">
        <v>5336</v>
      </c>
      <c r="Z61" s="17"/>
      <c r="AA61" s="18"/>
      <c r="AB61" s="13"/>
      <c r="AC61" s="18"/>
      <c r="AD61" s="18"/>
    </row>
    <row r="62" spans="1:30">
      <c r="B62" s="47" t="s">
        <v>122</v>
      </c>
      <c r="C62" s="86" t="s">
        <v>29</v>
      </c>
      <c r="D62" s="8">
        <v>6552</v>
      </c>
      <c r="E62" s="8">
        <v>7</v>
      </c>
      <c r="F62" s="8">
        <v>2418</v>
      </c>
      <c r="G62" s="8">
        <v>1717</v>
      </c>
      <c r="H62" s="8">
        <v>256</v>
      </c>
      <c r="I62" s="9">
        <f>F62*540</f>
        <v>1305720</v>
      </c>
      <c r="J62" s="9">
        <f>G62*400</f>
        <v>686800</v>
      </c>
      <c r="K62" s="9">
        <f>H62*200</f>
        <v>51200</v>
      </c>
      <c r="L62" s="57">
        <v>4755357</v>
      </c>
      <c r="M62" s="57">
        <v>2567186</v>
      </c>
      <c r="N62" s="8">
        <v>15675</v>
      </c>
      <c r="O62" s="56">
        <v>1334116</v>
      </c>
      <c r="P62" s="56">
        <v>564908</v>
      </c>
      <c r="Q62" s="8">
        <f>61504+68+12017+2237+120427</f>
        <v>196253</v>
      </c>
      <c r="R62" s="8">
        <v>36945</v>
      </c>
      <c r="S62" s="8">
        <v>24591</v>
      </c>
      <c r="T62" s="10">
        <f>Y62+Y63</f>
        <v>27291</v>
      </c>
      <c r="U62" s="11">
        <f>V62/V63</f>
        <v>0.18251106345073456</v>
      </c>
      <c r="V62" s="56">
        <v>164902</v>
      </c>
      <c r="W62" s="56">
        <v>106904</v>
      </c>
      <c r="X62" s="8">
        <v>104188</v>
      </c>
      <c r="Y62" s="8">
        <v>292</v>
      </c>
      <c r="Z62" s="11">
        <f>AA62/AC62</f>
        <v>0.13227383692403455</v>
      </c>
      <c r="AA62" s="12">
        <f>1650415.2</f>
        <v>1650415.2</v>
      </c>
      <c r="AB62" s="8">
        <v>557843</v>
      </c>
      <c r="AC62" s="12">
        <f>12477261.1</f>
        <v>12477261.1</v>
      </c>
      <c r="AD62" s="12">
        <f>AC62*1000/L62</f>
        <v>2623.8326796494985</v>
      </c>
    </row>
    <row r="63" spans="1:30">
      <c r="B63" s="47" t="s">
        <v>122</v>
      </c>
      <c r="C63" s="87"/>
      <c r="D63" s="13"/>
      <c r="E63" s="13"/>
      <c r="F63" s="14">
        <f>I62/L62/1.95</f>
        <v>0.14080961744827991</v>
      </c>
      <c r="G63" s="14">
        <f>J62/L62/0.35</f>
        <v>0.41264740255793925</v>
      </c>
      <c r="H63" s="14">
        <f>K62/L62/0.075</f>
        <v>0.14355739572584492</v>
      </c>
      <c r="I63" s="15"/>
      <c r="J63" s="15"/>
      <c r="K63" s="15"/>
      <c r="L63" s="15"/>
      <c r="M63" s="15"/>
      <c r="N63" s="13"/>
      <c r="O63" s="14">
        <f>O62/L62</f>
        <v>0.28055012483815622</v>
      </c>
      <c r="P63" s="14">
        <f>P62/M62</f>
        <v>0.22004950167225903</v>
      </c>
      <c r="Q63" s="13"/>
      <c r="R63" s="13"/>
      <c r="S63" s="14">
        <f>S62/R62</f>
        <v>0.66561104344295574</v>
      </c>
      <c r="T63" s="16"/>
      <c r="U63" s="16"/>
      <c r="V63" s="13">
        <f>0.19*L62</f>
        <v>903517.83</v>
      </c>
      <c r="W63" s="13"/>
      <c r="X63" s="13"/>
      <c r="Y63" s="13">
        <v>26999</v>
      </c>
      <c r="Z63" s="17"/>
      <c r="AA63" s="18"/>
      <c r="AB63" s="13"/>
      <c r="AC63" s="18"/>
      <c r="AD63" s="18"/>
    </row>
    <row r="64" spans="1:30" s="20" customFormat="1">
      <c r="A64" s="49" t="s">
        <v>129</v>
      </c>
      <c r="B64" s="50" t="s">
        <v>122</v>
      </c>
      <c r="C64" s="88" t="s">
        <v>30</v>
      </c>
      <c r="D64" s="24">
        <f t="shared" ref="D64:T64" si="2">SUM(D62,D60,D58,D56,D54,D52,D50,D48,D46,D44,D42)</f>
        <v>22519</v>
      </c>
      <c r="E64" s="24">
        <f t="shared" si="2"/>
        <v>98</v>
      </c>
      <c r="F64" s="24">
        <f t="shared" si="2"/>
        <v>9149</v>
      </c>
      <c r="G64" s="24">
        <f t="shared" si="2"/>
        <v>6189</v>
      </c>
      <c r="H64" s="24">
        <f t="shared" si="2"/>
        <v>586</v>
      </c>
      <c r="I64" s="19">
        <f t="shared" si="2"/>
        <v>4940460</v>
      </c>
      <c r="J64" s="19">
        <f t="shared" si="2"/>
        <v>2475600</v>
      </c>
      <c r="K64" s="19">
        <f t="shared" si="2"/>
        <v>117200</v>
      </c>
      <c r="L64" s="19">
        <f t="shared" si="2"/>
        <v>12851397</v>
      </c>
      <c r="M64" s="19">
        <f t="shared" si="2"/>
        <v>6835411</v>
      </c>
      <c r="N64" s="24">
        <f t="shared" si="2"/>
        <v>35123</v>
      </c>
      <c r="O64" s="24">
        <f t="shared" si="2"/>
        <v>3403674</v>
      </c>
      <c r="P64" s="24">
        <f t="shared" si="2"/>
        <v>1357504</v>
      </c>
      <c r="Q64" s="24">
        <f t="shared" si="2"/>
        <v>431664</v>
      </c>
      <c r="R64" s="24">
        <f t="shared" si="2"/>
        <v>82109</v>
      </c>
      <c r="S64" s="24">
        <f t="shared" si="2"/>
        <v>47192</v>
      </c>
      <c r="T64" s="24">
        <f t="shared" si="2"/>
        <v>98980</v>
      </c>
      <c r="U64" s="21">
        <f>V64/V65</f>
        <v>0.24048419753407674</v>
      </c>
      <c r="V64" s="24">
        <f>SUM(V62,V60,V58,V56,V54,V52,V50,V48,V46,V44,V42)</f>
        <v>587206</v>
      </c>
      <c r="W64" s="24">
        <f>SUM(W62,W60,W58,W56,W54,W52,W50,W48,W46,W44,W42)</f>
        <v>540043</v>
      </c>
      <c r="X64" s="24">
        <f>SUM(X62,X60,X58,X56,X54,X52,X50,X48,X46,X44,X42)</f>
        <v>349356</v>
      </c>
      <c r="Y64" s="24">
        <f>SUM(Y62,Y60,Y58,Y56,Y54,Y52,Y50,Y48,Y46,Y44,Y42)</f>
        <v>582</v>
      </c>
      <c r="Z64" s="21">
        <f>AA64/AC64</f>
        <v>0.13006561965878577</v>
      </c>
      <c r="AA64" s="22">
        <f>SUM(AA62,AA60,AA58,AA56,AA54,AA52,AA50,AA48,AA46,AA44,AA42)</f>
        <v>3859676.6999999997</v>
      </c>
      <c r="AB64" s="24">
        <f>SUM(AB62,AB60,AB58,AB56,AB54,AB52,AB50,AB48,AB46,AB44,AB42)</f>
        <v>1736622</v>
      </c>
      <c r="AC64" s="22">
        <f>SUM(AC62,AC60,AC58,AC56,AC54,AC52,AC50,AC48,AC46,AC44,AC42)</f>
        <v>29674841.900000002</v>
      </c>
      <c r="AD64" s="22">
        <f>AC64*1000/L64</f>
        <v>2309.0751845888822</v>
      </c>
    </row>
    <row r="65" spans="1:30" s="20" customFormat="1">
      <c r="A65" s="49" t="s">
        <v>129</v>
      </c>
      <c r="B65" s="50" t="s">
        <v>122</v>
      </c>
      <c r="C65" s="89"/>
      <c r="D65" s="26"/>
      <c r="E65" s="26"/>
      <c r="F65" s="23">
        <f>I64/L64/1.95</f>
        <v>0.19714348804018977</v>
      </c>
      <c r="G65" s="23">
        <f>J64/L64/0.35</f>
        <v>0.55037929784153872</v>
      </c>
      <c r="H65" s="23">
        <f>K64/L64/0.075</f>
        <v>0.12159508158270006</v>
      </c>
      <c r="I65" s="19"/>
      <c r="J65" s="19"/>
      <c r="K65" s="19"/>
      <c r="L65" s="19"/>
      <c r="M65" s="19"/>
      <c r="N65" s="26"/>
      <c r="O65" s="23">
        <f>O64/L64</f>
        <v>0.26484856082183128</v>
      </c>
      <c r="P65" s="23">
        <f>P64/M64</f>
        <v>0.19859873824704907</v>
      </c>
      <c r="Q65" s="26"/>
      <c r="R65" s="26"/>
      <c r="S65" s="23">
        <f>S64/R64</f>
        <v>0.57474820056266673</v>
      </c>
      <c r="T65" s="28"/>
      <c r="U65" s="28"/>
      <c r="V65" s="26">
        <f>SUM(V63,V61,V59,V57,V55,V53,V51,V49,V47,V45,V43)</f>
        <v>2441765.4300000006</v>
      </c>
      <c r="W65" s="26"/>
      <c r="X65" s="26"/>
      <c r="Y65" s="26">
        <f>SUM(Y63,Y61,Y59,Y57,Y55,Y53,Y51,Y49,Y47,Y45,Y43)</f>
        <v>98398</v>
      </c>
      <c r="Z65" s="29"/>
      <c r="AA65" s="30"/>
      <c r="AB65" s="26"/>
      <c r="AC65" s="30"/>
      <c r="AD65" s="30"/>
    </row>
    <row r="66" spans="1:30">
      <c r="B66" s="47" t="s">
        <v>123</v>
      </c>
      <c r="C66" s="86" t="s">
        <v>31</v>
      </c>
      <c r="D66" s="8">
        <v>832</v>
      </c>
      <c r="E66" s="8">
        <v>3</v>
      </c>
      <c r="F66" s="8">
        <v>581</v>
      </c>
      <c r="G66" s="8">
        <v>179</v>
      </c>
      <c r="H66" s="8">
        <v>10</v>
      </c>
      <c r="I66" s="9">
        <f>F66*540</f>
        <v>313740</v>
      </c>
      <c r="J66" s="9">
        <f>G66*400</f>
        <v>71600</v>
      </c>
      <c r="K66" s="9">
        <f>H66*200</f>
        <v>2000</v>
      </c>
      <c r="L66" s="9">
        <v>415938</v>
      </c>
      <c r="M66" s="57">
        <v>220445</v>
      </c>
      <c r="N66" s="8">
        <v>1124</v>
      </c>
      <c r="O66" s="56">
        <v>145525</v>
      </c>
      <c r="P66" s="56">
        <v>44191</v>
      </c>
      <c r="Q66" s="8">
        <f>455</f>
        <v>455</v>
      </c>
      <c r="R66" s="8">
        <v>2887</v>
      </c>
      <c r="S66" s="8">
        <v>0</v>
      </c>
      <c r="T66" s="10">
        <f>Y66+Y67</f>
        <v>2794</v>
      </c>
      <c r="U66" s="11">
        <f>V66/V67</f>
        <v>0.35869465363132308</v>
      </c>
      <c r="V66" s="56">
        <v>28347</v>
      </c>
      <c r="W66" s="8">
        <v>72494</v>
      </c>
      <c r="X66" s="8">
        <v>14528</v>
      </c>
      <c r="Y66" s="8">
        <v>18</v>
      </c>
      <c r="Z66" s="11">
        <f>AA66/AC66</f>
        <v>2.8248463392818227E-2</v>
      </c>
      <c r="AA66" s="12">
        <f>15165.6</f>
        <v>15165.6</v>
      </c>
      <c r="AB66" s="8">
        <v>127888</v>
      </c>
      <c r="AC66" s="12">
        <f>536864.6</f>
        <v>536864.6</v>
      </c>
      <c r="AD66" s="12">
        <f>AC66*1000/L66</f>
        <v>1290.7322725983199</v>
      </c>
    </row>
    <row r="67" spans="1:30">
      <c r="B67" s="47" t="s">
        <v>123</v>
      </c>
      <c r="C67" s="87"/>
      <c r="D67" s="13"/>
      <c r="E67" s="13"/>
      <c r="F67" s="14">
        <f>I66/L66/1.95</f>
        <v>0.38681800579006415</v>
      </c>
      <c r="G67" s="14">
        <f>J66/L66/0.35</f>
        <v>0.49183154357483228</v>
      </c>
      <c r="H67" s="14">
        <f>K66/L66/0.075</f>
        <v>6.4112119274186696E-2</v>
      </c>
      <c r="I67" s="15"/>
      <c r="J67" s="15"/>
      <c r="K67" s="15"/>
      <c r="L67" s="15"/>
      <c r="M67" s="15"/>
      <c r="N67" s="13"/>
      <c r="O67" s="14">
        <f>O66/L66</f>
        <v>0.34987185590160069</v>
      </c>
      <c r="P67" s="14">
        <f>P66/M66</f>
        <v>0.20046270044682346</v>
      </c>
      <c r="Q67" s="13"/>
      <c r="R67" s="13"/>
      <c r="S67" s="14">
        <f>S66/R66</f>
        <v>0</v>
      </c>
      <c r="T67" s="16"/>
      <c r="U67" s="16"/>
      <c r="V67" s="13">
        <f>0.19*L66</f>
        <v>79028.22</v>
      </c>
      <c r="W67" s="13"/>
      <c r="X67" s="13"/>
      <c r="Y67" s="13">
        <v>2776</v>
      </c>
      <c r="Z67" s="17"/>
      <c r="AA67" s="18"/>
      <c r="AB67" s="13"/>
      <c r="AC67" s="18"/>
      <c r="AD67" s="18"/>
    </row>
    <row r="68" spans="1:30">
      <c r="B68" s="47" t="s">
        <v>123</v>
      </c>
      <c r="C68" s="86" t="s">
        <v>32</v>
      </c>
      <c r="D68" s="8">
        <v>436</v>
      </c>
      <c r="E68" s="8">
        <v>2</v>
      </c>
      <c r="F68" s="8">
        <v>227</v>
      </c>
      <c r="G68" s="8">
        <v>184</v>
      </c>
      <c r="H68" s="8">
        <v>2</v>
      </c>
      <c r="I68" s="9">
        <f>F68*540</f>
        <v>122580</v>
      </c>
      <c r="J68" s="9">
        <f>G68*400</f>
        <v>73600</v>
      </c>
      <c r="K68" s="9">
        <f>H68*200</f>
        <v>400</v>
      </c>
      <c r="L68" s="9">
        <v>263819</v>
      </c>
      <c r="M68" s="57">
        <v>136573</v>
      </c>
      <c r="N68" s="8">
        <v>562</v>
      </c>
      <c r="O68" s="56">
        <v>65945</v>
      </c>
      <c r="P68" s="56">
        <v>22027</v>
      </c>
      <c r="Q68" s="8">
        <f>408+43+3439</f>
        <v>3890</v>
      </c>
      <c r="R68" s="8">
        <v>1790</v>
      </c>
      <c r="S68" s="8">
        <v>593</v>
      </c>
      <c r="T68" s="10">
        <f>Y68+Y69</f>
        <v>808</v>
      </c>
      <c r="U68" s="11">
        <f>V68/V69</f>
        <v>0.23249592374037942</v>
      </c>
      <c r="V68" s="56">
        <v>11654</v>
      </c>
      <c r="W68" s="56">
        <v>6375</v>
      </c>
      <c r="X68" s="8">
        <v>4703</v>
      </c>
      <c r="Y68" s="8">
        <v>5</v>
      </c>
      <c r="Z68" s="11">
        <f>AA68/AC68</f>
        <v>1.6935699497024566E-2</v>
      </c>
      <c r="AA68" s="12">
        <f>2419.6</f>
        <v>2419.6</v>
      </c>
      <c r="AB68" s="8">
        <v>20844</v>
      </c>
      <c r="AC68" s="12">
        <f>142869.8</f>
        <v>142869.79999999999</v>
      </c>
      <c r="AD68" s="12">
        <f>AC68*1000/L68</f>
        <v>541.54477122572678</v>
      </c>
    </row>
    <row r="69" spans="1:30">
      <c r="B69" s="47" t="s">
        <v>123</v>
      </c>
      <c r="C69" s="87"/>
      <c r="D69" s="13"/>
      <c r="E69" s="13"/>
      <c r="F69" s="14">
        <f>I68/L68/1.95</f>
        <v>0.23827525106811284</v>
      </c>
      <c r="G69" s="14">
        <f>J68/L68/0.35</f>
        <v>0.79708328166551412</v>
      </c>
      <c r="H69" s="14">
        <f>K68/L68/0.075</f>
        <v>2.0215880332096373E-2</v>
      </c>
      <c r="I69" s="15"/>
      <c r="J69" s="15"/>
      <c r="K69" s="15"/>
      <c r="L69" s="15"/>
      <c r="M69" s="15"/>
      <c r="N69" s="13"/>
      <c r="O69" s="14">
        <f>O68/L68</f>
        <v>0.24996304284376789</v>
      </c>
      <c r="P69" s="14">
        <f>P68/M68</f>
        <v>0.16128370907866124</v>
      </c>
      <c r="Q69" s="13"/>
      <c r="R69" s="13"/>
      <c r="S69" s="14">
        <f>S68/R68</f>
        <v>0.33128491620111733</v>
      </c>
      <c r="T69" s="16"/>
      <c r="U69" s="16"/>
      <c r="V69" s="13">
        <f>0.19*L68</f>
        <v>50125.61</v>
      </c>
      <c r="W69" s="13"/>
      <c r="X69" s="13"/>
      <c r="Y69" s="13">
        <v>803</v>
      </c>
      <c r="Z69" s="17"/>
      <c r="AA69" s="18"/>
      <c r="AB69" s="13"/>
      <c r="AC69" s="18"/>
      <c r="AD69" s="18"/>
    </row>
    <row r="70" spans="1:30">
      <c r="B70" s="47" t="s">
        <v>123</v>
      </c>
      <c r="C70" s="86" t="s">
        <v>33</v>
      </c>
      <c r="D70" s="8">
        <v>9105</v>
      </c>
      <c r="E70" s="8">
        <v>80</v>
      </c>
      <c r="F70" s="8">
        <v>5347</v>
      </c>
      <c r="G70" s="8">
        <v>2129</v>
      </c>
      <c r="H70" s="8">
        <v>155</v>
      </c>
      <c r="I70" s="9">
        <f>F70*540</f>
        <v>2887380</v>
      </c>
      <c r="J70" s="9">
        <f>G70*400</f>
        <v>851600</v>
      </c>
      <c r="K70" s="9">
        <f>H70*200</f>
        <v>31000</v>
      </c>
      <c r="L70" s="9">
        <v>5039147</v>
      </c>
      <c r="M70" s="9">
        <v>2680180</v>
      </c>
      <c r="N70" s="8">
        <v>14804</v>
      </c>
      <c r="O70" s="56">
        <v>2112141</v>
      </c>
      <c r="P70" s="56">
        <v>743881</v>
      </c>
      <c r="Q70" s="8">
        <f>128+1960+55413+293917</f>
        <v>351418</v>
      </c>
      <c r="R70" s="8">
        <v>22240</v>
      </c>
      <c r="S70" s="8">
        <v>14516</v>
      </c>
      <c r="T70" s="10">
        <f>Y70+Y71</f>
        <v>44281</v>
      </c>
      <c r="U70" s="11">
        <f>V70/V71</f>
        <v>0.23769687085616087</v>
      </c>
      <c r="V70" s="56">
        <v>227580</v>
      </c>
      <c r="W70" s="56">
        <v>774604</v>
      </c>
      <c r="X70" s="8">
        <v>215590</v>
      </c>
      <c r="Y70" s="8">
        <v>148</v>
      </c>
      <c r="Z70" s="11">
        <f>AA70/AC70</f>
        <v>0.25298575277881957</v>
      </c>
      <c r="AA70" s="12">
        <f>4331854.3</f>
        <v>4331854.3</v>
      </c>
      <c r="AB70" s="8"/>
      <c r="AC70" s="12">
        <f>17122918</f>
        <v>17122918</v>
      </c>
      <c r="AD70" s="12">
        <f>AC70*1000/L70</f>
        <v>3397.9794596188599</v>
      </c>
    </row>
    <row r="71" spans="1:30">
      <c r="B71" s="47" t="s">
        <v>123</v>
      </c>
      <c r="C71" s="87"/>
      <c r="D71" s="13"/>
      <c r="E71" s="13"/>
      <c r="F71" s="14">
        <f>I70/L70/1.95</f>
        <v>0.2938409402043029</v>
      </c>
      <c r="G71" s="14">
        <f>J70/L70/0.35</f>
        <v>0.48284816004432046</v>
      </c>
      <c r="H71" s="14">
        <f>K70/L70/0.075</f>
        <v>8.2024464325675228E-2</v>
      </c>
      <c r="I71" s="15"/>
      <c r="J71" s="15"/>
      <c r="K71" s="15"/>
      <c r="L71" s="15"/>
      <c r="M71" s="15"/>
      <c r="N71" s="13"/>
      <c r="O71" s="14">
        <f>O70/L70</f>
        <v>0.41914653412571612</v>
      </c>
      <c r="P71" s="14">
        <f>P70/M70</f>
        <v>0.27754889596967369</v>
      </c>
      <c r="Q71" s="13"/>
      <c r="R71" s="13"/>
      <c r="S71" s="14">
        <f>S70/R70</f>
        <v>0.65269784172661871</v>
      </c>
      <c r="T71" s="16"/>
      <c r="U71" s="16"/>
      <c r="V71" s="13">
        <f>0.19*L70</f>
        <v>957437.93</v>
      </c>
      <c r="W71" s="13"/>
      <c r="X71" s="13"/>
      <c r="Y71" s="13">
        <v>44133</v>
      </c>
      <c r="Z71" s="17"/>
      <c r="AA71" s="18"/>
      <c r="AB71" s="13"/>
      <c r="AC71" s="18"/>
      <c r="AD71" s="18"/>
    </row>
    <row r="72" spans="1:30">
      <c r="B72" s="47" t="s">
        <v>123</v>
      </c>
      <c r="C72" s="86" t="s">
        <v>34</v>
      </c>
      <c r="D72" s="8">
        <v>1538</v>
      </c>
      <c r="E72" s="8">
        <v>8</v>
      </c>
      <c r="F72" s="8">
        <v>905</v>
      </c>
      <c r="G72" s="8">
        <v>474</v>
      </c>
      <c r="H72" s="8">
        <v>17</v>
      </c>
      <c r="I72" s="9">
        <f>F72*540</f>
        <v>488700</v>
      </c>
      <c r="J72" s="9">
        <f>G72*400</f>
        <v>189600</v>
      </c>
      <c r="K72" s="9">
        <f>H72*200</f>
        <v>3400</v>
      </c>
      <c r="L72" s="57">
        <v>942484</v>
      </c>
      <c r="M72" s="57">
        <v>494507</v>
      </c>
      <c r="N72" s="8">
        <v>1665</v>
      </c>
      <c r="O72" s="56">
        <v>323185</v>
      </c>
      <c r="P72" s="56">
        <v>93638</v>
      </c>
      <c r="Q72" s="8">
        <f>355+918+679+3725+8174</f>
        <v>13851</v>
      </c>
      <c r="R72" s="8">
        <v>1091</v>
      </c>
      <c r="S72" s="8">
        <v>535</v>
      </c>
      <c r="T72" s="10">
        <f>Y72+Y73</f>
        <v>3577</v>
      </c>
      <c r="U72" s="11">
        <f>V72/V73</f>
        <v>0.22728293139808153</v>
      </c>
      <c r="V72" s="56">
        <v>40700</v>
      </c>
      <c r="W72" s="56">
        <v>36384</v>
      </c>
      <c r="X72" s="8">
        <v>34521</v>
      </c>
      <c r="Y72" s="8">
        <v>21</v>
      </c>
      <c r="Z72" s="11">
        <f>AA72/AC72</f>
        <v>6.2366496246003093E-3</v>
      </c>
      <c r="AA72" s="12">
        <f>2472.4</f>
        <v>2472.4</v>
      </c>
      <c r="AB72" s="8">
        <v>72909</v>
      </c>
      <c r="AC72" s="12">
        <f>396430.8</f>
        <v>396430.8</v>
      </c>
      <c r="AD72" s="12">
        <f>AC72*1000/L72</f>
        <v>420.62337397770148</v>
      </c>
    </row>
    <row r="73" spans="1:30">
      <c r="B73" s="47" t="s">
        <v>123</v>
      </c>
      <c r="C73" s="87"/>
      <c r="D73" s="13"/>
      <c r="E73" s="13"/>
      <c r="F73" s="14">
        <f>I72/L72/1.95</f>
        <v>0.26590943147616791</v>
      </c>
      <c r="G73" s="14">
        <f>J72/L72/0.35</f>
        <v>0.57477292528497648</v>
      </c>
      <c r="H73" s="14">
        <f>K72/L72/0.075</f>
        <v>4.8099843958447394E-2</v>
      </c>
      <c r="I73" s="15"/>
      <c r="J73" s="15"/>
      <c r="K73" s="15"/>
      <c r="L73" s="15"/>
      <c r="M73" s="15"/>
      <c r="N73" s="13"/>
      <c r="O73" s="14">
        <f>O72/L72</f>
        <v>0.34290767800832694</v>
      </c>
      <c r="P73" s="14">
        <f>P72/M72</f>
        <v>0.18935626795980642</v>
      </c>
      <c r="Q73" s="13"/>
      <c r="R73" s="13"/>
      <c r="S73" s="14">
        <f>S72/R72</f>
        <v>0.49037580201649861</v>
      </c>
      <c r="T73" s="16"/>
      <c r="U73" s="16"/>
      <c r="V73" s="13">
        <f>0.19*L72</f>
        <v>179071.96</v>
      </c>
      <c r="W73" s="13"/>
      <c r="X73" s="13"/>
      <c r="Y73" s="13">
        <v>3556</v>
      </c>
      <c r="Z73" s="17"/>
      <c r="AA73" s="18"/>
      <c r="AB73" s="13"/>
      <c r="AC73" s="18"/>
      <c r="AD73" s="18"/>
    </row>
    <row r="74" spans="1:30" s="54" customFormat="1">
      <c r="A74" s="47"/>
      <c r="B74" s="47" t="s">
        <v>123</v>
      </c>
      <c r="C74" s="98" t="s">
        <v>35</v>
      </c>
      <c r="D74" s="8">
        <v>4522</v>
      </c>
      <c r="E74" s="8">
        <v>104</v>
      </c>
      <c r="F74" s="8">
        <v>2487</v>
      </c>
      <c r="G74" s="8">
        <v>1186</v>
      </c>
      <c r="H74" s="8">
        <v>50</v>
      </c>
      <c r="I74" s="9">
        <f>F74*540</f>
        <v>1342980</v>
      </c>
      <c r="J74" s="9">
        <f>G74*400</f>
        <v>474400</v>
      </c>
      <c r="K74" s="9">
        <f>H74*200</f>
        <v>10000</v>
      </c>
      <c r="L74" s="57">
        <v>2395257</v>
      </c>
      <c r="M74" s="57">
        <v>1273372</v>
      </c>
      <c r="N74" s="8">
        <v>5246</v>
      </c>
      <c r="O74" s="56">
        <v>685072</v>
      </c>
      <c r="P74" s="56">
        <v>205460</v>
      </c>
      <c r="Q74" s="8">
        <f>5241+19811+12501+26614</f>
        <v>64167</v>
      </c>
      <c r="R74" s="8">
        <v>15543</v>
      </c>
      <c r="S74" s="8">
        <v>9103</v>
      </c>
      <c r="T74" s="10">
        <f>Y74+Y75</f>
        <v>35252</v>
      </c>
      <c r="U74" s="11">
        <f>V74/V75</f>
        <v>0.27840985660191653</v>
      </c>
      <c r="V74" s="56">
        <v>126704</v>
      </c>
      <c r="W74" s="56">
        <v>70190</v>
      </c>
      <c r="X74" s="8">
        <v>45258</v>
      </c>
      <c r="Y74" s="8">
        <v>209</v>
      </c>
      <c r="Z74" s="11">
        <f>AA74/AC74</f>
        <v>0.10036198495770635</v>
      </c>
      <c r="AA74" s="12">
        <f>314193.2</f>
        <v>314193.2</v>
      </c>
      <c r="AB74" s="8">
        <v>158402</v>
      </c>
      <c r="AC74" s="53">
        <f>3130599.7</f>
        <v>3130599.7</v>
      </c>
      <c r="AD74" s="53">
        <f>AC74*1000/L74</f>
        <v>1306.99949942741</v>
      </c>
    </row>
    <row r="75" spans="1:30" s="54" customFormat="1">
      <c r="A75" s="47"/>
      <c r="B75" s="47" t="s">
        <v>123</v>
      </c>
      <c r="C75" s="99"/>
      <c r="D75" s="13"/>
      <c r="E75" s="13"/>
      <c r="F75" s="14">
        <f>I74/L74/1.95</f>
        <v>0.28752976916785644</v>
      </c>
      <c r="G75" s="14">
        <f>J74/L74/0.35</f>
        <v>0.56588022555766304</v>
      </c>
      <c r="H75" s="14">
        <f>K74/L74/0.075</f>
        <v>5.5665564627650953E-2</v>
      </c>
      <c r="I75" s="15"/>
      <c r="J75" s="15"/>
      <c r="K75" s="15"/>
      <c r="L75" s="15"/>
      <c r="M75" s="15"/>
      <c r="N75" s="13"/>
      <c r="O75" s="14">
        <f>O74/L74</f>
        <v>0.28601189767945567</v>
      </c>
      <c r="P75" s="14">
        <f>P74/M74</f>
        <v>0.16135112127485135</v>
      </c>
      <c r="Q75" s="13"/>
      <c r="R75" s="13"/>
      <c r="S75" s="14">
        <f>S74/R74</f>
        <v>0.58566557292671939</v>
      </c>
      <c r="T75" s="16"/>
      <c r="U75" s="16"/>
      <c r="V75" s="13">
        <f>0.19*L74</f>
        <v>455098.83</v>
      </c>
      <c r="W75" s="13"/>
      <c r="X75" s="13"/>
      <c r="Y75" s="13">
        <v>35043</v>
      </c>
      <c r="Z75" s="17"/>
      <c r="AA75" s="18"/>
      <c r="AB75" s="13"/>
      <c r="AC75" s="18"/>
      <c r="AD75" s="18"/>
    </row>
    <row r="76" spans="1:30" s="54" customFormat="1">
      <c r="A76" s="47"/>
      <c r="B76" s="47" t="s">
        <v>123</v>
      </c>
      <c r="C76" s="98" t="s">
        <v>36</v>
      </c>
      <c r="D76" s="8">
        <v>9675</v>
      </c>
      <c r="E76" s="8">
        <v>54</v>
      </c>
      <c r="F76" s="8">
        <v>5762</v>
      </c>
      <c r="G76" s="8">
        <v>1753</v>
      </c>
      <c r="H76" s="8">
        <v>136</v>
      </c>
      <c r="I76" s="9">
        <f>F76*540</f>
        <v>3111480</v>
      </c>
      <c r="J76" s="9">
        <f>G76*400</f>
        <v>701200</v>
      </c>
      <c r="K76" s="9">
        <f>H76*200</f>
        <v>27200</v>
      </c>
      <c r="L76" s="57">
        <v>3967595</v>
      </c>
      <c r="M76" s="57">
        <v>2109648</v>
      </c>
      <c r="N76" s="8">
        <v>9251</v>
      </c>
      <c r="O76" s="56">
        <v>1247169</v>
      </c>
      <c r="P76" s="56">
        <v>435621</v>
      </c>
      <c r="Q76" s="8">
        <f>187+40+1544+9553+47701</f>
        <v>59025</v>
      </c>
      <c r="R76" s="8">
        <v>21030</v>
      </c>
      <c r="S76" s="8">
        <v>10777</v>
      </c>
      <c r="T76" s="10">
        <f>Y76+Y77</f>
        <v>38487</v>
      </c>
      <c r="U76" s="11">
        <f>V76/V77</f>
        <v>0.32683859060582965</v>
      </c>
      <c r="V76" s="56">
        <v>246385</v>
      </c>
      <c r="W76" s="56">
        <v>366456</v>
      </c>
      <c r="X76" s="8">
        <v>119049</v>
      </c>
      <c r="Y76" s="8">
        <v>85</v>
      </c>
      <c r="Z76" s="11">
        <f>AA76/AC76</f>
        <v>0.20533442024987911</v>
      </c>
      <c r="AA76" s="12">
        <f>1063765.6</f>
        <v>1063765.6000000001</v>
      </c>
      <c r="AB76" s="8">
        <v>628419</v>
      </c>
      <c r="AC76" s="12">
        <f>5180649.2</f>
        <v>5180649.2</v>
      </c>
      <c r="AD76" s="12">
        <f>AC76*1000/L76</f>
        <v>1305.7404296557486</v>
      </c>
    </row>
    <row r="77" spans="1:30" s="54" customFormat="1">
      <c r="A77" s="47"/>
      <c r="B77" s="47" t="s">
        <v>123</v>
      </c>
      <c r="C77" s="99"/>
      <c r="D77" s="13"/>
      <c r="E77" s="13"/>
      <c r="F77" s="14">
        <f>I76/L76/1.95</f>
        <v>0.40216573748852125</v>
      </c>
      <c r="G77" s="14">
        <f>J76/L76/0.35</f>
        <v>0.50494785164024336</v>
      </c>
      <c r="H77" s="14">
        <f>K76/L76/0.075</f>
        <v>9.1407179076157391E-2</v>
      </c>
      <c r="I77" s="15"/>
      <c r="J77" s="15"/>
      <c r="K77" s="15"/>
      <c r="L77" s="15"/>
      <c r="M77" s="15"/>
      <c r="N77" s="13"/>
      <c r="O77" s="14">
        <f>O76/L76</f>
        <v>0.31433878709898566</v>
      </c>
      <c r="P77" s="14">
        <f>P76/M76</f>
        <v>0.20648989784077723</v>
      </c>
      <c r="Q77" s="13"/>
      <c r="R77" s="13"/>
      <c r="S77" s="14">
        <f>S76/R76</f>
        <v>0.51245839277223015</v>
      </c>
      <c r="T77" s="16"/>
      <c r="U77" s="16"/>
      <c r="V77" s="13">
        <f>0.19*L76</f>
        <v>753843.05</v>
      </c>
      <c r="W77" s="13"/>
      <c r="X77" s="13"/>
      <c r="Y77" s="13">
        <v>38402</v>
      </c>
      <c r="Z77" s="17"/>
      <c r="AA77" s="18"/>
      <c r="AB77" s="13"/>
      <c r="AC77" s="18"/>
      <c r="AD77" s="18"/>
    </row>
    <row r="78" spans="1:30" s="55" customFormat="1">
      <c r="A78" s="50" t="s">
        <v>129</v>
      </c>
      <c r="B78" s="50" t="s">
        <v>123</v>
      </c>
      <c r="C78" s="100" t="s">
        <v>37</v>
      </c>
      <c r="D78" s="24">
        <f t="shared" ref="D78:T78" si="3">SUM(D76,D74,D72,D70,D68,D66)</f>
        <v>26108</v>
      </c>
      <c r="E78" s="24">
        <f t="shared" si="3"/>
        <v>251</v>
      </c>
      <c r="F78" s="24">
        <f t="shared" si="3"/>
        <v>15309</v>
      </c>
      <c r="G78" s="24">
        <f t="shared" si="3"/>
        <v>5905</v>
      </c>
      <c r="H78" s="24">
        <f t="shared" si="3"/>
        <v>370</v>
      </c>
      <c r="I78" s="19">
        <f t="shared" si="3"/>
        <v>8266860</v>
      </c>
      <c r="J78" s="19">
        <f t="shared" si="3"/>
        <v>2362000</v>
      </c>
      <c r="K78" s="19">
        <f t="shared" si="3"/>
        <v>74000</v>
      </c>
      <c r="L78" s="19">
        <f t="shared" si="3"/>
        <v>13024240</v>
      </c>
      <c r="M78" s="19">
        <f t="shared" si="3"/>
        <v>6914725</v>
      </c>
      <c r="N78" s="24">
        <f t="shared" si="3"/>
        <v>32652</v>
      </c>
      <c r="O78" s="24">
        <f t="shared" si="3"/>
        <v>4579037</v>
      </c>
      <c r="P78" s="24">
        <f t="shared" si="3"/>
        <v>1544818</v>
      </c>
      <c r="Q78" s="24">
        <f t="shared" si="3"/>
        <v>492806</v>
      </c>
      <c r="R78" s="24">
        <f t="shared" si="3"/>
        <v>64581</v>
      </c>
      <c r="S78" s="24">
        <f t="shared" si="3"/>
        <v>35524</v>
      </c>
      <c r="T78" s="24">
        <f t="shared" si="3"/>
        <v>125199</v>
      </c>
      <c r="U78" s="21">
        <f>V78/V79</f>
        <v>0.27534488728224005</v>
      </c>
      <c r="V78" s="24">
        <f>SUM(V76,V74,V72,V70,V68,V66)</f>
        <v>681370</v>
      </c>
      <c r="W78" s="24">
        <f>SUM(W76,W74,W72,W70,W68,W66)</f>
        <v>1326503</v>
      </c>
      <c r="X78" s="24">
        <f>SUM(X76,X74,X72,X70,X68,X66)</f>
        <v>433649</v>
      </c>
      <c r="Y78" s="24">
        <f>SUM(Y76,Y74,Y72,Y70,Y68,Y66)</f>
        <v>486</v>
      </c>
      <c r="Z78" s="21">
        <f>AA78/AC78</f>
        <v>0.21613726596808638</v>
      </c>
      <c r="AA78" s="22">
        <f>SUM(AA76,AA74,AA72,AA70,AA68,AA66)</f>
        <v>5729870.6999999993</v>
      </c>
      <c r="AB78" s="24">
        <f>SUM(AB76,AB74,AB72,AB70,AB68,AB66)</f>
        <v>1008462</v>
      </c>
      <c r="AC78" s="22">
        <f>SUM(AC76,AC74,AC72,AC70,AC68,AC66)</f>
        <v>26510332.100000005</v>
      </c>
      <c r="AD78" s="22">
        <f>AC78*1000/L78</f>
        <v>2035.4609635571828</v>
      </c>
    </row>
    <row r="79" spans="1:30" s="55" customFormat="1">
      <c r="A79" s="50" t="s">
        <v>129</v>
      </c>
      <c r="B79" s="50" t="s">
        <v>123</v>
      </c>
      <c r="C79" s="101"/>
      <c r="D79" s="26"/>
      <c r="E79" s="26"/>
      <c r="F79" s="23">
        <f>I78/L78/1.95</f>
        <v>0.32550193981494391</v>
      </c>
      <c r="G79" s="23">
        <f>J78/L78/0.35</f>
        <v>0.51815471985861972</v>
      </c>
      <c r="H79" s="23">
        <f>K78/L78/0.075</f>
        <v>7.5756179759177256E-2</v>
      </c>
      <c r="I79" s="19"/>
      <c r="J79" s="19"/>
      <c r="K79" s="19"/>
      <c r="L79" s="19"/>
      <c r="M79" s="19"/>
      <c r="N79" s="26"/>
      <c r="O79" s="23">
        <f>O78/L78</f>
        <v>0.35157805752965238</v>
      </c>
      <c r="P79" s="23">
        <f>P78/M78</f>
        <v>0.22340989699518057</v>
      </c>
      <c r="Q79" s="26"/>
      <c r="R79" s="26"/>
      <c r="S79" s="23">
        <f>S78/R78</f>
        <v>0.55006890571530331</v>
      </c>
      <c r="T79" s="28"/>
      <c r="U79" s="28"/>
      <c r="V79" s="26">
        <f>SUM(V77,V75,V73,V71,V69,V67)</f>
        <v>2474605.6</v>
      </c>
      <c r="W79" s="26"/>
      <c r="X79" s="26"/>
      <c r="Y79" s="26">
        <f>SUM(Y77,Y75,Y73,Y71,Y69,Y67)</f>
        <v>124713</v>
      </c>
      <c r="Z79" s="29"/>
      <c r="AA79" s="30"/>
      <c r="AB79" s="26"/>
      <c r="AC79" s="30"/>
      <c r="AD79" s="30"/>
    </row>
    <row r="80" spans="1:30">
      <c r="B80" s="47" t="s">
        <v>124</v>
      </c>
      <c r="C80" s="86" t="s">
        <v>38</v>
      </c>
      <c r="D80" s="8">
        <v>3368</v>
      </c>
      <c r="E80" s="8">
        <v>12</v>
      </c>
      <c r="F80" s="8">
        <v>2032</v>
      </c>
      <c r="G80" s="8">
        <v>849</v>
      </c>
      <c r="H80" s="8">
        <v>16</v>
      </c>
      <c r="I80" s="9">
        <f t="shared" ref="I80:I92" si="4">F80*540</f>
        <v>1097280</v>
      </c>
      <c r="J80" s="9">
        <f>G80*400</f>
        <v>339600</v>
      </c>
      <c r="K80" s="9">
        <f>H80*200</f>
        <v>3200</v>
      </c>
      <c r="L80" s="9">
        <v>2758986</v>
      </c>
      <c r="M80" s="9">
        <v>1433044</v>
      </c>
      <c r="N80" s="8">
        <v>7228</v>
      </c>
      <c r="O80" s="8">
        <v>598377</v>
      </c>
      <c r="P80" s="8">
        <v>136780</v>
      </c>
      <c r="Q80" s="8">
        <f>10158+41429</f>
        <v>51587</v>
      </c>
      <c r="R80" s="8">
        <v>7122</v>
      </c>
      <c r="S80" s="8">
        <v>1453</v>
      </c>
      <c r="T80" s="10">
        <f>Y80+Y81</f>
        <v>25136</v>
      </c>
      <c r="U80" s="11">
        <f>V80/V81</f>
        <v>0.15940448296660631</v>
      </c>
      <c r="V80" s="8">
        <v>83561</v>
      </c>
      <c r="W80" s="8">
        <v>72395</v>
      </c>
      <c r="X80" s="8">
        <v>118805</v>
      </c>
      <c r="Y80" s="8">
        <v>53</v>
      </c>
      <c r="Z80" s="11">
        <f>AA80/AC80</f>
        <v>9.1239078840670479E-2</v>
      </c>
      <c r="AA80" s="12">
        <f>284854.8</f>
        <v>284854.8</v>
      </c>
      <c r="AB80" s="8">
        <v>598886</v>
      </c>
      <c r="AC80" s="12">
        <f>3122070.1</f>
        <v>3122070.1</v>
      </c>
      <c r="AD80" s="12">
        <f>AC80*1000/L80</f>
        <v>1131.6005590459683</v>
      </c>
    </row>
    <row r="81" spans="1:30">
      <c r="B81" s="47" t="s">
        <v>124</v>
      </c>
      <c r="C81" s="87"/>
      <c r="D81" s="13"/>
      <c r="E81" s="13"/>
      <c r="F81" s="14">
        <f>I80/L80/1.95</f>
        <v>0.20395452978293196</v>
      </c>
      <c r="G81" s="14">
        <f>J80/L80/0.35</f>
        <v>0.35168199993972943</v>
      </c>
      <c r="H81" s="14">
        <f>K80/L80/0.075</f>
        <v>1.5464618764526775E-2</v>
      </c>
      <c r="I81" s="15"/>
      <c r="J81" s="15"/>
      <c r="K81" s="15"/>
      <c r="L81" s="15"/>
      <c r="M81" s="15"/>
      <c r="N81" s="13"/>
      <c r="O81" s="14">
        <f>O80/L80</f>
        <v>0.21688294177643525</v>
      </c>
      <c r="P81" s="14">
        <f>P80/M80</f>
        <v>9.5447173987679379E-2</v>
      </c>
      <c r="Q81" s="13"/>
      <c r="R81" s="13"/>
      <c r="S81" s="14">
        <f>S80/R80</f>
        <v>0.20401572591968548</v>
      </c>
      <c r="T81" s="16"/>
      <c r="U81" s="16"/>
      <c r="V81" s="13">
        <f>0.19*L80</f>
        <v>524207.34</v>
      </c>
      <c r="W81" s="13"/>
      <c r="X81" s="13"/>
      <c r="Y81" s="13">
        <v>25083</v>
      </c>
      <c r="Z81" s="17"/>
      <c r="AA81" s="18"/>
      <c r="AB81" s="13"/>
      <c r="AC81" s="18"/>
      <c r="AD81" s="18"/>
    </row>
    <row r="82" spans="1:30">
      <c r="B82" s="47" t="s">
        <v>124</v>
      </c>
      <c r="C82" s="86" t="s">
        <v>39</v>
      </c>
      <c r="D82" s="8">
        <v>293</v>
      </c>
      <c r="E82" s="8">
        <v>4</v>
      </c>
      <c r="F82" s="8">
        <v>158</v>
      </c>
      <c r="G82" s="8">
        <v>121</v>
      </c>
      <c r="H82" s="8">
        <v>5</v>
      </c>
      <c r="I82" s="9">
        <f t="shared" si="4"/>
        <v>85320</v>
      </c>
      <c r="J82" s="9">
        <f>G82*400</f>
        <v>48400</v>
      </c>
      <c r="K82" s="9">
        <f>H82*200</f>
        <v>1000</v>
      </c>
      <c r="L82" s="9">
        <v>418666</v>
      </c>
      <c r="M82" s="9">
        <v>232001</v>
      </c>
      <c r="N82" s="8">
        <v>960</v>
      </c>
      <c r="O82" s="8">
        <v>47020</v>
      </c>
      <c r="P82" s="8">
        <v>2230</v>
      </c>
      <c r="Q82" s="8">
        <f>17357</f>
        <v>17357</v>
      </c>
      <c r="R82" s="8">
        <v>1042</v>
      </c>
      <c r="S82" s="8">
        <v>429</v>
      </c>
      <c r="T82" s="10">
        <f>Y82+Y83</f>
        <v>2539</v>
      </c>
      <c r="U82" s="11">
        <f>V82/V83</f>
        <v>8.7458235141339893E-2</v>
      </c>
      <c r="V82" s="8">
        <v>6957</v>
      </c>
      <c r="W82" s="8">
        <v>2864</v>
      </c>
      <c r="X82" s="8">
        <v>18645</v>
      </c>
      <c r="Y82" s="8">
        <v>32</v>
      </c>
      <c r="Z82" s="11">
        <f>AA82/AC82</f>
        <v>0</v>
      </c>
      <c r="AA82" s="12">
        <f>0</f>
        <v>0</v>
      </c>
      <c r="AB82" s="8">
        <v>47020</v>
      </c>
      <c r="AC82" s="12">
        <f>594683.4</f>
        <v>594683.4</v>
      </c>
      <c r="AD82" s="12">
        <f>AC82*1000/L82</f>
        <v>1420.4243955802478</v>
      </c>
    </row>
    <row r="83" spans="1:30">
      <c r="B83" s="47" t="s">
        <v>124</v>
      </c>
      <c r="C83" s="87"/>
      <c r="D83" s="13"/>
      <c r="E83" s="13"/>
      <c r="F83" s="14">
        <f>I82/L82/1.95</f>
        <v>0.10450776073014324</v>
      </c>
      <c r="G83" s="14">
        <f>J82/L82/0.35</f>
        <v>0.33030079893211844</v>
      </c>
      <c r="H83" s="14">
        <f>K82/L82/0.075</f>
        <v>3.1847184470038967E-2</v>
      </c>
      <c r="I83" s="15"/>
      <c r="J83" s="15"/>
      <c r="K83" s="15"/>
      <c r="L83" s="15"/>
      <c r="M83" s="15"/>
      <c r="N83" s="13"/>
      <c r="O83" s="14">
        <f>O82/L82</f>
        <v>0.1123090960335924</v>
      </c>
      <c r="P83" s="14">
        <f>P82/M82</f>
        <v>9.612027534364076E-3</v>
      </c>
      <c r="Q83" s="13"/>
      <c r="R83" s="13"/>
      <c r="S83" s="14">
        <f>S82/R82</f>
        <v>0.41170825335892514</v>
      </c>
      <c r="T83" s="16"/>
      <c r="U83" s="16"/>
      <c r="V83" s="13">
        <f>0.19*L82</f>
        <v>79546.540000000008</v>
      </c>
      <c r="W83" s="13"/>
      <c r="X83" s="13"/>
      <c r="Y83" s="13">
        <v>2507</v>
      </c>
      <c r="Z83" s="17"/>
      <c r="AA83" s="18"/>
      <c r="AB83" s="13"/>
      <c r="AC83" s="18"/>
      <c r="AD83" s="18"/>
    </row>
    <row r="84" spans="1:30">
      <c r="B84" s="47" t="s">
        <v>124</v>
      </c>
      <c r="C84" s="86" t="s">
        <v>40</v>
      </c>
      <c r="D84" s="8">
        <v>1484</v>
      </c>
      <c r="E84" s="8">
        <v>12</v>
      </c>
      <c r="F84" s="8">
        <v>929</v>
      </c>
      <c r="G84" s="8">
        <v>487</v>
      </c>
      <c r="H84" s="8">
        <v>15</v>
      </c>
      <c r="I84" s="9">
        <f t="shared" si="4"/>
        <v>501660</v>
      </c>
      <c r="J84" s="9">
        <f>G84*400</f>
        <v>194800</v>
      </c>
      <c r="K84" s="9">
        <f>H84*200</f>
        <v>3000</v>
      </c>
      <c r="L84" s="9">
        <v>800588</v>
      </c>
      <c r="M84" s="9">
        <v>425917</v>
      </c>
      <c r="N84" s="8">
        <v>1842</v>
      </c>
      <c r="O84" s="8">
        <v>221286</v>
      </c>
      <c r="P84" s="8">
        <v>67851</v>
      </c>
      <c r="Q84" s="8">
        <f>343+443+1266</f>
        <v>2052</v>
      </c>
      <c r="R84" s="8">
        <v>2590</v>
      </c>
      <c r="S84" s="8">
        <v>1662</v>
      </c>
      <c r="T84" s="10">
        <f>Y84+Y85</f>
        <v>10102</v>
      </c>
      <c r="U84" s="11">
        <f>V84/V85</f>
        <v>0.34211039096790175</v>
      </c>
      <c r="V84" s="8">
        <v>52039</v>
      </c>
      <c r="W84" s="8">
        <v>25799</v>
      </c>
      <c r="X84" s="8">
        <v>34867</v>
      </c>
      <c r="Y84" s="8">
        <v>27</v>
      </c>
      <c r="Z84" s="11">
        <f>AA84/AC84</f>
        <v>1.2981708625740626E-2</v>
      </c>
      <c r="AA84" s="12">
        <f>6738.2</f>
        <v>6738.2</v>
      </c>
      <c r="AB84" s="8">
        <v>85973</v>
      </c>
      <c r="AC84" s="12">
        <f>519053.4</f>
        <v>519053.4</v>
      </c>
      <c r="AD84" s="12">
        <f>AC84*1000/L84</f>
        <v>648.34021993834529</v>
      </c>
    </row>
    <row r="85" spans="1:30">
      <c r="B85" s="47" t="s">
        <v>124</v>
      </c>
      <c r="C85" s="87"/>
      <c r="D85" s="13"/>
      <c r="E85" s="13"/>
      <c r="F85" s="14">
        <f>I84/L84/1.95</f>
        <v>0.32134073763476151</v>
      </c>
      <c r="G85" s="14">
        <f>J84/L84/0.35</f>
        <v>0.69520331128049462</v>
      </c>
      <c r="H85" s="14">
        <f>K84/L84/0.075</f>
        <v>4.9963276991411315E-2</v>
      </c>
      <c r="I85" s="15"/>
      <c r="J85" s="15"/>
      <c r="K85" s="15"/>
      <c r="L85" s="15"/>
      <c r="M85" s="15"/>
      <c r="N85" s="13"/>
      <c r="O85" s="14">
        <f>O84/L84</f>
        <v>0.27640434280803611</v>
      </c>
      <c r="P85" s="14">
        <f>P84/M84</f>
        <v>0.15930568631916547</v>
      </c>
      <c r="Q85" s="13"/>
      <c r="R85" s="13"/>
      <c r="S85" s="14">
        <f>S84/R84</f>
        <v>0.64169884169884173</v>
      </c>
      <c r="T85" s="16"/>
      <c r="U85" s="16"/>
      <c r="V85" s="13">
        <f>0.19*L84</f>
        <v>152111.72</v>
      </c>
      <c r="W85" s="13"/>
      <c r="X85" s="13"/>
      <c r="Y85" s="13">
        <v>10075</v>
      </c>
      <c r="Z85" s="17"/>
      <c r="AA85" s="18"/>
      <c r="AB85" s="13"/>
      <c r="AC85" s="18"/>
      <c r="AD85" s="18"/>
    </row>
    <row r="86" spans="1:30">
      <c r="B86" s="47" t="s">
        <v>124</v>
      </c>
      <c r="C86" s="86" t="s">
        <v>41</v>
      </c>
      <c r="D86" s="8">
        <v>576</v>
      </c>
      <c r="E86" s="8">
        <v>4</v>
      </c>
      <c r="F86" s="8">
        <v>299</v>
      </c>
      <c r="G86" s="8">
        <v>233</v>
      </c>
      <c r="H86" s="8">
        <v>10</v>
      </c>
      <c r="I86" s="9">
        <f t="shared" si="4"/>
        <v>161460</v>
      </c>
      <c r="J86" s="9">
        <f>G86*400</f>
        <v>93200</v>
      </c>
      <c r="K86" s="9">
        <f>H86*200</f>
        <v>2000</v>
      </c>
      <c r="L86" s="9">
        <v>438905</v>
      </c>
      <c r="M86" s="57">
        <v>235662</v>
      </c>
      <c r="N86" s="8">
        <v>1027</v>
      </c>
      <c r="O86" s="8">
        <v>109914</v>
      </c>
      <c r="P86" s="8">
        <v>28153</v>
      </c>
      <c r="Q86" s="8">
        <f>1500+498+5229</f>
        <v>7227</v>
      </c>
      <c r="R86" s="8">
        <v>1990</v>
      </c>
      <c r="S86" s="8">
        <v>965</v>
      </c>
      <c r="T86" s="10">
        <f>Y86+Y87</f>
        <v>0</v>
      </c>
      <c r="U86" s="11">
        <f>V86/V87</f>
        <v>0.30944233825926842</v>
      </c>
      <c r="V86" s="56">
        <v>25805</v>
      </c>
      <c r="W86" s="8">
        <v>17738</v>
      </c>
      <c r="X86" s="8">
        <v>20019</v>
      </c>
      <c r="Y86" s="8"/>
      <c r="Z86" s="11">
        <f>AA86/AC86</f>
        <v>0</v>
      </c>
      <c r="AA86" s="12">
        <f>0</f>
        <v>0</v>
      </c>
      <c r="AB86" s="8">
        <v>109925</v>
      </c>
      <c r="AC86" s="12">
        <f>5688318.4</f>
        <v>5688318.4000000004</v>
      </c>
      <c r="AD86" s="53">
        <f>AC86*1000/L86</f>
        <v>12960.249712352332</v>
      </c>
    </row>
    <row r="87" spans="1:30">
      <c r="B87" s="47" t="s">
        <v>124</v>
      </c>
      <c r="C87" s="87"/>
      <c r="D87" s="13"/>
      <c r="E87" s="13"/>
      <c r="F87" s="14">
        <f>I86/L86/1.95</f>
        <v>0.18865130267369931</v>
      </c>
      <c r="G87" s="14">
        <f>J86/L86/0.35</f>
        <v>0.60670467250478877</v>
      </c>
      <c r="H87" s="14">
        <f>K86/L86/0.075</f>
        <v>6.075726334096597E-2</v>
      </c>
      <c r="I87" s="15"/>
      <c r="J87" s="15"/>
      <c r="K87" s="15"/>
      <c r="L87" s="15"/>
      <c r="M87" s="15"/>
      <c r="N87" s="13"/>
      <c r="O87" s="14">
        <f>O86/L86</f>
        <v>0.25042776910720999</v>
      </c>
      <c r="P87" s="14">
        <f>P86/M86</f>
        <v>0.11946346886642734</v>
      </c>
      <c r="Q87" s="13"/>
      <c r="R87" s="13"/>
      <c r="S87" s="14">
        <f>S86/R86</f>
        <v>0.48492462311557788</v>
      </c>
      <c r="T87" s="16"/>
      <c r="U87" s="16"/>
      <c r="V87" s="13">
        <f>0.19*L86</f>
        <v>83391.95</v>
      </c>
      <c r="W87" s="13"/>
      <c r="X87" s="13"/>
      <c r="Y87" s="13"/>
      <c r="Z87" s="17"/>
      <c r="AA87" s="18"/>
      <c r="AB87" s="13"/>
      <c r="AC87" s="18"/>
      <c r="AD87" s="18"/>
    </row>
    <row r="88" spans="1:30">
      <c r="B88" s="47" t="s">
        <v>124</v>
      </c>
      <c r="C88" s="86" t="s">
        <v>42</v>
      </c>
      <c r="D88" s="8">
        <v>1036</v>
      </c>
      <c r="E88" s="8">
        <v>15</v>
      </c>
      <c r="F88" s="8">
        <v>566</v>
      </c>
      <c r="G88" s="8">
        <v>428</v>
      </c>
      <c r="H88" s="8">
        <v>17</v>
      </c>
      <c r="I88" s="9">
        <f t="shared" si="4"/>
        <v>305640</v>
      </c>
      <c r="J88" s="9">
        <f>G88*400</f>
        <v>171200</v>
      </c>
      <c r="K88" s="9">
        <f>H88*200</f>
        <v>3400</v>
      </c>
      <c r="L88" s="9">
        <v>650724</v>
      </c>
      <c r="M88" s="57">
        <v>347666</v>
      </c>
      <c r="N88" s="8">
        <v>2284</v>
      </c>
      <c r="O88" s="8">
        <v>183188</v>
      </c>
      <c r="P88" s="8">
        <v>57583</v>
      </c>
      <c r="Q88" s="8">
        <f>90+8724+4234</f>
        <v>13048</v>
      </c>
      <c r="R88" s="8">
        <v>3516</v>
      </c>
      <c r="S88" s="8">
        <v>1834</v>
      </c>
      <c r="T88" s="10">
        <f>Y88+Y89</f>
        <v>5104</v>
      </c>
      <c r="U88" s="11">
        <f>V88/V89</f>
        <v>0.21978757911430799</v>
      </c>
      <c r="V88" s="8">
        <v>27174</v>
      </c>
      <c r="W88" s="8">
        <v>7332</v>
      </c>
      <c r="X88" s="8">
        <v>26710</v>
      </c>
      <c r="Y88" s="8">
        <v>58</v>
      </c>
      <c r="Z88" s="11">
        <f>AA88/AC88</f>
        <v>3.6936432853962478E-3</v>
      </c>
      <c r="AA88" s="12">
        <f>4141</f>
        <v>4141</v>
      </c>
      <c r="AB88" s="8">
        <v>104836</v>
      </c>
      <c r="AC88" s="12">
        <f>1121115.3</f>
        <v>1121115.3</v>
      </c>
      <c r="AD88" s="12">
        <f>AC88*1000/L88</f>
        <v>1722.8737529275083</v>
      </c>
    </row>
    <row r="89" spans="1:30">
      <c r="B89" s="47" t="s">
        <v>124</v>
      </c>
      <c r="C89" s="87"/>
      <c r="D89" s="13"/>
      <c r="E89" s="13"/>
      <c r="F89" s="14">
        <f>I88/L88/1.95</f>
        <v>0.24086780499637567</v>
      </c>
      <c r="G89" s="14">
        <f>J88/L88/0.35</f>
        <v>0.75169020528343378</v>
      </c>
      <c r="H89" s="14">
        <f>K88/L88/0.075</f>
        <v>6.9665992545738797E-2</v>
      </c>
      <c r="I89" s="15"/>
      <c r="J89" s="15"/>
      <c r="K89" s="15"/>
      <c r="L89" s="15"/>
      <c r="M89" s="15"/>
      <c r="N89" s="13"/>
      <c r="O89" s="14">
        <f>O88/L88</f>
        <v>0.28151412887798821</v>
      </c>
      <c r="P89" s="14">
        <f>P88/M88</f>
        <v>0.1656273549901342</v>
      </c>
      <c r="Q89" s="13"/>
      <c r="R89" s="13"/>
      <c r="S89" s="14">
        <f>S88/R88</f>
        <v>0.52161547212741755</v>
      </c>
      <c r="T89" s="16"/>
      <c r="U89" s="16"/>
      <c r="V89" s="13">
        <f>0.19*L88</f>
        <v>123637.56</v>
      </c>
      <c r="W89" s="13"/>
      <c r="X89" s="13"/>
      <c r="Y89" s="13">
        <v>5046</v>
      </c>
      <c r="Z89" s="17"/>
      <c r="AA89" s="18"/>
      <c r="AB89" s="13"/>
      <c r="AC89" s="18"/>
      <c r="AD89" s="18"/>
    </row>
    <row r="90" spans="1:30">
      <c r="B90" s="47" t="s">
        <v>124</v>
      </c>
      <c r="C90" s="86" t="s">
        <v>43</v>
      </c>
      <c r="D90" s="8">
        <v>1179</v>
      </c>
      <c r="E90" s="8">
        <v>13</v>
      </c>
      <c r="F90" s="8">
        <v>693</v>
      </c>
      <c r="G90" s="8">
        <v>439</v>
      </c>
      <c r="H90" s="8">
        <v>6</v>
      </c>
      <c r="I90" s="9">
        <f t="shared" si="4"/>
        <v>374220</v>
      </c>
      <c r="J90" s="9">
        <f>G90*400</f>
        <v>175600</v>
      </c>
      <c r="K90" s="9">
        <f>H90*200</f>
        <v>1200</v>
      </c>
      <c r="L90" s="9">
        <v>1233385</v>
      </c>
      <c r="M90" s="9">
        <v>628571</v>
      </c>
      <c r="N90" s="8">
        <v>4053</v>
      </c>
      <c r="O90" s="8">
        <v>434764</v>
      </c>
      <c r="P90" s="8">
        <v>148731</v>
      </c>
      <c r="Q90" s="8">
        <f>1643+5380</f>
        <v>7023</v>
      </c>
      <c r="R90" s="8">
        <v>2694</v>
      </c>
      <c r="S90" s="8">
        <v>1383</v>
      </c>
      <c r="T90" s="10">
        <f>Y90+Y91</f>
        <v>7116</v>
      </c>
      <c r="U90" s="11">
        <f>V90/V91</f>
        <v>0.10933539128410624</v>
      </c>
      <c r="V90" s="8">
        <v>25622</v>
      </c>
      <c r="W90" s="8">
        <v>14788</v>
      </c>
      <c r="X90" s="8">
        <v>55719</v>
      </c>
      <c r="Y90" s="8">
        <v>66</v>
      </c>
      <c r="Z90" s="11">
        <f>AA90/AC90</f>
        <v>2.727563227109888E-2</v>
      </c>
      <c r="AA90" s="12">
        <f>74524.7</f>
        <v>74524.7</v>
      </c>
      <c r="AB90" s="8">
        <v>145920</v>
      </c>
      <c r="AC90" s="12">
        <f>2732281.3</f>
        <v>2732281.3</v>
      </c>
      <c r="AD90" s="12">
        <f>AC90*1000/L90</f>
        <v>2215.2704143475071</v>
      </c>
    </row>
    <row r="91" spans="1:30">
      <c r="B91" s="47" t="s">
        <v>124</v>
      </c>
      <c r="C91" s="87"/>
      <c r="D91" s="13"/>
      <c r="E91" s="13"/>
      <c r="F91" s="14">
        <f>I90/L90/1.95</f>
        <v>0.15559431346067312</v>
      </c>
      <c r="G91" s="14">
        <f>J90/L90/0.35</f>
        <v>0.40677832608170661</v>
      </c>
      <c r="H91" s="14">
        <f>K90/L90/0.075</f>
        <v>1.2972429533357387E-2</v>
      </c>
      <c r="I91" s="15"/>
      <c r="J91" s="15"/>
      <c r="K91" s="15"/>
      <c r="L91" s="15"/>
      <c r="M91" s="15"/>
      <c r="N91" s="13"/>
      <c r="O91" s="14">
        <f>O90/L90</f>
        <v>0.35249658460253691</v>
      </c>
      <c r="P91" s="14">
        <f>P90/M90</f>
        <v>0.23661766133022363</v>
      </c>
      <c r="Q91" s="13"/>
      <c r="R91" s="13"/>
      <c r="S91" s="14">
        <f>S90/R90</f>
        <v>0.51336302895322938</v>
      </c>
      <c r="T91" s="16"/>
      <c r="U91" s="16"/>
      <c r="V91" s="13">
        <f>0.19*L90</f>
        <v>234343.15</v>
      </c>
      <c r="W91" s="13"/>
      <c r="X91" s="13"/>
      <c r="Y91" s="13">
        <v>7050</v>
      </c>
      <c r="Z91" s="17"/>
      <c r="AA91" s="18"/>
      <c r="AB91" s="13"/>
      <c r="AC91" s="18"/>
      <c r="AD91" s="18"/>
    </row>
    <row r="92" spans="1:30">
      <c r="B92" s="47" t="s">
        <v>124</v>
      </c>
      <c r="C92" s="86" t="s">
        <v>44</v>
      </c>
      <c r="D92" s="8">
        <v>4364</v>
      </c>
      <c r="E92" s="8">
        <v>40</v>
      </c>
      <c r="F92" s="8">
        <v>2651</v>
      </c>
      <c r="G92" s="8">
        <v>1083</v>
      </c>
      <c r="H92" s="8">
        <v>63</v>
      </c>
      <c r="I92" s="9">
        <f t="shared" si="4"/>
        <v>1431540</v>
      </c>
      <c r="J92" s="9">
        <f>G92*400</f>
        <v>433200</v>
      </c>
      <c r="K92" s="9">
        <f>H92*200</f>
        <v>12600</v>
      </c>
      <c r="L92" s="57">
        <v>2612891</v>
      </c>
      <c r="M92" s="57">
        <v>1386532</v>
      </c>
      <c r="N92" s="8">
        <v>4787</v>
      </c>
      <c r="O92" s="56">
        <v>539484</v>
      </c>
      <c r="P92" s="56">
        <v>201615</v>
      </c>
      <c r="Q92" s="8">
        <f>575+94+2572+13361+55909</f>
        <v>72511</v>
      </c>
      <c r="R92" s="8">
        <v>15545</v>
      </c>
      <c r="S92" s="8">
        <v>9424</v>
      </c>
      <c r="T92" s="10">
        <f>Y92+Y93</f>
        <v>10694</v>
      </c>
      <c r="U92" s="11">
        <f>V92/V93</f>
        <v>0.23172759497752532</v>
      </c>
      <c r="V92" s="56">
        <v>115041</v>
      </c>
      <c r="W92" s="56">
        <v>114168</v>
      </c>
      <c r="X92" s="8">
        <v>52036</v>
      </c>
      <c r="Y92" s="8">
        <v>53</v>
      </c>
      <c r="Z92" s="11">
        <f>AA92/AC92</f>
        <v>0.12831785931394005</v>
      </c>
      <c r="AA92" s="12">
        <f>260560.5</f>
        <v>260560.5</v>
      </c>
      <c r="AB92" s="8">
        <v>353513</v>
      </c>
      <c r="AC92" s="12">
        <f>2030586.4</f>
        <v>2030586.4</v>
      </c>
      <c r="AD92" s="12">
        <f>AC92*1000/L92</f>
        <v>777.1416411936051</v>
      </c>
    </row>
    <row r="93" spans="1:30">
      <c r="B93" s="47" t="s">
        <v>124</v>
      </c>
      <c r="C93" s="87"/>
      <c r="D93" s="13"/>
      <c r="E93" s="13"/>
      <c r="F93" s="14">
        <f>I92/L92/1.95</f>
        <v>0.28096199838534286</v>
      </c>
      <c r="G93" s="14">
        <f>J92/L92/0.35</f>
        <v>0.47369533811945685</v>
      </c>
      <c r="H93" s="14">
        <f>K92/L92/0.075</f>
        <v>6.4296597140868106E-2</v>
      </c>
      <c r="I93" s="15"/>
      <c r="J93" s="15"/>
      <c r="K93" s="15"/>
      <c r="L93" s="15"/>
      <c r="M93" s="15"/>
      <c r="N93" s="13"/>
      <c r="O93" s="14">
        <f>O92/L92</f>
        <v>0.20647015126157195</v>
      </c>
      <c r="P93" s="14">
        <f>P92/M92</f>
        <v>0.14540955419709028</v>
      </c>
      <c r="Q93" s="13"/>
      <c r="R93" s="13"/>
      <c r="S93" s="14">
        <f>S92/R92</f>
        <v>0.60623994853650687</v>
      </c>
      <c r="T93" s="16"/>
      <c r="U93" s="16"/>
      <c r="V93" s="13">
        <f>0.19*L92</f>
        <v>496449.29</v>
      </c>
      <c r="W93" s="13"/>
      <c r="X93" s="13"/>
      <c r="Y93" s="13">
        <v>10641</v>
      </c>
      <c r="Z93" s="17"/>
      <c r="AA93" s="18"/>
      <c r="AB93" s="13"/>
      <c r="AC93" s="18"/>
      <c r="AD93" s="18"/>
    </row>
    <row r="94" spans="1:30" s="20" customFormat="1">
      <c r="A94" s="49" t="s">
        <v>129</v>
      </c>
      <c r="B94" s="50" t="s">
        <v>124</v>
      </c>
      <c r="C94" s="88" t="s">
        <v>45</v>
      </c>
      <c r="D94" s="24">
        <f t="shared" ref="D94:T94" si="5">SUM(D92,D90,D88,D86,D84,D82,D80)</f>
        <v>12300</v>
      </c>
      <c r="E94" s="24">
        <f t="shared" si="5"/>
        <v>100</v>
      </c>
      <c r="F94" s="24">
        <f t="shared" si="5"/>
        <v>7328</v>
      </c>
      <c r="G94" s="24">
        <f t="shared" si="5"/>
        <v>3640</v>
      </c>
      <c r="H94" s="24">
        <f t="shared" si="5"/>
        <v>132</v>
      </c>
      <c r="I94" s="19">
        <f t="shared" si="5"/>
        <v>3957120</v>
      </c>
      <c r="J94" s="19">
        <f t="shared" si="5"/>
        <v>1456000</v>
      </c>
      <c r="K94" s="19">
        <f t="shared" si="5"/>
        <v>26400</v>
      </c>
      <c r="L94" s="19">
        <f t="shared" si="5"/>
        <v>8914145</v>
      </c>
      <c r="M94" s="19">
        <f t="shared" si="5"/>
        <v>4689393</v>
      </c>
      <c r="N94" s="24">
        <f t="shared" si="5"/>
        <v>22181</v>
      </c>
      <c r="O94" s="24">
        <f t="shared" si="5"/>
        <v>2134033</v>
      </c>
      <c r="P94" s="24">
        <f t="shared" si="5"/>
        <v>642943</v>
      </c>
      <c r="Q94" s="24">
        <f t="shared" si="5"/>
        <v>170805</v>
      </c>
      <c r="R94" s="24">
        <f t="shared" si="5"/>
        <v>34499</v>
      </c>
      <c r="S94" s="24">
        <f t="shared" si="5"/>
        <v>17150</v>
      </c>
      <c r="T94" s="24">
        <f t="shared" si="5"/>
        <v>60691</v>
      </c>
      <c r="U94" s="21">
        <f>V94/V95</f>
        <v>0.19850119344621739</v>
      </c>
      <c r="V94" s="24">
        <f>SUM(V92,V90,V88,V86,V84,V82,V80)</f>
        <v>336199</v>
      </c>
      <c r="W94" s="24">
        <f>SUM(W92,W90,W88,W86,W84,W82,W80)</f>
        <v>255084</v>
      </c>
      <c r="X94" s="24">
        <f>SUM(X92,X90,X88,X86,X84,X82,X80)</f>
        <v>326801</v>
      </c>
      <c r="Y94" s="24">
        <f>SUM(Y92,Y90,Y88,Y86,Y84,Y82,Y80)</f>
        <v>289</v>
      </c>
      <c r="Z94" s="21">
        <f>AA94/AC94</f>
        <v>3.9904787342581655E-2</v>
      </c>
      <c r="AA94" s="22">
        <f>SUM(AA92,AA90,AA88,AA86,AA84,AA82,AA80)</f>
        <v>630819.19999999995</v>
      </c>
      <c r="AB94" s="24">
        <f>SUM(AB92,AB90,AB88,AB86,AB84,AB82,AB80)</f>
        <v>1446073</v>
      </c>
      <c r="AC94" s="22">
        <f>SUM(AC92,AC90,AC88,AC86,AC84,AC82,AC80)</f>
        <v>15808108.299999999</v>
      </c>
      <c r="AD94" s="22">
        <f>AC94*1000/L94</f>
        <v>1773.3734755268169</v>
      </c>
    </row>
    <row r="95" spans="1:30" s="20" customFormat="1">
      <c r="A95" s="49" t="s">
        <v>129</v>
      </c>
      <c r="B95" s="50" t="s">
        <v>124</v>
      </c>
      <c r="C95" s="89"/>
      <c r="D95" s="26"/>
      <c r="E95" s="26"/>
      <c r="F95" s="23">
        <f>I94/L94/1.95</f>
        <v>0.22764856390515387</v>
      </c>
      <c r="G95" s="23">
        <f>J94/L94/0.35</f>
        <v>0.46667403323594137</v>
      </c>
      <c r="H95" s="23">
        <f>K94/L94/0.075</f>
        <v>3.948780281227196E-2</v>
      </c>
      <c r="I95" s="19"/>
      <c r="J95" s="19"/>
      <c r="K95" s="19"/>
      <c r="L95" s="19"/>
      <c r="M95" s="19"/>
      <c r="N95" s="26"/>
      <c r="O95" s="23">
        <f>O94/L94</f>
        <v>0.23939850653091238</v>
      </c>
      <c r="P95" s="23">
        <f>P94/M94</f>
        <v>0.13710580452523385</v>
      </c>
      <c r="Q95" s="26"/>
      <c r="R95" s="26"/>
      <c r="S95" s="23">
        <f>S94/R94</f>
        <v>0.49711585843067913</v>
      </c>
      <c r="T95" s="28"/>
      <c r="U95" s="28"/>
      <c r="V95" s="26">
        <f>SUM(V93,V91,V89,V87,V85,V83,V81)</f>
        <v>1693687.55</v>
      </c>
      <c r="W95" s="26"/>
      <c r="X95" s="26"/>
      <c r="Y95" s="26">
        <f>SUM(Y93,Y91,Y89,Y87,Y85,Y83,Y81)</f>
        <v>60402</v>
      </c>
      <c r="Z95" s="29"/>
      <c r="AA95" s="30"/>
      <c r="AB95" s="26"/>
      <c r="AC95" s="30"/>
      <c r="AD95" s="30"/>
    </row>
    <row r="96" spans="1:30">
      <c r="B96" s="47" t="s">
        <v>125</v>
      </c>
      <c r="C96" s="86" t="s">
        <v>46</v>
      </c>
      <c r="D96" s="8">
        <v>11006</v>
      </c>
      <c r="E96" s="8">
        <v>30</v>
      </c>
      <c r="F96" s="8">
        <v>6257</v>
      </c>
      <c r="G96" s="8">
        <v>2494</v>
      </c>
      <c r="H96" s="8">
        <v>189</v>
      </c>
      <c r="I96" s="9">
        <f t="shared" ref="I96:I122" si="6">F96*540</f>
        <v>3378780</v>
      </c>
      <c r="J96" s="9">
        <f>G96*400</f>
        <v>997600</v>
      </c>
      <c r="K96" s="9">
        <f>H96*200</f>
        <v>37800</v>
      </c>
      <c r="L96" s="57">
        <v>3773145</v>
      </c>
      <c r="M96" s="57">
        <v>1985609</v>
      </c>
      <c r="N96" s="8">
        <v>7891</v>
      </c>
      <c r="O96" s="56">
        <v>1090045</v>
      </c>
      <c r="P96" s="56">
        <v>382391</v>
      </c>
      <c r="Q96" s="8">
        <f>4099+3577+30214</f>
        <v>37890</v>
      </c>
      <c r="R96" s="8">
        <v>17016</v>
      </c>
      <c r="S96" s="8">
        <v>9758</v>
      </c>
      <c r="T96" s="10">
        <f>Y96+Y97</f>
        <v>25629</v>
      </c>
      <c r="U96" s="11">
        <f>V96/V97</f>
        <v>0.42082303112906438</v>
      </c>
      <c r="V96" s="56">
        <v>301687</v>
      </c>
      <c r="W96" s="56">
        <v>466021</v>
      </c>
      <c r="X96" s="8">
        <v>128571</v>
      </c>
      <c r="Y96" s="8">
        <v>205</v>
      </c>
      <c r="Z96" s="11">
        <f>AA96/AC96</f>
        <v>0.49188037664678924</v>
      </c>
      <c r="AA96" s="12">
        <f>3716001.5</f>
        <v>3716001.5</v>
      </c>
      <c r="AB96" s="8">
        <v>645461</v>
      </c>
      <c r="AC96" s="12">
        <v>7554685.4000000004</v>
      </c>
      <c r="AD96" s="12">
        <f>AC96*1000/L96</f>
        <v>2002.2250403840828</v>
      </c>
    </row>
    <row r="97" spans="2:30">
      <c r="B97" s="47" t="s">
        <v>125</v>
      </c>
      <c r="C97" s="87"/>
      <c r="D97" s="13"/>
      <c r="E97" s="13"/>
      <c r="F97" s="14">
        <f>I96/L96/1.95</f>
        <v>0.45922107215802527</v>
      </c>
      <c r="G97" s="14">
        <f>J96/L96/0.35</f>
        <v>0.75541377664672704</v>
      </c>
      <c r="H97" s="14">
        <f>K96/L96/0.075</f>
        <v>0.13357557157225605</v>
      </c>
      <c r="I97" s="15"/>
      <c r="J97" s="15"/>
      <c r="K97" s="15"/>
      <c r="L97" s="15"/>
      <c r="M97" s="15"/>
      <c r="N97" s="13"/>
      <c r="O97" s="14">
        <f>O96/L96</f>
        <v>0.28889560300492029</v>
      </c>
      <c r="P97" s="14">
        <f>P96/M96</f>
        <v>0.19258121815523599</v>
      </c>
      <c r="Q97" s="13"/>
      <c r="R97" s="13"/>
      <c r="S97" s="14">
        <f>S96/R96</f>
        <v>0.57346027268453226</v>
      </c>
      <c r="T97" s="16"/>
      <c r="U97" s="16"/>
      <c r="V97" s="13">
        <f>0.19*L96</f>
        <v>716897.55</v>
      </c>
      <c r="W97" s="13"/>
      <c r="X97" s="13"/>
      <c r="Y97" s="13">
        <v>25424</v>
      </c>
      <c r="Z97" s="17"/>
      <c r="AA97" s="18"/>
      <c r="AB97" s="13"/>
      <c r="AC97" s="18"/>
      <c r="AD97" s="18"/>
    </row>
    <row r="98" spans="2:30">
      <c r="B98" s="47" t="s">
        <v>125</v>
      </c>
      <c r="C98" s="86" t="s">
        <v>47</v>
      </c>
      <c r="D98" s="8">
        <v>1679</v>
      </c>
      <c r="E98" s="8">
        <v>6</v>
      </c>
      <c r="F98" s="8">
        <v>1008</v>
      </c>
      <c r="G98" s="8">
        <v>389</v>
      </c>
      <c r="H98" s="8">
        <v>33</v>
      </c>
      <c r="I98" s="9">
        <f t="shared" si="6"/>
        <v>544320</v>
      </c>
      <c r="J98" s="9">
        <f>G98*400</f>
        <v>155600</v>
      </c>
      <c r="K98" s="9">
        <f>H98*200</f>
        <v>6600</v>
      </c>
      <c r="L98" s="9">
        <v>639736</v>
      </c>
      <c r="M98" s="57">
        <v>337942</v>
      </c>
      <c r="N98" s="8">
        <v>1342</v>
      </c>
      <c r="O98" s="56">
        <v>240966</v>
      </c>
      <c r="P98" s="56">
        <v>110526</v>
      </c>
      <c r="Q98" s="8">
        <f>1103+4130+85+4730</f>
        <v>10048</v>
      </c>
      <c r="R98" s="8">
        <v>5641</v>
      </c>
      <c r="S98" s="8">
        <v>5006</v>
      </c>
      <c r="T98" s="10">
        <f>Y98+Y99</f>
        <v>62813</v>
      </c>
      <c r="U98" s="11">
        <f>V98/V99</f>
        <v>0.41879117241125124</v>
      </c>
      <c r="V98" s="56">
        <v>50904</v>
      </c>
      <c r="W98" s="8">
        <v>101391</v>
      </c>
      <c r="X98" s="8">
        <v>18698</v>
      </c>
      <c r="Y98" s="8">
        <v>8</v>
      </c>
      <c r="Z98" s="11">
        <f>AA98/AC98</f>
        <v>0.14515800580915939</v>
      </c>
      <c r="AA98" s="12">
        <f>140496.3</f>
        <v>140496.29999999999</v>
      </c>
      <c r="AB98" s="8">
        <v>179268</v>
      </c>
      <c r="AC98" s="12">
        <v>967885.3</v>
      </c>
      <c r="AD98" s="12">
        <f>AC98*1000/L98</f>
        <v>1512.9448710092913</v>
      </c>
    </row>
    <row r="99" spans="2:30">
      <c r="B99" s="47" t="s">
        <v>125</v>
      </c>
      <c r="C99" s="87"/>
      <c r="D99" s="13"/>
      <c r="E99" s="13"/>
      <c r="F99" s="14">
        <f>I98/L98/1.95</f>
        <v>0.43633383386031355</v>
      </c>
      <c r="G99" s="14">
        <f>J98/L98/0.35</f>
        <v>0.69492951556802907</v>
      </c>
      <c r="H99" s="14">
        <f>K98/L98/0.075</f>
        <v>0.13755674215613942</v>
      </c>
      <c r="I99" s="15"/>
      <c r="J99" s="15"/>
      <c r="K99" s="15"/>
      <c r="L99" s="15"/>
      <c r="M99" s="15"/>
      <c r="N99" s="13"/>
      <c r="O99" s="14">
        <f>O98/L98</f>
        <v>0.37666474920904874</v>
      </c>
      <c r="P99" s="14">
        <f>P98/M98</f>
        <v>0.32705612205644757</v>
      </c>
      <c r="Q99" s="13"/>
      <c r="R99" s="13"/>
      <c r="S99" s="14">
        <f>S98/R98</f>
        <v>0.88743130650593871</v>
      </c>
      <c r="T99" s="16"/>
      <c r="U99" s="16"/>
      <c r="V99" s="13">
        <f>0.19*L98</f>
        <v>121549.84</v>
      </c>
      <c r="W99" s="13"/>
      <c r="X99" s="13"/>
      <c r="Y99" s="13">
        <v>62805</v>
      </c>
      <c r="Z99" s="17"/>
      <c r="AA99" s="18"/>
      <c r="AB99" s="13"/>
      <c r="AC99" s="18"/>
      <c r="AD99" s="18"/>
    </row>
    <row r="100" spans="2:30">
      <c r="B100" s="47" t="s">
        <v>125</v>
      </c>
      <c r="C100" s="86" t="s">
        <v>48</v>
      </c>
      <c r="D100" s="8">
        <v>2112</v>
      </c>
      <c r="E100" s="8">
        <v>6</v>
      </c>
      <c r="F100" s="8">
        <v>1272</v>
      </c>
      <c r="G100" s="8">
        <v>553</v>
      </c>
      <c r="H100" s="8">
        <v>26</v>
      </c>
      <c r="I100" s="9">
        <f t="shared" si="6"/>
        <v>686880</v>
      </c>
      <c r="J100" s="9">
        <f>G100*400</f>
        <v>221200</v>
      </c>
      <c r="K100" s="9">
        <f>H100*200</f>
        <v>5200</v>
      </c>
      <c r="L100" s="57">
        <v>759657</v>
      </c>
      <c r="M100" s="57">
        <v>403296</v>
      </c>
      <c r="N100" s="8">
        <v>2885</v>
      </c>
      <c r="O100" s="56">
        <v>255643</v>
      </c>
      <c r="P100" s="56">
        <v>121303</v>
      </c>
      <c r="Q100" s="8">
        <f>1046+1629+1145+3045+5049</f>
        <v>11914</v>
      </c>
      <c r="R100" s="8">
        <v>7225</v>
      </c>
      <c r="S100" s="8">
        <v>2766</v>
      </c>
      <c r="T100" s="10">
        <f>Y100+Y101</f>
        <v>33885</v>
      </c>
      <c r="U100" s="11">
        <f>V100/V101</f>
        <v>0.59656425271710234</v>
      </c>
      <c r="V100" s="56">
        <v>86105</v>
      </c>
      <c r="W100" s="8">
        <v>104308</v>
      </c>
      <c r="X100" s="8">
        <v>23575</v>
      </c>
      <c r="Y100" s="8">
        <v>16</v>
      </c>
      <c r="Z100" s="11">
        <f>AA100/AC100</f>
        <v>9.1239411619747027E-3</v>
      </c>
      <c r="AA100" s="12">
        <f>24969.3</f>
        <v>24969.3</v>
      </c>
      <c r="AB100" s="8">
        <v>168748</v>
      </c>
      <c r="AC100" s="12">
        <v>2736679.2</v>
      </c>
      <c r="AD100" s="12">
        <f>AC100*1000/L100</f>
        <v>3602.5195581690159</v>
      </c>
    </row>
    <row r="101" spans="2:30">
      <c r="B101" s="47" t="s">
        <v>125</v>
      </c>
      <c r="C101" s="87"/>
      <c r="D101" s="13"/>
      <c r="E101" s="13"/>
      <c r="F101" s="14">
        <f>I100/L100/1.95</f>
        <v>0.46369105246993558</v>
      </c>
      <c r="G101" s="14">
        <f>J100/L100/0.35</f>
        <v>0.83195442153498234</v>
      </c>
      <c r="H101" s="14">
        <f>K100/L100/0.075</f>
        <v>9.1269261434217458E-2</v>
      </c>
      <c r="I101" s="15"/>
      <c r="J101" s="15"/>
      <c r="K101" s="15"/>
      <c r="L101" s="15"/>
      <c r="M101" s="15"/>
      <c r="N101" s="13"/>
      <c r="O101" s="14">
        <f>O100/L100</f>
        <v>0.33652424712732193</v>
      </c>
      <c r="P101" s="14">
        <f>P100/M100</f>
        <v>0.30077908037768786</v>
      </c>
      <c r="Q101" s="13"/>
      <c r="R101" s="13"/>
      <c r="S101" s="14">
        <f>S100/R100</f>
        <v>0.38283737024221454</v>
      </c>
      <c r="T101" s="16"/>
      <c r="U101" s="16"/>
      <c r="V101" s="13">
        <f>0.19*L100</f>
        <v>144334.82999999999</v>
      </c>
      <c r="W101" s="13"/>
      <c r="X101" s="13"/>
      <c r="Y101" s="13">
        <v>33869</v>
      </c>
      <c r="Z101" s="17"/>
      <c r="AA101" s="18"/>
      <c r="AB101" s="13"/>
      <c r="AC101" s="18"/>
      <c r="AD101" s="18"/>
    </row>
    <row r="102" spans="2:30">
      <c r="B102" s="47" t="s">
        <v>125</v>
      </c>
      <c r="C102" s="86" t="s">
        <v>49</v>
      </c>
      <c r="D102" s="8">
        <v>10226</v>
      </c>
      <c r="E102" s="8">
        <v>45</v>
      </c>
      <c r="F102" s="8">
        <v>5053</v>
      </c>
      <c r="G102" s="8">
        <v>1977</v>
      </c>
      <c r="H102" s="8">
        <v>167</v>
      </c>
      <c r="I102" s="9">
        <f t="shared" si="6"/>
        <v>2728620</v>
      </c>
      <c r="J102" s="9">
        <f>G102*400</f>
        <v>790800</v>
      </c>
      <c r="K102" s="9">
        <f>H102*200</f>
        <v>33400</v>
      </c>
      <c r="L102" s="57">
        <v>3553813</v>
      </c>
      <c r="M102" s="57">
        <v>1890971</v>
      </c>
      <c r="N102" s="8">
        <v>9243</v>
      </c>
      <c r="O102" s="56">
        <v>1329551</v>
      </c>
      <c r="P102" s="56">
        <v>547904</v>
      </c>
      <c r="Q102" s="8">
        <f>12732+287+311+10085+56230</f>
        <v>79645</v>
      </c>
      <c r="R102" s="8">
        <v>26131</v>
      </c>
      <c r="S102" s="8">
        <v>21155</v>
      </c>
      <c r="T102" s="10">
        <f>Y102+Y103</f>
        <v>6533</v>
      </c>
      <c r="U102" s="11">
        <f>V102/V103</f>
        <v>0.36326142030960462</v>
      </c>
      <c r="V102" s="56">
        <v>245283</v>
      </c>
      <c r="W102" s="8">
        <v>422174</v>
      </c>
      <c r="X102" s="8">
        <v>113741</v>
      </c>
      <c r="Y102" s="8">
        <v>86</v>
      </c>
      <c r="Z102" s="11">
        <f>AA102/AC102</f>
        <v>8.5302282327737275E-2</v>
      </c>
      <c r="AA102" s="12">
        <f>477881.7</f>
        <v>477881.7</v>
      </c>
      <c r="AB102" s="8">
        <v>451268</v>
      </c>
      <c r="AC102" s="12">
        <f>5602214.7</f>
        <v>5602214.7000000002</v>
      </c>
      <c r="AD102" s="12">
        <f>AC102*1000/L102</f>
        <v>1576.3954659403857</v>
      </c>
    </row>
    <row r="103" spans="2:30">
      <c r="B103" s="47" t="s">
        <v>125</v>
      </c>
      <c r="C103" s="87"/>
      <c r="D103" s="13"/>
      <c r="E103" s="13"/>
      <c r="F103" s="14">
        <f>I102/L102/1.95</f>
        <v>0.39374393297911503</v>
      </c>
      <c r="G103" s="14">
        <f>J102/L102/0.35</f>
        <v>0.63577587549726777</v>
      </c>
      <c r="H103" s="14">
        <f>K102/L102/0.075</f>
        <v>0.12531141434097218</v>
      </c>
      <c r="I103" s="15"/>
      <c r="J103" s="15"/>
      <c r="K103" s="15"/>
      <c r="L103" s="15"/>
      <c r="M103" s="15"/>
      <c r="N103" s="13"/>
      <c r="O103" s="14">
        <f>O102/L102</f>
        <v>0.37411957241419286</v>
      </c>
      <c r="P103" s="14">
        <f>P102/M102</f>
        <v>0.28974743663440633</v>
      </c>
      <c r="Q103" s="13"/>
      <c r="R103" s="13"/>
      <c r="S103" s="14">
        <f>S102/R102</f>
        <v>0.80957483448777312</v>
      </c>
      <c r="T103" s="16"/>
      <c r="U103" s="16"/>
      <c r="V103" s="13">
        <f>0.19*L102</f>
        <v>675224.47</v>
      </c>
      <c r="W103" s="13"/>
      <c r="X103" s="13"/>
      <c r="Y103" s="13">
        <v>6447</v>
      </c>
      <c r="Z103" s="17"/>
      <c r="AA103" s="18"/>
      <c r="AB103" s="13"/>
      <c r="AC103" s="18"/>
      <c r="AD103" s="18"/>
    </row>
    <row r="104" spans="2:30">
      <c r="B104" s="47" t="s">
        <v>125</v>
      </c>
      <c r="C104" s="86" t="s">
        <v>50</v>
      </c>
      <c r="D104" s="8">
        <v>3080</v>
      </c>
      <c r="E104" s="8">
        <v>31</v>
      </c>
      <c r="F104" s="8">
        <v>1337</v>
      </c>
      <c r="G104" s="8">
        <v>832</v>
      </c>
      <c r="H104" s="8">
        <v>66</v>
      </c>
      <c r="I104" s="9">
        <f t="shared" si="6"/>
        <v>721980</v>
      </c>
      <c r="J104" s="9">
        <f>G104*400</f>
        <v>332800</v>
      </c>
      <c r="K104" s="9">
        <f>H104*200</f>
        <v>13200</v>
      </c>
      <c r="L104" s="57">
        <v>1409858</v>
      </c>
      <c r="M104" s="57">
        <v>753937</v>
      </c>
      <c r="N104" s="8">
        <v>3450</v>
      </c>
      <c r="O104" s="56">
        <v>436429</v>
      </c>
      <c r="P104" s="56">
        <v>187058</v>
      </c>
      <c r="Q104" s="8">
        <f>1446</f>
        <v>1446</v>
      </c>
      <c r="R104" s="8">
        <v>8515</v>
      </c>
      <c r="S104" s="8">
        <v>4437</v>
      </c>
      <c r="T104" s="10">
        <f>Y104+Y105</f>
        <v>22092</v>
      </c>
      <c r="U104" s="11">
        <f>V104/V105</f>
        <v>0.31890856346786994</v>
      </c>
      <c r="V104" s="56">
        <v>85427</v>
      </c>
      <c r="W104" s="8">
        <v>47583</v>
      </c>
      <c r="X104" s="8">
        <v>64509</v>
      </c>
      <c r="Y104" s="8">
        <v>50</v>
      </c>
      <c r="Z104" s="11">
        <f>AA104/AC104</f>
        <v>0.12781914884498949</v>
      </c>
      <c r="AA104" s="12">
        <f>402651</f>
        <v>402651</v>
      </c>
      <c r="AB104" s="8">
        <v>204390</v>
      </c>
      <c r="AC104" s="12">
        <f>3150161.8</f>
        <v>3150161.8</v>
      </c>
      <c r="AD104" s="12">
        <f>AC104*1000/L104</f>
        <v>2234.3823278656432</v>
      </c>
    </row>
    <row r="105" spans="2:30">
      <c r="B105" s="47" t="s">
        <v>125</v>
      </c>
      <c r="C105" s="87"/>
      <c r="D105" s="13"/>
      <c r="E105" s="13"/>
      <c r="F105" s="14">
        <f>I104/L104/1.95</f>
        <v>0.26261237220071376</v>
      </c>
      <c r="G105" s="14">
        <f>J104/L104/0.35</f>
        <v>0.67443468977524179</v>
      </c>
      <c r="H105" s="14">
        <f>K104/L104/0.075</f>
        <v>0.1248352670978212</v>
      </c>
      <c r="I105" s="15"/>
      <c r="J105" s="15"/>
      <c r="K105" s="15"/>
      <c r="L105" s="15"/>
      <c r="M105" s="15"/>
      <c r="N105" s="13"/>
      <c r="O105" s="14">
        <f>O104/L104</f>
        <v>0.30955528854678982</v>
      </c>
      <c r="P105" s="14">
        <f>P104/M104</f>
        <v>0.24810826368781477</v>
      </c>
      <c r="Q105" s="13"/>
      <c r="R105" s="13"/>
      <c r="S105" s="14">
        <f>S104/R104</f>
        <v>0.52108044627128591</v>
      </c>
      <c r="T105" s="16"/>
      <c r="U105" s="16"/>
      <c r="V105" s="13">
        <f>0.19*L104</f>
        <v>267873.02</v>
      </c>
      <c r="W105" s="13"/>
      <c r="X105" s="13"/>
      <c r="Y105" s="13">
        <v>22042</v>
      </c>
      <c r="Z105" s="17"/>
      <c r="AA105" s="18"/>
      <c r="AB105" s="13"/>
      <c r="AC105" s="18"/>
      <c r="AD105" s="18"/>
    </row>
    <row r="106" spans="2:30">
      <c r="B106" s="47" t="s">
        <v>125</v>
      </c>
      <c r="C106" s="86" t="s">
        <v>51</v>
      </c>
      <c r="D106" s="8">
        <v>3876</v>
      </c>
      <c r="E106" s="8">
        <v>11</v>
      </c>
      <c r="F106" s="8">
        <v>2245</v>
      </c>
      <c r="G106" s="8">
        <v>736</v>
      </c>
      <c r="H106" s="8">
        <v>67</v>
      </c>
      <c r="I106" s="9">
        <f t="shared" si="6"/>
        <v>1212300</v>
      </c>
      <c r="J106" s="9">
        <f>G106*400</f>
        <v>294400</v>
      </c>
      <c r="K106" s="9">
        <f>H106*200</f>
        <v>13400</v>
      </c>
      <c r="L106" s="57">
        <v>1149905</v>
      </c>
      <c r="M106" s="57">
        <v>607017</v>
      </c>
      <c r="N106" s="8">
        <v>2372</v>
      </c>
      <c r="O106" s="56">
        <v>430528</v>
      </c>
      <c r="P106" s="56">
        <v>220759</v>
      </c>
      <c r="Q106" s="8">
        <f>3415+561+5680+13222+90157</f>
        <v>113035</v>
      </c>
      <c r="R106" s="8">
        <v>5959</v>
      </c>
      <c r="S106" s="8">
        <v>5924</v>
      </c>
      <c r="T106" s="10">
        <f>Y106+Y107</f>
        <v>75005</v>
      </c>
      <c r="U106" s="11">
        <f>V106/V107</f>
        <v>0.45388188818344027</v>
      </c>
      <c r="V106" s="56">
        <v>99165</v>
      </c>
      <c r="W106" s="8">
        <v>107614</v>
      </c>
      <c r="X106" s="8">
        <v>37048</v>
      </c>
      <c r="Y106" s="8">
        <v>29</v>
      </c>
      <c r="Z106" s="11">
        <f>AA106/AC106</f>
        <v>0.10973362870941179</v>
      </c>
      <c r="AA106" s="12">
        <f>221189</f>
        <v>221189</v>
      </c>
      <c r="AB106" s="8">
        <v>300121</v>
      </c>
      <c r="AC106" s="12">
        <f>2015690.2</f>
        <v>2015690.2</v>
      </c>
      <c r="AD106" s="12">
        <f>AC106*1000/L106</f>
        <v>1752.9188932998813</v>
      </c>
    </row>
    <row r="107" spans="2:30">
      <c r="B107" s="47" t="s">
        <v>125</v>
      </c>
      <c r="C107" s="87"/>
      <c r="D107" s="13"/>
      <c r="E107" s="13"/>
      <c r="F107" s="14">
        <f>I106/L106/1.95</f>
        <v>0.54064666880508183</v>
      </c>
      <c r="G107" s="14">
        <f>J106/L106/0.35</f>
        <v>0.73148899878064477</v>
      </c>
      <c r="H107" s="14">
        <f>K106/L106/0.075</f>
        <v>0.15537515417940323</v>
      </c>
      <c r="I107" s="15"/>
      <c r="J107" s="15"/>
      <c r="K107" s="15"/>
      <c r="L107" s="15"/>
      <c r="M107" s="15"/>
      <c r="N107" s="13"/>
      <c r="O107" s="14">
        <f>O106/L106</f>
        <v>0.37440310286501927</v>
      </c>
      <c r="P107" s="14">
        <f>P106/M106</f>
        <v>0.36367844722635445</v>
      </c>
      <c r="Q107" s="13"/>
      <c r="R107" s="13"/>
      <c r="S107" s="14">
        <f>S106/R106</f>
        <v>0.99412653129719752</v>
      </c>
      <c r="T107" s="16"/>
      <c r="U107" s="16"/>
      <c r="V107" s="13">
        <f>0.19*L106</f>
        <v>218481.95</v>
      </c>
      <c r="W107" s="13"/>
      <c r="X107" s="13"/>
      <c r="Y107" s="13">
        <v>74976</v>
      </c>
      <c r="Z107" s="17"/>
      <c r="AA107" s="18"/>
      <c r="AB107" s="13"/>
      <c r="AC107" s="18"/>
      <c r="AD107" s="18"/>
    </row>
    <row r="108" spans="2:30">
      <c r="B108" s="47" t="s">
        <v>125</v>
      </c>
      <c r="C108" s="86" t="s">
        <v>52</v>
      </c>
      <c r="D108" s="8">
        <v>4777</v>
      </c>
      <c r="E108" s="8">
        <v>29</v>
      </c>
      <c r="F108" s="8">
        <v>2184</v>
      </c>
      <c r="G108" s="8">
        <v>1459</v>
      </c>
      <c r="H108" s="8">
        <v>65</v>
      </c>
      <c r="I108" s="9">
        <f t="shared" si="6"/>
        <v>1179360</v>
      </c>
      <c r="J108" s="9">
        <f>G108*400</f>
        <v>583600</v>
      </c>
      <c r="K108" s="9">
        <f>H108*200</f>
        <v>13000</v>
      </c>
      <c r="L108" s="57">
        <v>2446939</v>
      </c>
      <c r="M108" s="57">
        <v>1310065</v>
      </c>
      <c r="N108" s="8">
        <v>6150</v>
      </c>
      <c r="O108" s="56">
        <v>537868</v>
      </c>
      <c r="P108" s="56">
        <v>217469</v>
      </c>
      <c r="Q108" s="8">
        <f>7540+808+8459+1331+21171</f>
        <v>39309</v>
      </c>
      <c r="R108" s="8">
        <v>16030</v>
      </c>
      <c r="S108" s="8">
        <v>12147</v>
      </c>
      <c r="T108" s="10">
        <f>Y108+Y109</f>
        <v>11712</v>
      </c>
      <c r="U108" s="11">
        <f>V108/V109</f>
        <v>0.27370393871905391</v>
      </c>
      <c r="V108" s="56">
        <v>127250</v>
      </c>
      <c r="W108" s="8">
        <v>69268</v>
      </c>
      <c r="X108" s="8">
        <v>81706</v>
      </c>
      <c r="Y108" s="8">
        <v>60</v>
      </c>
      <c r="Z108" s="11">
        <f>AA108/AC108</f>
        <v>0.27209839932809943</v>
      </c>
      <c r="AA108" s="12">
        <f>1454743.1</f>
        <v>1454743.1</v>
      </c>
      <c r="AB108" s="8">
        <v>359449</v>
      </c>
      <c r="AC108" s="12">
        <f>5346386.1</f>
        <v>5346386.0999999996</v>
      </c>
      <c r="AD108" s="12">
        <f>AC108*1000/L108</f>
        <v>2184.9282307405292</v>
      </c>
    </row>
    <row r="109" spans="2:30">
      <c r="B109" s="47" t="s">
        <v>125</v>
      </c>
      <c r="C109" s="87"/>
      <c r="D109" s="13"/>
      <c r="E109" s="13"/>
      <c r="F109" s="14">
        <f>I108/L108/1.95</f>
        <v>0.24716594896726071</v>
      </c>
      <c r="G109" s="14">
        <f>J108/L108/0.35</f>
        <v>0.68143446625705484</v>
      </c>
      <c r="H109" s="14">
        <f>K108/L108/0.075</f>
        <v>7.0836801952698189E-2</v>
      </c>
      <c r="I109" s="15"/>
      <c r="J109" s="15"/>
      <c r="K109" s="15"/>
      <c r="L109" s="15"/>
      <c r="M109" s="15"/>
      <c r="N109" s="13"/>
      <c r="O109" s="14">
        <f>O108/L108</f>
        <v>0.21981259034246461</v>
      </c>
      <c r="P109" s="14">
        <f>P108/M108</f>
        <v>0.16599863365558198</v>
      </c>
      <c r="Q109" s="13"/>
      <c r="R109" s="13"/>
      <c r="S109" s="14">
        <f>S108/R108</f>
        <v>0.75776668746101061</v>
      </c>
      <c r="T109" s="16"/>
      <c r="U109" s="16"/>
      <c r="V109" s="13">
        <f>0.19*L108</f>
        <v>464918.41000000003</v>
      </c>
      <c r="W109" s="13"/>
      <c r="X109" s="13"/>
      <c r="Y109" s="13">
        <v>11652</v>
      </c>
      <c r="Z109" s="17"/>
      <c r="AA109" s="18"/>
      <c r="AB109" s="13"/>
      <c r="AC109" s="18"/>
      <c r="AD109" s="18"/>
    </row>
    <row r="110" spans="2:30">
      <c r="B110" s="47" t="s">
        <v>125</v>
      </c>
      <c r="C110" s="86" t="s">
        <v>53</v>
      </c>
      <c r="D110" s="8">
        <v>2695</v>
      </c>
      <c r="E110" s="8">
        <v>28</v>
      </c>
      <c r="F110" s="8">
        <v>1087</v>
      </c>
      <c r="G110" s="8">
        <v>858</v>
      </c>
      <c r="H110" s="8">
        <v>27</v>
      </c>
      <c r="I110" s="9">
        <f t="shared" si="6"/>
        <v>586980</v>
      </c>
      <c r="J110" s="9">
        <f>G110*400</f>
        <v>343200</v>
      </c>
      <c r="K110" s="9">
        <f>H110*200</f>
        <v>5400</v>
      </c>
      <c r="L110" s="57">
        <v>1211758</v>
      </c>
      <c r="M110" s="57">
        <v>644138</v>
      </c>
      <c r="N110" s="8">
        <v>2811</v>
      </c>
      <c r="O110" s="56">
        <v>331458</v>
      </c>
      <c r="P110" s="56">
        <v>119393</v>
      </c>
      <c r="Q110" s="8">
        <f>77+250+7423+20413+18525</f>
        <v>46688</v>
      </c>
      <c r="R110" s="8">
        <v>4223</v>
      </c>
      <c r="S110" s="8">
        <v>2975</v>
      </c>
      <c r="T110" s="10">
        <f>Y110+Y111</f>
        <v>14140</v>
      </c>
      <c r="U110" s="11">
        <f>V110/V111</f>
        <v>0.28993108837694798</v>
      </c>
      <c r="V110" s="56">
        <v>66752</v>
      </c>
      <c r="W110" s="8">
        <v>121786</v>
      </c>
      <c r="X110" s="8">
        <v>40900</v>
      </c>
      <c r="Y110" s="8">
        <v>44</v>
      </c>
      <c r="Z110" s="11">
        <f>AA110/AC110</f>
        <v>0.14413029178575965</v>
      </c>
      <c r="AA110" s="12">
        <f>245495.8</f>
        <v>245495.8</v>
      </c>
      <c r="AB110" s="8">
        <v>195612</v>
      </c>
      <c r="AC110" s="12">
        <f>1703290.8</f>
        <v>1703290.8</v>
      </c>
      <c r="AD110" s="12">
        <f>AC110*1000/L110</f>
        <v>1405.6361088600199</v>
      </c>
    </row>
    <row r="111" spans="2:30">
      <c r="B111" s="47" t="s">
        <v>125</v>
      </c>
      <c r="C111" s="87"/>
      <c r="D111" s="13"/>
      <c r="E111" s="13"/>
      <c r="F111" s="14">
        <f>I110/L110/1.95</f>
        <v>0.24841212900214779</v>
      </c>
      <c r="G111" s="14">
        <f>J110/L110/0.35</f>
        <v>0.80921390951941607</v>
      </c>
      <c r="H111" s="14">
        <f>K110/L110/0.075</f>
        <v>5.9417804545131951E-2</v>
      </c>
      <c r="I111" s="15"/>
      <c r="J111" s="15"/>
      <c r="K111" s="15"/>
      <c r="L111" s="15"/>
      <c r="M111" s="15"/>
      <c r="N111" s="13"/>
      <c r="O111" s="14">
        <f>O110/L110</f>
        <v>0.27353481470722701</v>
      </c>
      <c r="P111" s="14">
        <f>P110/M110</f>
        <v>0.18535313861315433</v>
      </c>
      <c r="Q111" s="13"/>
      <c r="R111" s="13"/>
      <c r="S111" s="14">
        <f>S110/R110</f>
        <v>0.70447549135685528</v>
      </c>
      <c r="T111" s="16"/>
      <c r="U111" s="16"/>
      <c r="V111" s="13">
        <f>0.19*L110</f>
        <v>230234.02</v>
      </c>
      <c r="W111" s="13"/>
      <c r="X111" s="13"/>
      <c r="Y111" s="13">
        <v>14096</v>
      </c>
      <c r="Z111" s="17"/>
      <c r="AA111" s="18"/>
      <c r="AB111" s="13"/>
      <c r="AC111" s="18"/>
      <c r="AD111" s="18"/>
    </row>
    <row r="112" spans="2:30">
      <c r="B112" s="47" t="s">
        <v>125</v>
      </c>
      <c r="C112" s="86" t="s">
        <v>54</v>
      </c>
      <c r="D112" s="8">
        <v>5836</v>
      </c>
      <c r="E112" s="8">
        <v>53</v>
      </c>
      <c r="F112" s="8">
        <v>2790</v>
      </c>
      <c r="G112" s="8">
        <v>1676</v>
      </c>
      <c r="H112" s="8">
        <v>154</v>
      </c>
      <c r="I112" s="9">
        <f t="shared" si="6"/>
        <v>1506600</v>
      </c>
      <c r="J112" s="9">
        <f>G112*400</f>
        <v>670400</v>
      </c>
      <c r="K112" s="9">
        <f>H112*200</f>
        <v>30800</v>
      </c>
      <c r="L112" s="57">
        <v>3047169</v>
      </c>
      <c r="M112" s="57">
        <v>1643826</v>
      </c>
      <c r="N112" s="8">
        <v>7221</v>
      </c>
      <c r="O112" s="56">
        <v>956909</v>
      </c>
      <c r="P112" s="56">
        <v>350816</v>
      </c>
      <c r="Q112" s="8">
        <f>535+1006+167+4498+23075</f>
        <v>29281</v>
      </c>
      <c r="R112" s="8">
        <v>15182</v>
      </c>
      <c r="S112" s="8">
        <v>9293</v>
      </c>
      <c r="T112" s="10">
        <f>Y112+Y113</f>
        <v>20711</v>
      </c>
      <c r="U112" s="11">
        <f>V112/V113</f>
        <v>0.24576046954091693</v>
      </c>
      <c r="V112" s="56">
        <v>142286</v>
      </c>
      <c r="W112" s="8">
        <v>124346</v>
      </c>
      <c r="X112" s="8">
        <v>77291</v>
      </c>
      <c r="Y112" s="8">
        <v>143</v>
      </c>
      <c r="Z112" s="11">
        <f>AA112/AC112</f>
        <v>0.19169092092592513</v>
      </c>
      <c r="AA112" s="12">
        <f>1391286.8</f>
        <v>1391286.8</v>
      </c>
      <c r="AB112" s="8">
        <v>453486</v>
      </c>
      <c r="AC112" s="12">
        <f>7257969.2</f>
        <v>7257969.2000000002</v>
      </c>
      <c r="AD112" s="12">
        <f>AC112*1000/L112</f>
        <v>2381.8728793841101</v>
      </c>
    </row>
    <row r="113" spans="1:30">
      <c r="B113" s="47" t="s">
        <v>125</v>
      </c>
      <c r="C113" s="87"/>
      <c r="D113" s="13"/>
      <c r="E113" s="13"/>
      <c r="F113" s="14">
        <f>I112/L112/1.95</f>
        <v>0.25355186555631953</v>
      </c>
      <c r="G113" s="14">
        <f>J112/L112/0.35</f>
        <v>0.62859282548115047</v>
      </c>
      <c r="H113" s="14">
        <f>K112/L112/0.075</f>
        <v>0.13476990172408118</v>
      </c>
      <c r="I113" s="15"/>
      <c r="J113" s="15"/>
      <c r="K113" s="15"/>
      <c r="L113" s="15"/>
      <c r="M113" s="15"/>
      <c r="N113" s="13"/>
      <c r="O113" s="14">
        <f>O112/L112</f>
        <v>0.3140321393398266</v>
      </c>
      <c r="P113" s="14">
        <f>P112/M112</f>
        <v>0.21341431514041023</v>
      </c>
      <c r="Q113" s="13"/>
      <c r="R113" s="13"/>
      <c r="S113" s="14">
        <f>S112/R112</f>
        <v>0.61210644183901985</v>
      </c>
      <c r="T113" s="16"/>
      <c r="U113" s="16"/>
      <c r="V113" s="13">
        <f>0.19*L112</f>
        <v>578962.11</v>
      </c>
      <c r="W113" s="13"/>
      <c r="X113" s="13"/>
      <c r="Y113" s="13">
        <v>20568</v>
      </c>
      <c r="Z113" s="17"/>
      <c r="AA113" s="18"/>
      <c r="AB113" s="13"/>
      <c r="AC113" s="18"/>
      <c r="AD113" s="18"/>
    </row>
    <row r="114" spans="1:30">
      <c r="B114" s="47" t="s">
        <v>125</v>
      </c>
      <c r="C114" s="86" t="s">
        <v>55</v>
      </c>
      <c r="D114" s="8">
        <v>4693</v>
      </c>
      <c r="E114" s="8">
        <v>34</v>
      </c>
      <c r="F114" s="8">
        <v>2519</v>
      </c>
      <c r="G114" s="8">
        <v>1183</v>
      </c>
      <c r="H114" s="8">
        <v>59</v>
      </c>
      <c r="I114" s="9">
        <f t="shared" si="6"/>
        <v>1360260</v>
      </c>
      <c r="J114" s="9">
        <f>G114*400</f>
        <v>473200</v>
      </c>
      <c r="K114" s="9">
        <f>H114*200</f>
        <v>11800</v>
      </c>
      <c r="L114" s="57">
        <v>1865108</v>
      </c>
      <c r="M114" s="57">
        <v>766719</v>
      </c>
      <c r="N114" s="8">
        <v>4186</v>
      </c>
      <c r="O114" s="56">
        <v>584108</v>
      </c>
      <c r="P114" s="56">
        <v>189069</v>
      </c>
      <c r="Q114" s="8">
        <f>17213+37+1874+699+29509</f>
        <v>49332</v>
      </c>
      <c r="R114" s="8">
        <v>10262</v>
      </c>
      <c r="S114" s="8">
        <v>5761</v>
      </c>
      <c r="T114" s="10">
        <f>Y114+Y115</f>
        <v>32727</v>
      </c>
      <c r="U114" s="11">
        <f>V114/V115</f>
        <v>0.34750633320175728</v>
      </c>
      <c r="V114" s="56">
        <v>123146</v>
      </c>
      <c r="W114" s="8">
        <v>209509</v>
      </c>
      <c r="X114" s="8">
        <v>84977</v>
      </c>
      <c r="Y114" s="8">
        <v>35</v>
      </c>
      <c r="Z114" s="11">
        <f>AA114/AC114</f>
        <v>0.23760532235344597</v>
      </c>
      <c r="AA114" s="12">
        <f>974333.2</f>
        <v>974333.2</v>
      </c>
      <c r="AB114" s="8">
        <v>410120</v>
      </c>
      <c r="AC114" s="12">
        <f>4100637.1</f>
        <v>4100637.1</v>
      </c>
      <c r="AD114" s="12">
        <f>AC114*1000/L114</f>
        <v>2198.6057107684919</v>
      </c>
    </row>
    <row r="115" spans="1:30">
      <c r="B115" s="47" t="s">
        <v>125</v>
      </c>
      <c r="C115" s="87"/>
      <c r="D115" s="13"/>
      <c r="E115" s="13"/>
      <c r="F115" s="14">
        <f>I114/L114/1.95</f>
        <v>0.37401010063182977</v>
      </c>
      <c r="G115" s="14">
        <f>J114/L114/0.35</f>
        <v>0.72489099826926917</v>
      </c>
      <c r="H115" s="14">
        <f>K114/L114/0.075</f>
        <v>8.4356151672360713E-2</v>
      </c>
      <c r="I115" s="15"/>
      <c r="J115" s="15"/>
      <c r="K115" s="15"/>
      <c r="L115" s="15"/>
      <c r="M115" s="15"/>
      <c r="N115" s="13"/>
      <c r="O115" s="14">
        <f>O114/L114</f>
        <v>0.31317650237948685</v>
      </c>
      <c r="P115" s="14">
        <f>P114/M114</f>
        <v>0.24659490634769712</v>
      </c>
      <c r="Q115" s="13"/>
      <c r="R115" s="13"/>
      <c r="S115" s="14">
        <f>S114/R114</f>
        <v>0.56139154160982263</v>
      </c>
      <c r="T115" s="16"/>
      <c r="U115" s="16"/>
      <c r="V115" s="13">
        <f>0.19*L114</f>
        <v>354370.52</v>
      </c>
      <c r="W115" s="13"/>
      <c r="X115" s="13"/>
      <c r="Y115" s="13">
        <v>32692</v>
      </c>
      <c r="Z115" s="17"/>
      <c r="AA115" s="18"/>
      <c r="AB115" s="13"/>
      <c r="AC115" s="18"/>
      <c r="AD115" s="18"/>
    </row>
    <row r="116" spans="1:30">
      <c r="B116" s="47" t="s">
        <v>125</v>
      </c>
      <c r="C116" s="86" t="s">
        <v>56</v>
      </c>
      <c r="D116" s="8">
        <v>3779</v>
      </c>
      <c r="E116" s="8">
        <v>26</v>
      </c>
      <c r="F116" s="8">
        <v>2227</v>
      </c>
      <c r="G116" s="8">
        <v>857</v>
      </c>
      <c r="H116" s="8">
        <v>70</v>
      </c>
      <c r="I116" s="9">
        <f t="shared" si="6"/>
        <v>1202580</v>
      </c>
      <c r="J116" s="9">
        <f>G116*400</f>
        <v>342800</v>
      </c>
      <c r="K116" s="9">
        <f>H116*200</f>
        <v>14000</v>
      </c>
      <c r="L116" s="57">
        <v>1268375</v>
      </c>
      <c r="M116" s="57">
        <v>680255</v>
      </c>
      <c r="N116" s="8">
        <v>3241</v>
      </c>
      <c r="O116" s="56">
        <v>474160</v>
      </c>
      <c r="P116" s="56">
        <v>192189</v>
      </c>
      <c r="Q116" s="8">
        <f>11672+823+132+4201+35985</f>
        <v>52813</v>
      </c>
      <c r="R116" s="8">
        <v>5965</v>
      </c>
      <c r="S116" s="8">
        <v>5158</v>
      </c>
      <c r="T116" s="10">
        <f>Y116+Y117</f>
        <v>26365</v>
      </c>
      <c r="U116" s="11">
        <f>V116/V117</f>
        <v>0.41803592454082877</v>
      </c>
      <c r="V116" s="56">
        <v>100743</v>
      </c>
      <c r="W116" s="8">
        <v>126365</v>
      </c>
      <c r="X116" s="8">
        <v>44187</v>
      </c>
      <c r="Y116" s="8">
        <v>32</v>
      </c>
      <c r="Z116" s="11">
        <f>AA116/AC116</f>
        <v>8.6673869315423105E-2</v>
      </c>
      <c r="AA116" s="12">
        <f>184314.8</f>
        <v>184314.8</v>
      </c>
      <c r="AB116" s="8">
        <v>285077</v>
      </c>
      <c r="AC116" s="12">
        <f>2126532.5</f>
        <v>2126532.5</v>
      </c>
      <c r="AD116" s="12">
        <f>AC116*1000/L116</f>
        <v>1676.580270030551</v>
      </c>
    </row>
    <row r="117" spans="1:30">
      <c r="B117" s="47" t="s">
        <v>125</v>
      </c>
      <c r="C117" s="87"/>
      <c r="D117" s="13"/>
      <c r="E117" s="13"/>
      <c r="F117" s="14">
        <f>I116/L116/1.95</f>
        <v>0.48621873839179447</v>
      </c>
      <c r="G117" s="14">
        <f>J116/L116/0.35</f>
        <v>0.77219164003435226</v>
      </c>
      <c r="H117" s="14">
        <f>K116/L116/0.075</f>
        <v>0.147169935284649</v>
      </c>
      <c r="I117" s="15"/>
      <c r="J117" s="15"/>
      <c r="K117" s="15"/>
      <c r="L117" s="15"/>
      <c r="M117" s="15"/>
      <c r="N117" s="13"/>
      <c r="O117" s="14">
        <f>O116/L116</f>
        <v>0.37383265989947767</v>
      </c>
      <c r="P117" s="14">
        <f>P116/M116</f>
        <v>0.28252493550212787</v>
      </c>
      <c r="Q117" s="13"/>
      <c r="R117" s="13"/>
      <c r="S117" s="14">
        <f>S116/R116</f>
        <v>0.86471081307627828</v>
      </c>
      <c r="T117" s="16"/>
      <c r="U117" s="16"/>
      <c r="V117" s="13">
        <f>0.19*L116</f>
        <v>240991.25</v>
      </c>
      <c r="W117" s="13"/>
      <c r="X117" s="13"/>
      <c r="Y117" s="13">
        <v>26333</v>
      </c>
      <c r="Z117" s="17"/>
      <c r="AA117" s="18"/>
      <c r="AB117" s="13"/>
      <c r="AC117" s="18"/>
      <c r="AD117" s="18"/>
    </row>
    <row r="118" spans="1:30">
      <c r="B118" s="47" t="s">
        <v>125</v>
      </c>
      <c r="C118" s="86" t="s">
        <v>57</v>
      </c>
      <c r="D118" s="8">
        <v>4484</v>
      </c>
      <c r="E118" s="8">
        <v>41</v>
      </c>
      <c r="F118" s="8">
        <v>2253</v>
      </c>
      <c r="G118" s="8">
        <v>1446</v>
      </c>
      <c r="H118" s="8">
        <v>88</v>
      </c>
      <c r="I118" s="9">
        <f t="shared" si="6"/>
        <v>1216620</v>
      </c>
      <c r="J118" s="9">
        <f>G118*400</f>
        <v>578400</v>
      </c>
      <c r="K118" s="9">
        <f>H118*200</f>
        <v>17600</v>
      </c>
      <c r="L118" s="57">
        <v>2998651</v>
      </c>
      <c r="M118" s="57">
        <v>1612357</v>
      </c>
      <c r="N118" s="8">
        <v>7055</v>
      </c>
      <c r="O118" s="56">
        <v>808887</v>
      </c>
      <c r="P118" s="56">
        <v>329098</v>
      </c>
      <c r="Q118" s="8">
        <f>1981+53+750+15521+58387</f>
        <v>76692</v>
      </c>
      <c r="R118" s="8">
        <v>48609</v>
      </c>
      <c r="S118" s="8">
        <v>11535</v>
      </c>
      <c r="T118" s="10">
        <f>Y118+Y119</f>
        <v>8641</v>
      </c>
      <c r="U118" s="11">
        <f>V118/V119</f>
        <v>0.21692385921816876</v>
      </c>
      <c r="V118" s="56">
        <v>123591</v>
      </c>
      <c r="W118" s="8">
        <v>101312</v>
      </c>
      <c r="X118" s="8">
        <v>82486</v>
      </c>
      <c r="Y118" s="8">
        <v>70</v>
      </c>
      <c r="Z118" s="11">
        <f>AA118/AC118</f>
        <v>0.16826917335523364</v>
      </c>
      <c r="AA118" s="12">
        <f>1723256.4</f>
        <v>1723256.4</v>
      </c>
      <c r="AB118" s="8">
        <v>378852</v>
      </c>
      <c r="AC118" s="12">
        <v>10241070.1</v>
      </c>
      <c r="AD118" s="12">
        <f>AC118*1000/L118</f>
        <v>3415.2257465106809</v>
      </c>
    </row>
    <row r="119" spans="1:30">
      <c r="B119" s="47" t="s">
        <v>125</v>
      </c>
      <c r="C119" s="87"/>
      <c r="D119" s="13"/>
      <c r="E119" s="13"/>
      <c r="F119" s="14">
        <f>I118/L118/1.95</f>
        <v>0.20806278967031919</v>
      </c>
      <c r="G119" s="14">
        <f>J118/L118/0.35</f>
        <v>0.55110495638586443</v>
      </c>
      <c r="H119" s="14">
        <f>K118/L118/0.075</f>
        <v>7.8257411971805552E-2</v>
      </c>
      <c r="I119" s="15"/>
      <c r="J119" s="15"/>
      <c r="K119" s="15"/>
      <c r="L119" s="15"/>
      <c r="M119" s="15"/>
      <c r="N119" s="13"/>
      <c r="O119" s="14">
        <f>O118/L118</f>
        <v>0.26975029771720682</v>
      </c>
      <c r="P119" s="14">
        <f>P118/M118</f>
        <v>0.20410988385326576</v>
      </c>
      <c r="Q119" s="13"/>
      <c r="R119" s="13"/>
      <c r="S119" s="14">
        <f>S118/R118</f>
        <v>0.23730173424674442</v>
      </c>
      <c r="T119" s="16"/>
      <c r="U119" s="16"/>
      <c r="V119" s="13">
        <f>0.19*L118</f>
        <v>569743.69000000006</v>
      </c>
      <c r="W119" s="13"/>
      <c r="X119" s="13"/>
      <c r="Y119" s="13">
        <v>8571</v>
      </c>
      <c r="Z119" s="17"/>
      <c r="AA119" s="18"/>
      <c r="AB119" s="13"/>
      <c r="AC119" s="18"/>
      <c r="AD119" s="18"/>
    </row>
    <row r="120" spans="1:30">
      <c r="B120" s="47" t="s">
        <v>125</v>
      </c>
      <c r="C120" s="86" t="s">
        <v>58</v>
      </c>
      <c r="D120" s="8">
        <v>3486</v>
      </c>
      <c r="E120" s="8">
        <v>26</v>
      </c>
      <c r="F120" s="8">
        <v>1615</v>
      </c>
      <c r="G120" s="8">
        <v>1342</v>
      </c>
      <c r="H120" s="8">
        <v>62</v>
      </c>
      <c r="I120" s="9">
        <f t="shared" si="6"/>
        <v>872100</v>
      </c>
      <c r="J120" s="9">
        <f>G120*400</f>
        <v>536800</v>
      </c>
      <c r="K120" s="9">
        <f>H120*200</f>
        <v>12400</v>
      </c>
      <c r="L120" s="57">
        <v>2336099</v>
      </c>
      <c r="M120" s="57">
        <v>1256743</v>
      </c>
      <c r="N120" s="8">
        <v>5488</v>
      </c>
      <c r="O120" s="56">
        <v>656549</v>
      </c>
      <c r="P120" s="56">
        <v>256089</v>
      </c>
      <c r="Q120" s="8">
        <f>2693+2780+3599+22903</f>
        <v>31975</v>
      </c>
      <c r="R120" s="8">
        <v>20967</v>
      </c>
      <c r="S120" s="8">
        <v>15300</v>
      </c>
      <c r="T120" s="10">
        <f>Y120+Y121</f>
        <v>20271</v>
      </c>
      <c r="U120" s="11">
        <f>V120/V121</f>
        <v>0.24214456844959323</v>
      </c>
      <c r="V120" s="56">
        <v>107478</v>
      </c>
      <c r="W120" s="8">
        <v>150009</v>
      </c>
      <c r="X120" s="8">
        <v>64261</v>
      </c>
      <c r="Y120" s="8">
        <v>45</v>
      </c>
      <c r="Z120" s="11">
        <f>AA120/AC120</f>
        <v>0.67867319707631291</v>
      </c>
      <c r="AA120" s="12">
        <f>1660791.7</f>
        <v>1660791.7</v>
      </c>
      <c r="AB120" s="8">
        <v>360670</v>
      </c>
      <c r="AC120" s="12">
        <f>2447115.5</f>
        <v>2447115.5</v>
      </c>
      <c r="AD120" s="12">
        <f>AC120*1000/L120</f>
        <v>1047.5221726476489</v>
      </c>
    </row>
    <row r="121" spans="1:30">
      <c r="B121" s="47" t="s">
        <v>125</v>
      </c>
      <c r="C121" s="87"/>
      <c r="D121" s="13"/>
      <c r="E121" s="13"/>
      <c r="F121" s="14">
        <f>I120/L120/1.95</f>
        <v>0.19144341452599792</v>
      </c>
      <c r="G121" s="14">
        <f>J120/L120/0.35</f>
        <v>0.6565279492497047</v>
      </c>
      <c r="H121" s="14">
        <f>K120/L120/0.075</f>
        <v>7.0773256327464437E-2</v>
      </c>
      <c r="I121" s="15"/>
      <c r="J121" s="15"/>
      <c r="K121" s="15"/>
      <c r="L121" s="15"/>
      <c r="M121" s="15"/>
      <c r="N121" s="13"/>
      <c r="O121" s="14">
        <f>O120/L120</f>
        <v>0.28104502420488175</v>
      </c>
      <c r="P121" s="14">
        <f>P120/M120</f>
        <v>0.20377197247169868</v>
      </c>
      <c r="Q121" s="13"/>
      <c r="R121" s="13"/>
      <c r="S121" s="14">
        <f>S120/R120</f>
        <v>0.72971812848762341</v>
      </c>
      <c r="T121" s="16"/>
      <c r="U121" s="16"/>
      <c r="V121" s="13">
        <f>0.19*L120</f>
        <v>443858.81</v>
      </c>
      <c r="W121" s="13"/>
      <c r="X121" s="13"/>
      <c r="Y121" s="13">
        <v>20226</v>
      </c>
      <c r="Z121" s="17"/>
      <c r="AA121" s="18"/>
      <c r="AB121" s="13"/>
      <c r="AC121" s="18"/>
      <c r="AD121" s="18"/>
    </row>
    <row r="122" spans="1:30">
      <c r="B122" s="47" t="s">
        <v>125</v>
      </c>
      <c r="C122" s="86" t="s">
        <v>59</v>
      </c>
      <c r="D122" s="8">
        <v>2440</v>
      </c>
      <c r="E122" s="8">
        <v>14</v>
      </c>
      <c r="F122" s="8">
        <v>1273</v>
      </c>
      <c r="G122" s="8">
        <v>718</v>
      </c>
      <c r="H122" s="8">
        <v>38</v>
      </c>
      <c r="I122" s="9">
        <f t="shared" si="6"/>
        <v>687420</v>
      </c>
      <c r="J122" s="9">
        <f>G122*400</f>
        <v>287200</v>
      </c>
      <c r="K122" s="9">
        <f>H122*200</f>
        <v>7600</v>
      </c>
      <c r="L122" s="57">
        <v>1182405</v>
      </c>
      <c r="M122" s="57">
        <v>632375</v>
      </c>
      <c r="N122" s="8">
        <v>2352</v>
      </c>
      <c r="O122" s="56">
        <v>338107</v>
      </c>
      <c r="P122" s="56">
        <v>129568</v>
      </c>
      <c r="Q122" s="8">
        <f>2477+287+14474</f>
        <v>17238</v>
      </c>
      <c r="R122" s="8">
        <v>6887</v>
      </c>
      <c r="S122" s="8">
        <v>4810</v>
      </c>
      <c r="T122" s="10">
        <f>Y122+Y123</f>
        <v>20536</v>
      </c>
      <c r="U122" s="11">
        <f>V122/V123</f>
        <v>0.25431663698808338</v>
      </c>
      <c r="V122" s="56">
        <v>57134</v>
      </c>
      <c r="W122" s="8">
        <v>156742</v>
      </c>
      <c r="X122" s="8">
        <v>39304</v>
      </c>
      <c r="Y122" s="8">
        <v>32</v>
      </c>
      <c r="Z122" s="11">
        <f>AA122/AC122</f>
        <v>0.19658463777907251</v>
      </c>
      <c r="AA122" s="12">
        <f>464924.3</f>
        <v>464924.3</v>
      </c>
      <c r="AB122" s="8">
        <v>113022</v>
      </c>
      <c r="AC122" s="12">
        <f>2365008.3</f>
        <v>2365008.2999999998</v>
      </c>
      <c r="AD122" s="12">
        <f>AC122*1000/L122</f>
        <v>2000.1677090337066</v>
      </c>
    </row>
    <row r="123" spans="1:30">
      <c r="B123" s="47" t="s">
        <v>125</v>
      </c>
      <c r="C123" s="87"/>
      <c r="D123" s="13"/>
      <c r="E123" s="13"/>
      <c r="F123" s="14">
        <f>I122/L122/1.95</f>
        <v>0.29814071906248446</v>
      </c>
      <c r="G123" s="14">
        <f>J122/L122/0.35</f>
        <v>0.69398508004569381</v>
      </c>
      <c r="H123" s="14">
        <f>K122/L122/0.075</f>
        <v>8.5701035883080104E-2</v>
      </c>
      <c r="I123" s="15"/>
      <c r="J123" s="15"/>
      <c r="K123" s="15"/>
      <c r="L123" s="15"/>
      <c r="M123" s="15"/>
      <c r="N123" s="13"/>
      <c r="O123" s="14">
        <f>O122/L122</f>
        <v>0.28594855400645297</v>
      </c>
      <c r="P123" s="14">
        <f>P122/M122</f>
        <v>0.2048910851947025</v>
      </c>
      <c r="Q123" s="13"/>
      <c r="R123" s="13"/>
      <c r="S123" s="14">
        <f>S122/R122</f>
        <v>0.69841730797154056</v>
      </c>
      <c r="T123" s="16"/>
      <c r="U123" s="16"/>
      <c r="V123" s="13">
        <f>0.19*L122</f>
        <v>224656.95</v>
      </c>
      <c r="W123" s="13"/>
      <c r="X123" s="13"/>
      <c r="Y123" s="13">
        <v>20504</v>
      </c>
      <c r="Z123" s="17"/>
      <c r="AA123" s="18"/>
      <c r="AB123" s="13"/>
      <c r="AC123" s="18"/>
      <c r="AD123" s="18"/>
    </row>
    <row r="124" spans="1:30" s="20" customFormat="1">
      <c r="A124" s="49" t="s">
        <v>129</v>
      </c>
      <c r="B124" s="50" t="s">
        <v>125</v>
      </c>
      <c r="C124" s="88" t="s">
        <v>60</v>
      </c>
      <c r="D124" s="24">
        <f t="shared" ref="D124:T124" si="7">SUM(D122,D120,D118,D116,D114,D112,D110,D108,D106,D104,D102,D100,D98,D96)</f>
        <v>64169</v>
      </c>
      <c r="E124" s="24">
        <f t="shared" si="7"/>
        <v>380</v>
      </c>
      <c r="F124" s="24">
        <f t="shared" si="7"/>
        <v>33120</v>
      </c>
      <c r="G124" s="24">
        <f t="shared" si="7"/>
        <v>16520</v>
      </c>
      <c r="H124" s="24">
        <f t="shared" si="7"/>
        <v>1111</v>
      </c>
      <c r="I124" s="19">
        <f t="shared" si="7"/>
        <v>17884800</v>
      </c>
      <c r="J124" s="19">
        <f t="shared" si="7"/>
        <v>6608000</v>
      </c>
      <c r="K124" s="19">
        <f t="shared" si="7"/>
        <v>222200</v>
      </c>
      <c r="L124" s="19">
        <f t="shared" si="7"/>
        <v>27642618</v>
      </c>
      <c r="M124" s="19">
        <f t="shared" si="7"/>
        <v>14525250</v>
      </c>
      <c r="N124" s="24">
        <f t="shared" si="7"/>
        <v>65687</v>
      </c>
      <c r="O124" s="24">
        <f t="shared" si="7"/>
        <v>8471208</v>
      </c>
      <c r="P124" s="24">
        <f t="shared" si="7"/>
        <v>3353632</v>
      </c>
      <c r="Q124" s="24">
        <f t="shared" si="7"/>
        <v>597306</v>
      </c>
      <c r="R124" s="24">
        <f t="shared" si="7"/>
        <v>198612</v>
      </c>
      <c r="S124" s="24">
        <f t="shared" si="7"/>
        <v>116025</v>
      </c>
      <c r="T124" s="24">
        <f t="shared" si="7"/>
        <v>381060</v>
      </c>
      <c r="U124" s="21">
        <f>V124/V125</f>
        <v>0.32690768329274439</v>
      </c>
      <c r="V124" s="24">
        <f>SUM(V122,V120,V118,V116,V114,V112,V110,V108,V106,V104,V102,V100,V98,V96)</f>
        <v>1716951</v>
      </c>
      <c r="W124" s="24">
        <f>SUM(W122,W120,W118,W116,W114,W112,W110,W108,W106,W104,W102,W100,W98,W96)</f>
        <v>2308428</v>
      </c>
      <c r="X124" s="24">
        <f>SUM(X122,X120,X118,X116,X114,X112,X110,X108,X106,X104,X102,X100,X98,X96)</f>
        <v>901254</v>
      </c>
      <c r="Y124" s="24">
        <f>SUM(Y122,Y120,Y118,Y116,Y114,Y112,Y110,Y108,Y106,Y104,Y102,Y100,Y98,Y96)</f>
        <v>855</v>
      </c>
      <c r="Z124" s="21">
        <f>AA124/AC124</f>
        <v>0.22706345277968762</v>
      </c>
      <c r="AA124" s="22">
        <f>SUM(AA122,AA120,AA118,AA116,AA114,AA112,AA110,AA108,AA106,AA104,AA102,AA100,AA98,AA96)</f>
        <v>13082334.9</v>
      </c>
      <c r="AB124" s="24">
        <f>SUM(AB122,AB120,AB118,AB116,AB114,AB112,AB110,AB108,AB106,AB104,AB102,AB100,AB98,AB96)</f>
        <v>4505544</v>
      </c>
      <c r="AC124" s="22">
        <f>SUM(AC122,AC120,AC118,AC116,AC114,AC112,AC110,AC108,AC106,AC104,AC102,AC100,AC98,AC96)</f>
        <v>57615326.200000003</v>
      </c>
      <c r="AD124" s="22">
        <f>AC124*1000/L124</f>
        <v>2084.2933979697582</v>
      </c>
    </row>
    <row r="125" spans="1:30" s="20" customFormat="1">
      <c r="A125" s="49" t="s">
        <v>129</v>
      </c>
      <c r="B125" s="50" t="s">
        <v>125</v>
      </c>
      <c r="C125" s="89"/>
      <c r="D125" s="26"/>
      <c r="E125" s="26"/>
      <c r="F125" s="23">
        <f>I124/L124/1.95</f>
        <v>0.33179535699883089</v>
      </c>
      <c r="G125" s="23">
        <f>J124/L124/0.35</f>
        <v>0.68300332479362125</v>
      </c>
      <c r="H125" s="23">
        <f>K124/L124/0.075</f>
        <v>0.10717749913075045</v>
      </c>
      <c r="I125" s="19"/>
      <c r="J125" s="19"/>
      <c r="K125" s="19"/>
      <c r="L125" s="19"/>
      <c r="M125" s="19"/>
      <c r="N125" s="26"/>
      <c r="O125" s="23">
        <f>O124/L124</f>
        <v>0.30645462018105524</v>
      </c>
      <c r="P125" s="23">
        <f>P124/M124</f>
        <v>0.23088291079327378</v>
      </c>
      <c r="Q125" s="26"/>
      <c r="R125" s="26"/>
      <c r="S125" s="23">
        <f>S124/R124</f>
        <v>0.58417920367349407</v>
      </c>
      <c r="T125" s="28"/>
      <c r="U125" s="28"/>
      <c r="V125" s="26">
        <f>SUM(V123,V121,V119,V117,V115,V113,V111,V109,V107,V105,V103,V101,V99,V97)</f>
        <v>5252097.42</v>
      </c>
      <c r="W125" s="26"/>
      <c r="X125" s="26"/>
      <c r="Y125" s="26">
        <f>SUM(Y123,Y121,Y119,Y117,Y115,Y113,Y111,Y109,Y107,Y105,Y103,Y101,Y99,Y97)</f>
        <v>380205</v>
      </c>
      <c r="Z125" s="29"/>
      <c r="AA125" s="30"/>
      <c r="AB125" s="26"/>
      <c r="AC125" s="30"/>
      <c r="AD125" s="30"/>
    </row>
    <row r="126" spans="1:30">
      <c r="B126" s="47" t="s">
        <v>126</v>
      </c>
      <c r="C126" s="86" t="s">
        <v>61</v>
      </c>
      <c r="D126" s="8">
        <v>2401</v>
      </c>
      <c r="E126" s="8">
        <v>19</v>
      </c>
      <c r="F126" s="8">
        <v>1267</v>
      </c>
      <c r="G126" s="8">
        <v>740</v>
      </c>
      <c r="H126" s="8">
        <v>9</v>
      </c>
      <c r="I126" s="9">
        <f t="shared" ref="I126:I136" si="8">F126*540</f>
        <v>684180</v>
      </c>
      <c r="J126" s="9">
        <f>G126*400</f>
        <v>296000</v>
      </c>
      <c r="K126" s="9">
        <f>H126*200</f>
        <v>1800</v>
      </c>
      <c r="L126" s="9">
        <v>810027</v>
      </c>
      <c r="M126" s="57">
        <v>432469</v>
      </c>
      <c r="N126" s="8">
        <v>2305</v>
      </c>
      <c r="O126" s="56">
        <v>246648</v>
      </c>
      <c r="P126" s="8">
        <v>91216</v>
      </c>
      <c r="Q126" s="8">
        <f>4456+995+726+4321+9617</f>
        <v>20115</v>
      </c>
      <c r="R126" s="8">
        <v>7066</v>
      </c>
      <c r="S126" s="8">
        <v>3325</v>
      </c>
      <c r="T126" s="10">
        <f>Y126+Y127</f>
        <v>35219</v>
      </c>
      <c r="U126" s="11">
        <f>V126/V127</f>
        <v>0.39504206260051239</v>
      </c>
      <c r="V126" s="8">
        <v>60799</v>
      </c>
      <c r="W126" s="8">
        <v>37546</v>
      </c>
      <c r="X126" s="8">
        <v>30223</v>
      </c>
      <c r="Y126" s="8">
        <v>15</v>
      </c>
      <c r="Z126" s="11">
        <f>AA126/AC126</f>
        <v>6.6467940055220276E-2</v>
      </c>
      <c r="AA126" s="12">
        <f>41654.8</f>
        <v>41654.800000000003</v>
      </c>
      <c r="AB126" s="8">
        <v>178201</v>
      </c>
      <c r="AC126" s="12">
        <f>626690.1</f>
        <v>626690.1</v>
      </c>
      <c r="AD126" s="12">
        <f>AC126*1000/L126</f>
        <v>773.66569262506061</v>
      </c>
    </row>
    <row r="127" spans="1:30">
      <c r="B127" s="47" t="s">
        <v>126</v>
      </c>
      <c r="C127" s="87"/>
      <c r="D127" s="13"/>
      <c r="E127" s="13"/>
      <c r="F127" s="14">
        <f>I126/L126/1.95</f>
        <v>0.43314795489722996</v>
      </c>
      <c r="G127" s="14">
        <f>J126/L126/0.35</f>
        <v>1.0440569088614153</v>
      </c>
      <c r="H127" s="14">
        <f>K126/L126/0.075</f>
        <v>2.9628642008229355E-2</v>
      </c>
      <c r="I127" s="15"/>
      <c r="J127" s="15"/>
      <c r="K127" s="15"/>
      <c r="L127" s="15"/>
      <c r="M127" s="15"/>
      <c r="N127" s="13"/>
      <c r="O127" s="14">
        <f>O126/L126</f>
        <v>0.30449355391857308</v>
      </c>
      <c r="P127" s="14">
        <f>P126/M126</f>
        <v>0.21091916414818171</v>
      </c>
      <c r="Q127" s="13"/>
      <c r="R127" s="13"/>
      <c r="S127" s="14">
        <f>S126/R126</f>
        <v>0.47056326068497029</v>
      </c>
      <c r="T127" s="16"/>
      <c r="U127" s="16"/>
      <c r="V127" s="13">
        <f>0.19*L126</f>
        <v>153905.13</v>
      </c>
      <c r="W127" s="13"/>
      <c r="X127" s="13"/>
      <c r="Y127" s="13">
        <v>35204</v>
      </c>
      <c r="Z127" s="17"/>
      <c r="AA127" s="18"/>
      <c r="AB127" s="13"/>
      <c r="AC127" s="18"/>
      <c r="AD127" s="18"/>
    </row>
    <row r="128" spans="1:30">
      <c r="B128" s="47" t="s">
        <v>126</v>
      </c>
      <c r="C128" s="86" t="s">
        <v>62</v>
      </c>
      <c r="D128" s="8">
        <v>8565</v>
      </c>
      <c r="E128" s="8">
        <v>113</v>
      </c>
      <c r="F128" s="8">
        <v>4100</v>
      </c>
      <c r="G128" s="8">
        <v>2310</v>
      </c>
      <c r="H128" s="8">
        <v>266</v>
      </c>
      <c r="I128" s="9">
        <f t="shared" si="8"/>
        <v>2214000</v>
      </c>
      <c r="J128" s="9">
        <f>G128*400</f>
        <v>924000</v>
      </c>
      <c r="K128" s="9">
        <f>H128*200</f>
        <v>53200</v>
      </c>
      <c r="L128" s="57">
        <v>4009901</v>
      </c>
      <c r="M128" s="57">
        <v>2149462</v>
      </c>
      <c r="N128" s="8">
        <v>11473</v>
      </c>
      <c r="O128" s="56">
        <v>1149642</v>
      </c>
      <c r="P128" s="56">
        <v>428778</v>
      </c>
      <c r="Q128" s="8">
        <f>444+198+11746+12669+70479</f>
        <v>95536</v>
      </c>
      <c r="R128" s="8">
        <v>21938</v>
      </c>
      <c r="S128" s="8">
        <v>10251</v>
      </c>
      <c r="T128" s="10">
        <f>Y128+Y129</f>
        <v>27661</v>
      </c>
      <c r="U128" s="11">
        <f>V128/V129</f>
        <v>0.28753695835435966</v>
      </c>
      <c r="V128" s="8">
        <v>219069</v>
      </c>
      <c r="W128" s="8">
        <v>243134</v>
      </c>
      <c r="X128" s="8">
        <v>119104</v>
      </c>
      <c r="Y128" s="8">
        <v>142</v>
      </c>
      <c r="Z128" s="11">
        <f>AA128/AC128</f>
        <v>0.17169861608865095</v>
      </c>
      <c r="AA128" s="12">
        <f>1865946.3</f>
        <v>1865946.3</v>
      </c>
      <c r="AB128" s="8">
        <v>608599</v>
      </c>
      <c r="AC128" s="12">
        <f>10867567.5</f>
        <v>10867567.5</v>
      </c>
      <c r="AD128" s="12">
        <f>AC128*1000/L128</f>
        <v>2710.1834933081891</v>
      </c>
    </row>
    <row r="129" spans="1:30">
      <c r="B129" s="47" t="s">
        <v>126</v>
      </c>
      <c r="C129" s="87"/>
      <c r="D129" s="13"/>
      <c r="E129" s="13"/>
      <c r="F129" s="14">
        <f>I128/L128/1.95</f>
        <v>0.28314529844617492</v>
      </c>
      <c r="G129" s="14">
        <f>J128/L128/0.35</f>
        <v>0.65837036874476451</v>
      </c>
      <c r="H129" s="14">
        <f>K128/L128/0.075</f>
        <v>0.17689547281424986</v>
      </c>
      <c r="I129" s="15"/>
      <c r="J129" s="15"/>
      <c r="K129" s="15"/>
      <c r="L129" s="15"/>
      <c r="M129" s="15"/>
      <c r="N129" s="13"/>
      <c r="O129" s="14">
        <f>O128/L128</f>
        <v>0.28670084373654114</v>
      </c>
      <c r="P129" s="14">
        <f>P128/M128</f>
        <v>0.1994815446842047</v>
      </c>
      <c r="Q129" s="13"/>
      <c r="R129" s="13"/>
      <c r="S129" s="14">
        <f>S128/R128</f>
        <v>0.46727140122162458</v>
      </c>
      <c r="T129" s="16"/>
      <c r="U129" s="16"/>
      <c r="V129" s="13">
        <f>0.19*L128</f>
        <v>761881.19000000006</v>
      </c>
      <c r="W129" s="13"/>
      <c r="X129" s="13"/>
      <c r="Y129" s="13">
        <v>27519</v>
      </c>
      <c r="Z129" s="17"/>
      <c r="AA129" s="18"/>
      <c r="AB129" s="13"/>
      <c r="AC129" s="18"/>
      <c r="AD129" s="18"/>
    </row>
    <row r="130" spans="1:30">
      <c r="B130" s="47" t="s">
        <v>126</v>
      </c>
      <c r="C130" s="86" t="s">
        <v>63</v>
      </c>
      <c r="D130" s="8">
        <v>3337</v>
      </c>
      <c r="E130" s="8">
        <v>18</v>
      </c>
      <c r="F130" s="8">
        <v>1661</v>
      </c>
      <c r="G130" s="8">
        <v>1082</v>
      </c>
      <c r="H130" s="8">
        <v>65</v>
      </c>
      <c r="I130" s="9">
        <f t="shared" si="8"/>
        <v>896940</v>
      </c>
      <c r="J130" s="9">
        <f>G130*400</f>
        <v>432800</v>
      </c>
      <c r="K130" s="9">
        <f>H130*200</f>
        <v>13000</v>
      </c>
      <c r="L130" s="9">
        <v>1308553</v>
      </c>
      <c r="M130" s="57">
        <v>687282</v>
      </c>
      <c r="N130" s="8">
        <v>4355</v>
      </c>
      <c r="O130" s="8">
        <v>452662</v>
      </c>
      <c r="P130" s="8">
        <v>162965</v>
      </c>
      <c r="Q130" s="8">
        <f>6743+1245+2415+1260+118060</f>
        <v>129723</v>
      </c>
      <c r="R130" s="8">
        <v>9802</v>
      </c>
      <c r="S130" s="8">
        <v>5516</v>
      </c>
      <c r="T130" s="10">
        <f>Y130+Y131</f>
        <v>27067</v>
      </c>
      <c r="U130" s="11">
        <f>V130/V131</f>
        <v>0.35355243942213871</v>
      </c>
      <c r="V130" s="8">
        <v>87902</v>
      </c>
      <c r="W130" s="8">
        <v>46289</v>
      </c>
      <c r="X130" s="8">
        <v>53682</v>
      </c>
      <c r="Y130" s="8">
        <v>61</v>
      </c>
      <c r="Z130" s="11">
        <f>AA130/AC130</f>
        <v>0.26707615607595747</v>
      </c>
      <c r="AA130" s="12">
        <f>1311792</f>
        <v>1311792</v>
      </c>
      <c r="AB130" s="8">
        <v>305972</v>
      </c>
      <c r="AC130" s="12">
        <f>4911677.7</f>
        <v>4911677.7</v>
      </c>
      <c r="AD130" s="12">
        <f>AC130*1000/L130</f>
        <v>3753.5183519505895</v>
      </c>
    </row>
    <row r="131" spans="1:30">
      <c r="B131" s="47" t="s">
        <v>126</v>
      </c>
      <c r="C131" s="87"/>
      <c r="D131" s="13"/>
      <c r="E131" s="13"/>
      <c r="F131" s="14">
        <f>I130/L130/1.95</f>
        <v>0.35150982097724032</v>
      </c>
      <c r="G131" s="14">
        <f>J130/L130/0.35</f>
        <v>0.94499147422491003</v>
      </c>
      <c r="H131" s="14">
        <f>K130/L130/0.075</f>
        <v>0.13246183634391068</v>
      </c>
      <c r="I131" s="15"/>
      <c r="J131" s="15"/>
      <c r="K131" s="15"/>
      <c r="L131" s="15"/>
      <c r="M131" s="15"/>
      <c r="N131" s="13"/>
      <c r="O131" s="14">
        <f>O130/L130</f>
        <v>0.34592561401792665</v>
      </c>
      <c r="P131" s="14">
        <f>P130/M130</f>
        <v>0.23711518707022736</v>
      </c>
      <c r="Q131" s="13"/>
      <c r="R131" s="13"/>
      <c r="S131" s="14">
        <f>S130/R130</f>
        <v>0.56274229749030813</v>
      </c>
      <c r="T131" s="16"/>
      <c r="U131" s="16"/>
      <c r="V131" s="13">
        <f>0.19*L130</f>
        <v>248625.07</v>
      </c>
      <c r="W131" s="13"/>
      <c r="X131" s="13"/>
      <c r="Y131" s="13">
        <v>27006</v>
      </c>
      <c r="Z131" s="17"/>
      <c r="AA131" s="18"/>
      <c r="AB131" s="13"/>
      <c r="AC131" s="18"/>
      <c r="AD131" s="18"/>
    </row>
    <row r="132" spans="1:30">
      <c r="B132" s="47" t="s">
        <v>126</v>
      </c>
      <c r="C132" s="86" t="s">
        <v>64</v>
      </c>
      <c r="D132" s="8">
        <v>2598</v>
      </c>
      <c r="E132" s="8">
        <v>7</v>
      </c>
      <c r="F132" s="8">
        <v>779</v>
      </c>
      <c r="G132" s="8">
        <v>907</v>
      </c>
      <c r="H132" s="8">
        <v>112</v>
      </c>
      <c r="I132" s="9">
        <f t="shared" si="8"/>
        <v>420660</v>
      </c>
      <c r="J132" s="9">
        <f>G132*400</f>
        <v>362800</v>
      </c>
      <c r="K132" s="9">
        <f>H132*200</f>
        <v>22400</v>
      </c>
      <c r="L132" s="9">
        <v>1504794</v>
      </c>
      <c r="M132" s="57">
        <v>770139</v>
      </c>
      <c r="N132" s="8">
        <v>5962</v>
      </c>
      <c r="O132" s="8">
        <v>406954</v>
      </c>
      <c r="P132" s="8">
        <v>148980</v>
      </c>
      <c r="Q132" s="8">
        <f>13002+417+764+1984+7652</f>
        <v>23819</v>
      </c>
      <c r="R132" s="8">
        <v>5574</v>
      </c>
      <c r="S132" s="8">
        <v>3867</v>
      </c>
      <c r="T132" s="10">
        <f>Y132+Y133</f>
        <v>13414</v>
      </c>
      <c r="U132" s="11">
        <f>V132/V133</f>
        <v>0.2330831364712764</v>
      </c>
      <c r="V132" s="8">
        <v>66641</v>
      </c>
      <c r="W132" s="56">
        <v>95534</v>
      </c>
      <c r="X132" s="8">
        <v>62197</v>
      </c>
      <c r="Y132" s="8">
        <v>101</v>
      </c>
      <c r="Z132" s="11">
        <f>AA132/AC132</f>
        <v>4.2957671609683529E-2</v>
      </c>
      <c r="AA132" s="12">
        <f>504755.7</f>
        <v>504755.7</v>
      </c>
      <c r="AB132" s="8">
        <v>271629</v>
      </c>
      <c r="AC132" s="12">
        <f>11750071.2</f>
        <v>11750071.199999999</v>
      </c>
      <c r="AD132" s="12">
        <f>AC132*1000/L132</f>
        <v>7808.4250734652051</v>
      </c>
    </row>
    <row r="133" spans="1:30">
      <c r="B133" s="47" t="s">
        <v>126</v>
      </c>
      <c r="C133" s="87"/>
      <c r="D133" s="13"/>
      <c r="E133" s="13"/>
      <c r="F133" s="14">
        <f>I132/L132/1.95</f>
        <v>0.14335721495638401</v>
      </c>
      <c r="G133" s="14">
        <f>J132/L132/0.35</f>
        <v>0.68884606701743134</v>
      </c>
      <c r="H133" s="14">
        <f>K132/L132/0.075</f>
        <v>0.19847677932439037</v>
      </c>
      <c r="I133" s="15"/>
      <c r="J133" s="15"/>
      <c r="K133" s="15"/>
      <c r="L133" s="15"/>
      <c r="M133" s="15"/>
      <c r="N133" s="13"/>
      <c r="O133" s="14">
        <f>O132/L132</f>
        <v>0.27043834571376546</v>
      </c>
      <c r="P133" s="14">
        <f>P132/M132</f>
        <v>0.19344559878151865</v>
      </c>
      <c r="Q133" s="13"/>
      <c r="R133" s="13"/>
      <c r="S133" s="14">
        <f>S132/R132</f>
        <v>0.69375672766415497</v>
      </c>
      <c r="T133" s="16"/>
      <c r="U133" s="16"/>
      <c r="V133" s="13">
        <f>0.19*L132</f>
        <v>285910.86</v>
      </c>
      <c r="W133" s="13"/>
      <c r="X133" s="13"/>
      <c r="Y133" s="13">
        <v>13313</v>
      </c>
      <c r="Z133" s="17"/>
      <c r="AA133" s="18"/>
      <c r="AB133" s="13"/>
      <c r="AC133" s="18"/>
      <c r="AD133" s="18"/>
    </row>
    <row r="134" spans="1:30" s="6" customFormat="1">
      <c r="A134" s="48"/>
      <c r="B134" s="47" t="s">
        <v>126</v>
      </c>
      <c r="C134" s="86" t="s">
        <v>65</v>
      </c>
      <c r="D134" s="8">
        <v>1005</v>
      </c>
      <c r="E134" s="8">
        <v>0</v>
      </c>
      <c r="F134" s="8">
        <v>228</v>
      </c>
      <c r="G134" s="8">
        <v>411</v>
      </c>
      <c r="H134" s="8">
        <v>41</v>
      </c>
      <c r="I134" s="9">
        <f t="shared" si="8"/>
        <v>123120</v>
      </c>
      <c r="J134" s="9">
        <f>G134*400</f>
        <v>164400</v>
      </c>
      <c r="K134" s="9">
        <f>H134*200</f>
        <v>8200</v>
      </c>
      <c r="L134" s="57">
        <v>511559</v>
      </c>
      <c r="M134" s="57">
        <v>254244</v>
      </c>
      <c r="N134" s="8">
        <v>2453</v>
      </c>
      <c r="O134" s="56">
        <v>189066</v>
      </c>
      <c r="P134" s="8">
        <v>68555</v>
      </c>
      <c r="Q134" s="8">
        <f>1116+7484</f>
        <v>8600</v>
      </c>
      <c r="R134" s="8">
        <v>2249</v>
      </c>
      <c r="S134" s="8">
        <v>1653</v>
      </c>
      <c r="T134" s="10">
        <f>Y134+Y135</f>
        <v>11969</v>
      </c>
      <c r="U134" s="11">
        <f>V134/V135</f>
        <v>0.28229495779722275</v>
      </c>
      <c r="V134" s="8">
        <v>27438</v>
      </c>
      <c r="W134" s="8">
        <v>41809</v>
      </c>
      <c r="X134" s="8">
        <v>23311</v>
      </c>
      <c r="Y134" s="8">
        <v>24</v>
      </c>
      <c r="Z134" s="11">
        <f>AA134/AC134</f>
        <v>0.2594157874851023</v>
      </c>
      <c r="AA134" s="12">
        <f>1521146.6</f>
        <v>1521146.6</v>
      </c>
      <c r="AB134" s="8">
        <v>100076</v>
      </c>
      <c r="AC134" s="53">
        <f>5863739.5</f>
        <v>5863739.5</v>
      </c>
      <c r="AD134" s="53">
        <f>AC134*1000/L134</f>
        <v>11462.489175246648</v>
      </c>
    </row>
    <row r="135" spans="1:30" s="6" customFormat="1">
      <c r="A135" s="48"/>
      <c r="B135" s="47" t="s">
        <v>126</v>
      </c>
      <c r="C135" s="87"/>
      <c r="D135" s="13"/>
      <c r="E135" s="13"/>
      <c r="F135" s="14">
        <f>I134/L134/1.95</f>
        <v>0.12342361592399222</v>
      </c>
      <c r="G135" s="14">
        <f>J134/L134/0.35</f>
        <v>0.91820158713713529</v>
      </c>
      <c r="H135" s="14">
        <f>K134/L134/0.075</f>
        <v>0.21372575467020094</v>
      </c>
      <c r="I135" s="15"/>
      <c r="J135" s="15"/>
      <c r="K135" s="15"/>
      <c r="L135" s="15"/>
      <c r="M135" s="15"/>
      <c r="N135" s="13"/>
      <c r="O135" s="14">
        <f>O134/L134</f>
        <v>0.36958786767508733</v>
      </c>
      <c r="P135" s="14">
        <f>P134/M134</f>
        <v>0.26964254810339672</v>
      </c>
      <c r="Q135" s="13"/>
      <c r="R135" s="13"/>
      <c r="S135" s="14">
        <f>S134/R134</f>
        <v>0.7349933303690529</v>
      </c>
      <c r="T135" s="16"/>
      <c r="U135" s="16"/>
      <c r="V135" s="13">
        <f>0.19*L134</f>
        <v>97196.21</v>
      </c>
      <c r="W135" s="13"/>
      <c r="X135" s="13"/>
      <c r="Y135" s="13">
        <v>11945</v>
      </c>
      <c r="Z135" s="17"/>
      <c r="AA135" s="18"/>
      <c r="AB135" s="13"/>
      <c r="AC135" s="18"/>
      <c r="AD135" s="18"/>
    </row>
    <row r="136" spans="1:30">
      <c r="B136" s="47" t="s">
        <v>126</v>
      </c>
      <c r="C136" s="86" t="s">
        <v>66</v>
      </c>
      <c r="D136" s="8">
        <v>6883</v>
      </c>
      <c r="E136" s="8">
        <v>50</v>
      </c>
      <c r="F136" s="8">
        <v>3467</v>
      </c>
      <c r="G136" s="8">
        <v>1740</v>
      </c>
      <c r="H136" s="8">
        <v>79</v>
      </c>
      <c r="I136" s="9">
        <f t="shared" si="8"/>
        <v>1872180</v>
      </c>
      <c r="J136" s="9">
        <f>G136*400</f>
        <v>696000</v>
      </c>
      <c r="K136" s="9">
        <f>H136*200</f>
        <v>15800</v>
      </c>
      <c r="L136" s="57">
        <v>3242177</v>
      </c>
      <c r="M136" s="57">
        <v>1742121</v>
      </c>
      <c r="N136" s="8">
        <v>9659</v>
      </c>
      <c r="O136" s="56">
        <v>892452</v>
      </c>
      <c r="P136" s="56">
        <v>356036</v>
      </c>
      <c r="Q136" s="8">
        <f>1064+74+1153+10863+56493</f>
        <v>69647</v>
      </c>
      <c r="R136" s="8">
        <v>27915</v>
      </c>
      <c r="S136" s="8">
        <v>19421</v>
      </c>
      <c r="T136" s="10">
        <f>Y136+Y137</f>
        <v>25898</v>
      </c>
      <c r="U136" s="11">
        <f>V136/V137</f>
        <v>0.26942261001595047</v>
      </c>
      <c r="V136" s="56">
        <v>165968</v>
      </c>
      <c r="W136" s="8">
        <v>148345</v>
      </c>
      <c r="X136" s="8">
        <v>95978</v>
      </c>
      <c r="Y136" s="8">
        <v>137</v>
      </c>
      <c r="Z136" s="11">
        <f>AA136/AC136</f>
        <v>0.30235577752175319</v>
      </c>
      <c r="AA136" s="12">
        <f>2486663.2</f>
        <v>2486663.2000000002</v>
      </c>
      <c r="AB136" s="8">
        <v>543733</v>
      </c>
      <c r="AC136" s="12">
        <f>8224295.3</f>
        <v>8224295.2999999998</v>
      </c>
      <c r="AD136" s="12">
        <f>AC136*1000/L136</f>
        <v>2536.6583317320428</v>
      </c>
    </row>
    <row r="137" spans="1:30">
      <c r="B137" s="47" t="s">
        <v>126</v>
      </c>
      <c r="C137" s="87"/>
      <c r="D137" s="13"/>
      <c r="E137" s="13"/>
      <c r="F137" s="14">
        <f>I136/L136/1.95</f>
        <v>0.29612581536797894</v>
      </c>
      <c r="G137" s="14">
        <f>J136/L136/0.35</f>
        <v>0.61334449925819245</v>
      </c>
      <c r="H137" s="14">
        <f>K136/L136/0.075</f>
        <v>6.4976917258578626E-2</v>
      </c>
      <c r="I137" s="15"/>
      <c r="J137" s="15"/>
      <c r="K137" s="15"/>
      <c r="L137" s="15"/>
      <c r="M137" s="15"/>
      <c r="N137" s="13"/>
      <c r="O137" s="14">
        <f>O136/L136</f>
        <v>0.27526319506923896</v>
      </c>
      <c r="P137" s="14">
        <f>P136/M136</f>
        <v>0.20436927170959995</v>
      </c>
      <c r="Q137" s="13"/>
      <c r="R137" s="13"/>
      <c r="S137" s="14">
        <f>S136/R136</f>
        <v>0.69571914741178575</v>
      </c>
      <c r="T137" s="16"/>
      <c r="U137" s="16"/>
      <c r="V137" s="13">
        <f>0.19*L136</f>
        <v>616013.63</v>
      </c>
      <c r="W137" s="13"/>
      <c r="X137" s="13"/>
      <c r="Y137" s="13">
        <v>25761</v>
      </c>
      <c r="Z137" s="17"/>
      <c r="AA137" s="18"/>
      <c r="AB137" s="13"/>
      <c r="AC137" s="18"/>
      <c r="AD137" s="18"/>
    </row>
    <row r="138" spans="1:30" s="20" customFormat="1">
      <c r="A138" s="49" t="s">
        <v>129</v>
      </c>
      <c r="B138" s="50" t="s">
        <v>126</v>
      </c>
      <c r="C138" s="88" t="s">
        <v>67</v>
      </c>
      <c r="D138" s="24">
        <f t="shared" ref="D138:T138" si="9">SUM(D136,D134,D132,D130,D128,D126)</f>
        <v>24789</v>
      </c>
      <c r="E138" s="24">
        <f t="shared" si="9"/>
        <v>207</v>
      </c>
      <c r="F138" s="24">
        <f t="shared" si="9"/>
        <v>11502</v>
      </c>
      <c r="G138" s="24">
        <f t="shared" si="9"/>
        <v>7190</v>
      </c>
      <c r="H138" s="24">
        <f t="shared" si="9"/>
        <v>572</v>
      </c>
      <c r="I138" s="19">
        <f t="shared" si="9"/>
        <v>6211080</v>
      </c>
      <c r="J138" s="19">
        <f t="shared" si="9"/>
        <v>2876000</v>
      </c>
      <c r="K138" s="19">
        <f t="shared" si="9"/>
        <v>114400</v>
      </c>
      <c r="L138" s="19">
        <f t="shared" si="9"/>
        <v>11387011</v>
      </c>
      <c r="M138" s="19">
        <f t="shared" si="9"/>
        <v>6035717</v>
      </c>
      <c r="N138" s="24">
        <f t="shared" si="9"/>
        <v>36207</v>
      </c>
      <c r="O138" s="24">
        <f t="shared" si="9"/>
        <v>3337424</v>
      </c>
      <c r="P138" s="24">
        <f t="shared" si="9"/>
        <v>1256530</v>
      </c>
      <c r="Q138" s="24">
        <f t="shared" si="9"/>
        <v>347440</v>
      </c>
      <c r="R138" s="24">
        <f t="shared" si="9"/>
        <v>74544</v>
      </c>
      <c r="S138" s="24">
        <f t="shared" si="9"/>
        <v>44033</v>
      </c>
      <c r="T138" s="24">
        <f t="shared" si="9"/>
        <v>141228</v>
      </c>
      <c r="U138" s="21">
        <f>V138/V139</f>
        <v>0.29018150592811409</v>
      </c>
      <c r="V138" s="24">
        <f>SUM(V136,V134,V132,V130,V128,V126)</f>
        <v>627817</v>
      </c>
      <c r="W138" s="24">
        <f>SUM(W136,W134,W132,W130,W128,W126)</f>
        <v>612657</v>
      </c>
      <c r="X138" s="24">
        <f>SUM(X136,X134,X132,X130,X128,X126)</f>
        <v>384495</v>
      </c>
      <c r="Y138" s="24">
        <f>SUM(Y136,Y134,Y132,Y130,Y128,Y126)</f>
        <v>480</v>
      </c>
      <c r="Z138" s="21">
        <f>AA138/AC138</f>
        <v>0.18303075089551149</v>
      </c>
      <c r="AA138" s="22">
        <f>SUM(AA136,AA134,AA132,AA130,AA128,AA126)</f>
        <v>7731958.5999999996</v>
      </c>
      <c r="AB138" s="24">
        <f>SUM(AB136,AB134,AB132,AB130,AB128,AB126)</f>
        <v>2008210</v>
      </c>
      <c r="AC138" s="22">
        <f>SUM(AC136,AC134,AC132,AC130,AC128,AC126)</f>
        <v>42244041.300000004</v>
      </c>
      <c r="AD138" s="22">
        <f>AC138*1000/L138</f>
        <v>3709.8446027671362</v>
      </c>
    </row>
    <row r="139" spans="1:30" s="20" customFormat="1">
      <c r="A139" s="49" t="s">
        <v>129</v>
      </c>
      <c r="B139" s="50" t="s">
        <v>126</v>
      </c>
      <c r="C139" s="89"/>
      <c r="D139" s="26"/>
      <c r="E139" s="26"/>
      <c r="F139" s="23">
        <f>I138/L138/1.95</f>
        <v>0.27971951820975943</v>
      </c>
      <c r="G139" s="23">
        <f>J138/L138/0.35</f>
        <v>0.72162421351334938</v>
      </c>
      <c r="H139" s="23">
        <f>K138/L138/0.075</f>
        <v>0.13395379466423046</v>
      </c>
      <c r="I139" s="19"/>
      <c r="J139" s="19"/>
      <c r="K139" s="19"/>
      <c r="L139" s="19"/>
      <c r="M139" s="19"/>
      <c r="N139" s="26"/>
      <c r="O139" s="23">
        <f>O138/L138</f>
        <v>0.29309043435542481</v>
      </c>
      <c r="P139" s="23">
        <f>P138/M138</f>
        <v>0.20818239158661681</v>
      </c>
      <c r="Q139" s="26"/>
      <c r="R139" s="26"/>
      <c r="S139" s="23">
        <f>S138/R138</f>
        <v>0.59069811118265725</v>
      </c>
      <c r="T139" s="28"/>
      <c r="U139" s="28"/>
      <c r="V139" s="26">
        <f>SUM(V137,V135,V133,V131,V129,V127)</f>
        <v>2163532.09</v>
      </c>
      <c r="W139" s="26"/>
      <c r="X139" s="26"/>
      <c r="Y139" s="26">
        <f>SUM(Y137,Y135,Y133,Y131,Y129,Y127)</f>
        <v>140748</v>
      </c>
      <c r="Z139" s="29"/>
      <c r="AA139" s="30"/>
      <c r="AB139" s="26"/>
      <c r="AC139" s="30"/>
      <c r="AD139" s="30"/>
    </row>
    <row r="140" spans="1:30">
      <c r="B140" s="47" t="s">
        <v>127</v>
      </c>
      <c r="C140" s="86" t="s">
        <v>68</v>
      </c>
      <c r="D140" s="8">
        <v>325</v>
      </c>
      <c r="E140" s="8">
        <v>5</v>
      </c>
      <c r="F140" s="8">
        <v>164</v>
      </c>
      <c r="G140" s="8">
        <v>128</v>
      </c>
      <c r="H140" s="8">
        <v>1</v>
      </c>
      <c r="I140" s="9">
        <f t="shared" ref="I140:I162" si="10">F140*540</f>
        <v>88560</v>
      </c>
      <c r="J140" s="9">
        <f>G140*400</f>
        <v>51200</v>
      </c>
      <c r="K140" s="9">
        <f>H140*200</f>
        <v>200</v>
      </c>
      <c r="L140" s="9">
        <v>193774</v>
      </c>
      <c r="M140" s="9">
        <v>101639</v>
      </c>
      <c r="N140" s="8">
        <v>655</v>
      </c>
      <c r="O140" s="8">
        <v>37273</v>
      </c>
      <c r="P140" s="8">
        <v>11117</v>
      </c>
      <c r="Q140" s="8">
        <f>311</f>
        <v>311</v>
      </c>
      <c r="R140" s="8">
        <v>1990</v>
      </c>
      <c r="S140" s="8">
        <v>1277</v>
      </c>
      <c r="T140" s="10">
        <f>Y140+Y141</f>
        <v>896</v>
      </c>
      <c r="U140" s="11">
        <f>V140/V141</f>
        <v>0.23817762743684587</v>
      </c>
      <c r="V140" s="8">
        <v>8769</v>
      </c>
      <c r="W140" s="8">
        <v>13103</v>
      </c>
      <c r="X140" s="8">
        <v>7652</v>
      </c>
      <c r="Y140" s="8">
        <v>24</v>
      </c>
      <c r="Z140" s="11">
        <f>AA140/AC140</f>
        <v>1.7157410361086966E-3</v>
      </c>
      <c r="AA140" s="12">
        <f>265.7</f>
        <v>265.7</v>
      </c>
      <c r="AB140" s="8">
        <v>27892</v>
      </c>
      <c r="AC140" s="12">
        <f>154860.2</f>
        <v>154860.20000000001</v>
      </c>
      <c r="AD140" s="12">
        <f>AC140*1000/L140</f>
        <v>799.17945648022953</v>
      </c>
    </row>
    <row r="141" spans="1:30">
      <c r="B141" s="47" t="s">
        <v>127</v>
      </c>
      <c r="C141" s="87"/>
      <c r="D141" s="13"/>
      <c r="E141" s="13"/>
      <c r="F141" s="14">
        <f>I140/L140/1.95</f>
        <v>0.23437295310714862</v>
      </c>
      <c r="G141" s="14">
        <f>J140/L140/0.35</f>
        <v>0.75492952762349075</v>
      </c>
      <c r="H141" s="14">
        <f>K140/L140/0.075</f>
        <v>1.3761736180636549E-2</v>
      </c>
      <c r="I141" s="15"/>
      <c r="J141" s="15"/>
      <c r="K141" s="15"/>
      <c r="L141" s="15"/>
      <c r="M141" s="15"/>
      <c r="N141" s="13"/>
      <c r="O141" s="14">
        <f>O140/L140</f>
        <v>0.19235294724782478</v>
      </c>
      <c r="P141" s="14">
        <f>P140/M140</f>
        <v>0.10937730595539114</v>
      </c>
      <c r="Q141" s="13"/>
      <c r="R141" s="13"/>
      <c r="S141" s="14">
        <f>S140/R140</f>
        <v>0.64170854271356781</v>
      </c>
      <c r="T141" s="16"/>
      <c r="U141" s="16"/>
      <c r="V141" s="13">
        <f>0.19*L140</f>
        <v>36817.06</v>
      </c>
      <c r="W141" s="13"/>
      <c r="X141" s="13"/>
      <c r="Y141" s="13">
        <v>872</v>
      </c>
      <c r="Z141" s="17"/>
      <c r="AA141" s="18"/>
      <c r="AB141" s="13"/>
      <c r="AC141" s="18"/>
      <c r="AD141" s="18"/>
    </row>
    <row r="142" spans="1:30">
      <c r="B142" s="47" t="s">
        <v>127</v>
      </c>
      <c r="C142" s="86" t="s">
        <v>69</v>
      </c>
      <c r="D142" s="8">
        <v>1723</v>
      </c>
      <c r="E142" s="8">
        <v>17</v>
      </c>
      <c r="F142" s="8">
        <v>980</v>
      </c>
      <c r="G142" s="8">
        <v>509</v>
      </c>
      <c r="H142" s="8">
        <v>14</v>
      </c>
      <c r="I142" s="9">
        <f t="shared" si="10"/>
        <v>529200</v>
      </c>
      <c r="J142" s="9">
        <f>G142*400</f>
        <v>203600</v>
      </c>
      <c r="K142" s="9">
        <f>H142*200</f>
        <v>2800</v>
      </c>
      <c r="L142" s="9">
        <v>904303</v>
      </c>
      <c r="M142" s="9">
        <v>471447</v>
      </c>
      <c r="N142" s="8">
        <v>2320</v>
      </c>
      <c r="O142" s="8">
        <v>253371</v>
      </c>
      <c r="P142" s="8">
        <v>96814</v>
      </c>
      <c r="Q142" s="8">
        <f>613+937+1360+3646+26021</f>
        <v>32577</v>
      </c>
      <c r="R142" s="8">
        <v>4730</v>
      </c>
      <c r="S142" s="8">
        <v>3278</v>
      </c>
      <c r="T142" s="10">
        <f>Y142+Y143</f>
        <v>19064</v>
      </c>
      <c r="U142" s="11">
        <f>V142/V143</f>
        <v>0.30212858906106049</v>
      </c>
      <c r="V142" s="8">
        <v>51911</v>
      </c>
      <c r="W142" s="8">
        <v>56344</v>
      </c>
      <c r="X142" s="8">
        <v>29648</v>
      </c>
      <c r="Y142" s="8">
        <v>39</v>
      </c>
      <c r="Z142" s="11">
        <f>AA142/AC142</f>
        <v>4.6823430894363562E-2</v>
      </c>
      <c r="AA142" s="12">
        <f>30664</f>
        <v>30664</v>
      </c>
      <c r="AB142" s="8">
        <v>161332</v>
      </c>
      <c r="AC142" s="12">
        <f>654885.8</f>
        <v>654885.80000000005</v>
      </c>
      <c r="AD142" s="12">
        <f>AC142*1000/L142</f>
        <v>724.18846338008393</v>
      </c>
    </row>
    <row r="143" spans="1:30">
      <c r="B143" s="47" t="s">
        <v>127</v>
      </c>
      <c r="C143" s="87"/>
      <c r="D143" s="13"/>
      <c r="E143" s="13"/>
      <c r="F143" s="14">
        <f>I142/L142/1.95</f>
        <v>0.30010363272555257</v>
      </c>
      <c r="G143" s="14">
        <f>J142/L142/0.35</f>
        <v>0.64327364358438022</v>
      </c>
      <c r="H143" s="14">
        <f>K142/L142/0.075</f>
        <v>4.1284097623620994E-2</v>
      </c>
      <c r="I143" s="15"/>
      <c r="J143" s="15"/>
      <c r="K143" s="15"/>
      <c r="L143" s="15"/>
      <c r="M143" s="15"/>
      <c r="N143" s="13"/>
      <c r="O143" s="14">
        <f>O142/L142</f>
        <v>0.28018374372306626</v>
      </c>
      <c r="P143" s="14">
        <f>P142/M142</f>
        <v>0.2053550027892849</v>
      </c>
      <c r="Q143" s="13"/>
      <c r="R143" s="13"/>
      <c r="S143" s="14">
        <f>S142/R142</f>
        <v>0.69302325581395352</v>
      </c>
      <c r="T143" s="16"/>
      <c r="U143" s="16"/>
      <c r="V143" s="13">
        <f>0.19*L142</f>
        <v>171817.57</v>
      </c>
      <c r="W143" s="13"/>
      <c r="X143" s="13"/>
      <c r="Y143" s="13">
        <v>19025</v>
      </c>
      <c r="Z143" s="17"/>
      <c r="AA143" s="18"/>
      <c r="AB143" s="13"/>
      <c r="AC143" s="18"/>
      <c r="AD143" s="18"/>
    </row>
    <row r="144" spans="1:30">
      <c r="B144" s="47" t="s">
        <v>127</v>
      </c>
      <c r="C144" s="86" t="s">
        <v>70</v>
      </c>
      <c r="D144" s="8">
        <v>703</v>
      </c>
      <c r="E144" s="8">
        <v>6</v>
      </c>
      <c r="F144" s="8">
        <v>486</v>
      </c>
      <c r="G144" s="8">
        <v>181</v>
      </c>
      <c r="H144" s="8">
        <v>2</v>
      </c>
      <c r="I144" s="9">
        <f t="shared" si="10"/>
        <v>262440</v>
      </c>
      <c r="J144" s="9">
        <f>G144*400</f>
        <v>72400</v>
      </c>
      <c r="K144" s="9">
        <f>H144*200</f>
        <v>400</v>
      </c>
      <c r="L144" s="9">
        <v>285362</v>
      </c>
      <c r="M144" s="9">
        <v>149616</v>
      </c>
      <c r="N144" s="8">
        <v>1158</v>
      </c>
      <c r="O144" s="8">
        <v>93973</v>
      </c>
      <c r="P144" s="8">
        <v>42142</v>
      </c>
      <c r="Q144" s="8">
        <f>858+235+2956+17+1102</f>
        <v>5168</v>
      </c>
      <c r="R144" s="8">
        <v>1573</v>
      </c>
      <c r="S144" s="8">
        <v>1370</v>
      </c>
      <c r="T144" s="10">
        <f>Y144+Y145</f>
        <v>2523</v>
      </c>
      <c r="U144" s="11">
        <f>V144/V145</f>
        <v>0.36540844334748956</v>
      </c>
      <c r="V144" s="8">
        <v>19812</v>
      </c>
      <c r="W144" s="8">
        <v>18287</v>
      </c>
      <c r="X144" s="8">
        <v>16936</v>
      </c>
      <c r="Y144" s="8">
        <v>29</v>
      </c>
      <c r="Z144" s="11">
        <f>AA144/AC144</f>
        <v>7.7053467309235561E-3</v>
      </c>
      <c r="AA144" s="12">
        <f>5174.4</f>
        <v>5174.3999999999996</v>
      </c>
      <c r="AB144" s="8">
        <v>55972</v>
      </c>
      <c r="AC144" s="12">
        <f>671533.7</f>
        <v>671533.7</v>
      </c>
      <c r="AD144" s="12">
        <f>AC144*1000/L144</f>
        <v>2353.2695313321324</v>
      </c>
    </row>
    <row r="145" spans="2:30">
      <c r="B145" s="47" t="s">
        <v>127</v>
      </c>
      <c r="C145" s="87"/>
      <c r="D145" s="13"/>
      <c r="E145" s="13"/>
      <c r="F145" s="14">
        <f>I144/L144/1.95</f>
        <v>0.47162767076420614</v>
      </c>
      <c r="G145" s="14">
        <f>J144/L144/0.35</f>
        <v>0.72489379404806131</v>
      </c>
      <c r="H145" s="14">
        <f>K144/L144/0.075</f>
        <v>1.8689711080428838E-2</v>
      </c>
      <c r="I145" s="15"/>
      <c r="J145" s="15"/>
      <c r="K145" s="15"/>
      <c r="L145" s="15"/>
      <c r="M145" s="15"/>
      <c r="N145" s="13"/>
      <c r="O145" s="14">
        <f>O144/L144</f>
        <v>0.32931154113021355</v>
      </c>
      <c r="P145" s="14">
        <f>P144/M144</f>
        <v>0.28166773607100842</v>
      </c>
      <c r="Q145" s="13"/>
      <c r="R145" s="13"/>
      <c r="S145" s="14">
        <f>S144/R144</f>
        <v>0.87094723458359824</v>
      </c>
      <c r="T145" s="16"/>
      <c r="U145" s="16"/>
      <c r="V145" s="13">
        <f>0.19*L144</f>
        <v>54218.78</v>
      </c>
      <c r="W145" s="13"/>
      <c r="X145" s="13"/>
      <c r="Y145" s="13">
        <v>2494</v>
      </c>
      <c r="Z145" s="17"/>
      <c r="AA145" s="18"/>
      <c r="AB145" s="13"/>
      <c r="AC145" s="18"/>
      <c r="AD145" s="18"/>
    </row>
    <row r="146" spans="2:30">
      <c r="B146" s="47" t="s">
        <v>127</v>
      </c>
      <c r="C146" s="86" t="s">
        <v>71</v>
      </c>
      <c r="D146" s="8">
        <v>1041</v>
      </c>
      <c r="E146" s="8">
        <v>22</v>
      </c>
      <c r="F146" s="8">
        <v>564</v>
      </c>
      <c r="G146" s="8">
        <v>264</v>
      </c>
      <c r="H146" s="8">
        <v>28</v>
      </c>
      <c r="I146" s="9">
        <f t="shared" si="10"/>
        <v>304560</v>
      </c>
      <c r="J146" s="9">
        <f>G146*400</f>
        <v>105600</v>
      </c>
      <c r="K146" s="9">
        <f>H146*200</f>
        <v>5600</v>
      </c>
      <c r="L146" s="9">
        <v>496207</v>
      </c>
      <c r="M146" s="9">
        <v>263873</v>
      </c>
      <c r="N146" s="8">
        <v>1406</v>
      </c>
      <c r="O146" s="8">
        <v>138036</v>
      </c>
      <c r="P146" s="8">
        <v>51617</v>
      </c>
      <c r="Q146" s="8">
        <f>5547+150+550+346+6497</f>
        <v>13090</v>
      </c>
      <c r="R146" s="8">
        <v>1570</v>
      </c>
      <c r="S146" s="8">
        <v>624</v>
      </c>
      <c r="T146" s="10">
        <f>Y146+Y147</f>
        <v>8180</v>
      </c>
      <c r="U146" s="11">
        <f>V146/V147</f>
        <v>0.32394163174473134</v>
      </c>
      <c r="V146" s="8">
        <v>30541</v>
      </c>
      <c r="W146" s="8">
        <v>37554</v>
      </c>
      <c r="X146" s="8">
        <v>19217</v>
      </c>
      <c r="Y146" s="8">
        <v>17</v>
      </c>
      <c r="Z146" s="11">
        <f>AA146/AC146</f>
        <v>7.7327818277252436E-2</v>
      </c>
      <c r="AA146" s="12">
        <f>81248.3</f>
        <v>81248.3</v>
      </c>
      <c r="AB146" s="8">
        <v>83441</v>
      </c>
      <c r="AC146" s="12">
        <f>1050699.5</f>
        <v>1050699.5</v>
      </c>
      <c r="AD146" s="12">
        <f>AC146*1000/L146</f>
        <v>2117.4620672420988</v>
      </c>
    </row>
    <row r="147" spans="2:30">
      <c r="B147" s="47" t="s">
        <v>127</v>
      </c>
      <c r="C147" s="87"/>
      <c r="D147" s="13"/>
      <c r="E147" s="13"/>
      <c r="F147" s="14">
        <f>I146/L146/1.95</f>
        <v>0.31475697719825674</v>
      </c>
      <c r="G147" s="14">
        <f>J146/L146/0.35</f>
        <v>0.60804117175752403</v>
      </c>
      <c r="H147" s="14">
        <f>K146/L146/0.075</f>
        <v>0.15047483543494281</v>
      </c>
      <c r="I147" s="15"/>
      <c r="J147" s="15"/>
      <c r="K147" s="15"/>
      <c r="L147" s="15"/>
      <c r="M147" s="15"/>
      <c r="N147" s="13"/>
      <c r="O147" s="14">
        <f>O146/L146</f>
        <v>0.2781822908584522</v>
      </c>
      <c r="P147" s="14">
        <f>P146/M146</f>
        <v>0.19561304112205494</v>
      </c>
      <c r="Q147" s="13"/>
      <c r="R147" s="13"/>
      <c r="S147" s="14">
        <f>S146/R146</f>
        <v>0.39745222929936308</v>
      </c>
      <c r="T147" s="16"/>
      <c r="U147" s="16"/>
      <c r="V147" s="13">
        <f>0.19*L146</f>
        <v>94279.33</v>
      </c>
      <c r="W147" s="13"/>
      <c r="X147" s="13"/>
      <c r="Y147" s="13">
        <v>8163</v>
      </c>
      <c r="Z147" s="17"/>
      <c r="AA147" s="18"/>
      <c r="AB147" s="13"/>
      <c r="AC147" s="18"/>
      <c r="AD147" s="18"/>
    </row>
    <row r="148" spans="2:30">
      <c r="B148" s="47" t="s">
        <v>127</v>
      </c>
      <c r="C148" s="86" t="s">
        <v>72</v>
      </c>
      <c r="D148" s="8">
        <v>5791</v>
      </c>
      <c r="E148" s="8">
        <v>82</v>
      </c>
      <c r="F148" s="8">
        <v>3444</v>
      </c>
      <c r="G148" s="8">
        <v>1606</v>
      </c>
      <c r="H148" s="8">
        <v>75</v>
      </c>
      <c r="I148" s="9">
        <f t="shared" si="10"/>
        <v>1859760</v>
      </c>
      <c r="J148" s="9">
        <f>G148*400</f>
        <v>642400</v>
      </c>
      <c r="K148" s="9">
        <f>H148*200</f>
        <v>15000</v>
      </c>
      <c r="L148" s="57">
        <v>2220149</v>
      </c>
      <c r="M148" s="57">
        <v>1182152</v>
      </c>
      <c r="N148" s="8">
        <v>5457</v>
      </c>
      <c r="O148" s="8">
        <v>680358</v>
      </c>
      <c r="P148" s="8">
        <v>286050</v>
      </c>
      <c r="Q148" s="8">
        <f>3025+412+7584+8759+42227</f>
        <v>62007</v>
      </c>
      <c r="R148" s="8">
        <v>13885</v>
      </c>
      <c r="S148" s="8">
        <v>8109</v>
      </c>
      <c r="T148" s="10">
        <f>Y148+Y149</f>
        <v>34600</v>
      </c>
      <c r="U148" s="11">
        <f>V148/V149</f>
        <v>0.34893106154966225</v>
      </c>
      <c r="V148" s="8">
        <v>147189</v>
      </c>
      <c r="W148" s="8">
        <v>152436</v>
      </c>
      <c r="X148" s="8">
        <v>71489</v>
      </c>
      <c r="Y148" s="8">
        <v>53</v>
      </c>
      <c r="Z148" s="11">
        <f>AA148/AC148</f>
        <v>0.26641013799898666</v>
      </c>
      <c r="AA148" s="12">
        <f>712459.3</f>
        <v>712459.3</v>
      </c>
      <c r="AB148" s="8">
        <f>677313</f>
        <v>677313</v>
      </c>
      <c r="AC148" s="12">
        <f>2674295</f>
        <v>2674295</v>
      </c>
      <c r="AD148" s="12">
        <f>AC148*1000/L148</f>
        <v>1204.5565410249492</v>
      </c>
    </row>
    <row r="149" spans="2:30">
      <c r="B149" s="47" t="s">
        <v>127</v>
      </c>
      <c r="C149" s="87"/>
      <c r="D149" s="13"/>
      <c r="E149" s="13"/>
      <c r="F149" s="14">
        <f>I148/L148/1.95</f>
        <v>0.42957615769170315</v>
      </c>
      <c r="G149" s="14">
        <f>J148/L148/0.35</f>
        <v>0.82671414009986333</v>
      </c>
      <c r="H149" s="14">
        <f>K148/L148/0.075</f>
        <v>9.0084043908764677E-2</v>
      </c>
      <c r="I149" s="15"/>
      <c r="J149" s="15"/>
      <c r="K149" s="15"/>
      <c r="L149" s="15"/>
      <c r="M149" s="15"/>
      <c r="N149" s="13"/>
      <c r="O149" s="14">
        <f>O148/L148</f>
        <v>0.30644699972839662</v>
      </c>
      <c r="P149" s="14">
        <f>P148/M148</f>
        <v>0.24197395935548052</v>
      </c>
      <c r="Q149" s="13"/>
      <c r="R149" s="13"/>
      <c r="S149" s="14">
        <f>S148/R148</f>
        <v>0.5840115232265034</v>
      </c>
      <c r="T149" s="16"/>
      <c r="U149" s="16"/>
      <c r="V149" s="13">
        <f>0.19*L148</f>
        <v>421828.31</v>
      </c>
      <c r="W149" s="13"/>
      <c r="X149" s="13"/>
      <c r="Y149" s="13">
        <v>34547</v>
      </c>
      <c r="Z149" s="17"/>
      <c r="AA149" s="18"/>
      <c r="AB149" s="13"/>
      <c r="AC149" s="18"/>
      <c r="AD149" s="18"/>
    </row>
    <row r="150" spans="2:30">
      <c r="B150" s="47" t="s">
        <v>127</v>
      </c>
      <c r="C150" s="86" t="s">
        <v>73</v>
      </c>
      <c r="D150" s="8">
        <v>3088</v>
      </c>
      <c r="E150" s="8">
        <v>19</v>
      </c>
      <c r="F150" s="8">
        <v>1800</v>
      </c>
      <c r="G150" s="8">
        <v>762</v>
      </c>
      <c r="H150" s="8">
        <v>30</v>
      </c>
      <c r="I150" s="9">
        <f t="shared" si="10"/>
        <v>972000</v>
      </c>
      <c r="J150" s="9">
        <f>G150*400</f>
        <v>304800</v>
      </c>
      <c r="K150" s="9">
        <f>H150*200</f>
        <v>6000</v>
      </c>
      <c r="L150" s="9">
        <v>1017422</v>
      </c>
      <c r="M150" s="9">
        <v>527565</v>
      </c>
      <c r="N150" s="8">
        <v>2837</v>
      </c>
      <c r="O150" s="8">
        <v>223539</v>
      </c>
      <c r="P150" s="8">
        <v>84780</v>
      </c>
      <c r="Q150" s="8">
        <f>465+745+11736+4439</f>
        <v>17385</v>
      </c>
      <c r="R150" s="8">
        <v>3846</v>
      </c>
      <c r="S150" s="8">
        <v>2294</v>
      </c>
      <c r="T150" s="10">
        <f>Y150+Y151</f>
        <v>16862</v>
      </c>
      <c r="U150" s="11">
        <f>V150/V151</f>
        <v>0.40179984313293798</v>
      </c>
      <c r="V150" s="8">
        <v>77672</v>
      </c>
      <c r="W150" s="8">
        <v>49005</v>
      </c>
      <c r="X150" s="8">
        <v>31508</v>
      </c>
      <c r="Y150" s="8">
        <v>33</v>
      </c>
      <c r="Z150" s="11">
        <f>AA150/AC150</f>
        <v>8.8126624968387121E-2</v>
      </c>
      <c r="AA150" s="12">
        <f>140046.1</f>
        <v>140046.1</v>
      </c>
      <c r="AB150" s="8">
        <f>156812</f>
        <v>156812</v>
      </c>
      <c r="AC150" s="12">
        <f>1589146.3</f>
        <v>1589146.3</v>
      </c>
      <c r="AD150" s="12">
        <f>AC150*1000/L150</f>
        <v>1561.9342809571642</v>
      </c>
    </row>
    <row r="151" spans="2:30">
      <c r="B151" s="47" t="s">
        <v>127</v>
      </c>
      <c r="C151" s="87"/>
      <c r="D151" s="13"/>
      <c r="E151" s="13"/>
      <c r="F151" s="14">
        <f>I150/L150/1.95</f>
        <v>0.48992604687291852</v>
      </c>
      <c r="G151" s="14">
        <f>J150/L150/0.35</f>
        <v>0.85594487130919417</v>
      </c>
      <c r="H151" s="14">
        <f>K150/L150/0.075</f>
        <v>7.8630106288246182E-2</v>
      </c>
      <c r="I151" s="15"/>
      <c r="J151" s="15"/>
      <c r="K151" s="15"/>
      <c r="L151" s="15"/>
      <c r="M151" s="15"/>
      <c r="N151" s="13"/>
      <c r="O151" s="14">
        <f>O150/L150</f>
        <v>0.21971119161960329</v>
      </c>
      <c r="P151" s="14">
        <f>P150/M150</f>
        <v>0.16070057718006311</v>
      </c>
      <c r="Q151" s="13"/>
      <c r="R151" s="13"/>
      <c r="S151" s="14">
        <f>S150/R150</f>
        <v>0.59646385855434214</v>
      </c>
      <c r="T151" s="16"/>
      <c r="U151" s="16"/>
      <c r="V151" s="13">
        <f>0.19*L150</f>
        <v>193310.18</v>
      </c>
      <c r="W151" s="13"/>
      <c r="X151" s="13"/>
      <c r="Y151" s="13">
        <v>16829</v>
      </c>
      <c r="Z151" s="17"/>
      <c r="AA151" s="18"/>
      <c r="AB151" s="13"/>
      <c r="AC151" s="18"/>
      <c r="AD151" s="18"/>
    </row>
    <row r="152" spans="2:30">
      <c r="B152" s="47" t="s">
        <v>127</v>
      </c>
      <c r="C152" s="96" t="s">
        <v>74</v>
      </c>
      <c r="D152" s="8">
        <v>5852</v>
      </c>
      <c r="E152" s="8">
        <v>25</v>
      </c>
      <c r="F152" s="8">
        <v>2759</v>
      </c>
      <c r="G152" s="8">
        <v>2127</v>
      </c>
      <c r="H152" s="8">
        <v>99</v>
      </c>
      <c r="I152" s="9">
        <f t="shared" si="10"/>
        <v>1489860</v>
      </c>
      <c r="J152" s="9">
        <f>G152*400</f>
        <v>850800</v>
      </c>
      <c r="K152" s="9">
        <f>H152*200</f>
        <v>19800</v>
      </c>
      <c r="L152" s="9">
        <v>2667731</v>
      </c>
      <c r="M152" s="9">
        <v>1412489</v>
      </c>
      <c r="N152" s="8">
        <v>8488</v>
      </c>
      <c r="O152" s="8">
        <v>767908</v>
      </c>
      <c r="P152" s="8">
        <v>307537</v>
      </c>
      <c r="Q152" s="8">
        <f>84950+365+4090+8062+59700</f>
        <v>157167</v>
      </c>
      <c r="R152" s="8">
        <v>16163</v>
      </c>
      <c r="S152" s="8">
        <v>12566</v>
      </c>
      <c r="T152" s="10">
        <f>Y152+Y153</f>
        <v>10574</v>
      </c>
      <c r="U152" s="11">
        <f>V152/V153</f>
        <v>0.28101941707252936</v>
      </c>
      <c r="V152" s="8">
        <v>142440</v>
      </c>
      <c r="W152" s="8">
        <v>202522</v>
      </c>
      <c r="X152" s="8">
        <v>82981</v>
      </c>
      <c r="Y152" s="8">
        <v>113</v>
      </c>
      <c r="Z152" s="11">
        <f>AA152/AC152</f>
        <v>0.14313501085326694</v>
      </c>
      <c r="AA152" s="12">
        <f>1244181</f>
        <v>1244181</v>
      </c>
      <c r="AB152" s="8">
        <v>423369</v>
      </c>
      <c r="AC152" s="12">
        <f>8692359.7</f>
        <v>8692359.6999999993</v>
      </c>
      <c r="AD152" s="12">
        <f>AC152*1000/L152</f>
        <v>3258.3344047806918</v>
      </c>
    </row>
    <row r="153" spans="2:30">
      <c r="B153" s="47" t="s">
        <v>127</v>
      </c>
      <c r="C153" s="97"/>
      <c r="D153" s="13"/>
      <c r="E153" s="13"/>
      <c r="F153" s="14">
        <f>I152/L152/1.95</f>
        <v>0.28639723016704804</v>
      </c>
      <c r="G153" s="14">
        <f>J152/L152/0.35</f>
        <v>0.91120774278109118</v>
      </c>
      <c r="H153" s="14">
        <f>K152/L152/0.075</f>
        <v>9.8960502389483798E-2</v>
      </c>
      <c r="I153" s="15"/>
      <c r="J153" s="15"/>
      <c r="K153" s="15"/>
      <c r="L153" s="15"/>
      <c r="M153" s="15"/>
      <c r="N153" s="13"/>
      <c r="O153" s="14">
        <f>O152/L152</f>
        <v>0.28785061162463532</v>
      </c>
      <c r="P153" s="14">
        <f>P152/M152</f>
        <v>0.21772700530765196</v>
      </c>
      <c r="Q153" s="13"/>
      <c r="R153" s="13"/>
      <c r="S153" s="14">
        <f>S152/R152</f>
        <v>0.77745468044298705</v>
      </c>
      <c r="T153" s="16"/>
      <c r="U153" s="16"/>
      <c r="V153" s="13">
        <f>0.19*L152</f>
        <v>506868.89</v>
      </c>
      <c r="W153" s="13"/>
      <c r="X153" s="13"/>
      <c r="Y153" s="13">
        <v>10461</v>
      </c>
      <c r="Z153" s="17"/>
      <c r="AA153" s="18"/>
      <c r="AB153" s="13"/>
      <c r="AC153" s="18"/>
      <c r="AD153" s="18"/>
    </row>
    <row r="154" spans="2:30">
      <c r="B154" s="47" t="s">
        <v>127</v>
      </c>
      <c r="C154" s="86" t="s">
        <v>75</v>
      </c>
      <c r="D154" s="8">
        <v>3745</v>
      </c>
      <c r="E154" s="8">
        <v>25</v>
      </c>
      <c r="F154" s="8">
        <v>1913</v>
      </c>
      <c r="G154" s="8">
        <v>1326</v>
      </c>
      <c r="H154" s="8">
        <v>77</v>
      </c>
      <c r="I154" s="9">
        <f t="shared" si="10"/>
        <v>1033020</v>
      </c>
      <c r="J154" s="9">
        <f>G154*400</f>
        <v>530400</v>
      </c>
      <c r="K154" s="9">
        <f>H154*200</f>
        <v>15400</v>
      </c>
      <c r="L154" s="9">
        <v>2251874</v>
      </c>
      <c r="M154" s="9">
        <v>1202683</v>
      </c>
      <c r="N154" s="8">
        <v>5394</v>
      </c>
      <c r="O154" s="8">
        <v>460868</v>
      </c>
      <c r="P154" s="8">
        <v>142871</v>
      </c>
      <c r="Q154" s="8">
        <f>1306+121+4024+2475+35319</f>
        <v>43245</v>
      </c>
      <c r="R154" s="8">
        <v>55070</v>
      </c>
      <c r="S154" s="8">
        <v>15295</v>
      </c>
      <c r="T154" s="10">
        <f>Y154+Y155</f>
        <v>19329</v>
      </c>
      <c r="U154" s="11">
        <f>V154/V155</f>
        <v>0.21244761614455104</v>
      </c>
      <c r="V154" s="8">
        <v>90897</v>
      </c>
      <c r="W154" s="8">
        <v>74059</v>
      </c>
      <c r="X154" s="8">
        <v>59366</v>
      </c>
      <c r="Y154" s="8">
        <v>45</v>
      </c>
      <c r="Z154" s="11">
        <f>AA154/AC154</f>
        <v>3.6737067007093019E-2</v>
      </c>
      <c r="AA154" s="12">
        <f>161072.3</f>
        <v>161072.29999999999</v>
      </c>
      <c r="AB154" s="8">
        <v>229539</v>
      </c>
      <c r="AC154" s="12">
        <f>4384462.7</f>
        <v>4384462.7</v>
      </c>
      <c r="AD154" s="12">
        <f>AC154*1000/L154</f>
        <v>1947.028430542739</v>
      </c>
    </row>
    <row r="155" spans="2:30">
      <c r="B155" s="47" t="s">
        <v>127</v>
      </c>
      <c r="C155" s="87"/>
      <c r="D155" s="13"/>
      <c r="E155" s="13"/>
      <c r="F155" s="14">
        <f>I154/L154/1.95</f>
        <v>0.23525021655467673</v>
      </c>
      <c r="G155" s="14">
        <f>J154/L154/0.35</f>
        <v>0.67296330586372577</v>
      </c>
      <c r="H155" s="14">
        <f>K154/L154/0.075</f>
        <v>9.1183313690434434E-2</v>
      </c>
      <c r="I155" s="15"/>
      <c r="J155" s="15"/>
      <c r="K155" s="15"/>
      <c r="L155" s="15"/>
      <c r="M155" s="15"/>
      <c r="N155" s="13"/>
      <c r="O155" s="14">
        <f>O154/L154</f>
        <v>0.20465976337930097</v>
      </c>
      <c r="P155" s="14">
        <f>P154/M154</f>
        <v>0.11879356405636397</v>
      </c>
      <c r="Q155" s="13"/>
      <c r="R155" s="13"/>
      <c r="S155" s="14">
        <f>S154/R154</f>
        <v>0.27773742509533322</v>
      </c>
      <c r="T155" s="16"/>
      <c r="U155" s="16"/>
      <c r="V155" s="13">
        <f>0.19*L154</f>
        <v>427856.06</v>
      </c>
      <c r="W155" s="13"/>
      <c r="X155" s="13"/>
      <c r="Y155" s="13">
        <v>19284</v>
      </c>
      <c r="Z155" s="17"/>
      <c r="AA155" s="18"/>
      <c r="AB155" s="13"/>
      <c r="AC155" s="18"/>
      <c r="AD155" s="18"/>
    </row>
    <row r="156" spans="2:30">
      <c r="B156" s="47" t="s">
        <v>127</v>
      </c>
      <c r="C156" s="86" t="s">
        <v>76</v>
      </c>
      <c r="D156" s="8">
        <v>7965</v>
      </c>
      <c r="E156" s="8">
        <v>28</v>
      </c>
      <c r="F156" s="8">
        <v>4422</v>
      </c>
      <c r="G156" s="8">
        <v>1085</v>
      </c>
      <c r="H156" s="8">
        <v>129</v>
      </c>
      <c r="I156" s="9">
        <f t="shared" si="10"/>
        <v>2387880</v>
      </c>
      <c r="J156" s="9">
        <f>G156*400</f>
        <v>434000</v>
      </c>
      <c r="K156" s="9">
        <f>H156*200</f>
        <v>25800</v>
      </c>
      <c r="L156" s="9">
        <v>2547106</v>
      </c>
      <c r="M156" s="9">
        <v>1367517</v>
      </c>
      <c r="N156" s="8">
        <v>6913</v>
      </c>
      <c r="O156" s="8">
        <v>926915</v>
      </c>
      <c r="P156" s="8">
        <v>365469</v>
      </c>
      <c r="Q156" s="8">
        <f>11305+160+6709+2788+33592</f>
        <v>54554</v>
      </c>
      <c r="R156" s="8">
        <v>95031</v>
      </c>
      <c r="S156" s="8">
        <v>9175</v>
      </c>
      <c r="T156" s="10">
        <f>Y156+Y157</f>
        <v>19358</v>
      </c>
      <c r="U156" s="11">
        <f>V156/V157</f>
        <v>0.37065801861323977</v>
      </c>
      <c r="V156" s="8">
        <v>179380</v>
      </c>
      <c r="W156" s="8">
        <v>235060</v>
      </c>
      <c r="X156" s="8">
        <v>103094</v>
      </c>
      <c r="Y156" s="8">
        <v>72</v>
      </c>
      <c r="Z156" s="11">
        <f>AA156/AC156</f>
        <v>0.10605435085427975</v>
      </c>
      <c r="AA156" s="12">
        <f>399254.5</f>
        <v>399254.5</v>
      </c>
      <c r="AB156" s="8">
        <v>533201</v>
      </c>
      <c r="AC156" s="12">
        <f>3764621.6</f>
        <v>3764621.6</v>
      </c>
      <c r="AD156" s="12">
        <f>AC156*1000/L156</f>
        <v>1477.9995807006069</v>
      </c>
    </row>
    <row r="157" spans="2:30">
      <c r="B157" s="47" t="s">
        <v>127</v>
      </c>
      <c r="C157" s="87"/>
      <c r="D157" s="13"/>
      <c r="E157" s="13"/>
      <c r="F157" s="14">
        <f>I156/L156/1.95</f>
        <v>0.48076281322954217</v>
      </c>
      <c r="G157" s="14">
        <f>J156/L156/0.35</f>
        <v>0.48682701073296519</v>
      </c>
      <c r="H157" s="14">
        <f>K156/L156/0.075</f>
        <v>0.13505523523559682</v>
      </c>
      <c r="I157" s="15"/>
      <c r="J157" s="15"/>
      <c r="K157" s="15"/>
      <c r="L157" s="15"/>
      <c r="M157" s="15"/>
      <c r="N157" s="13"/>
      <c r="O157" s="14">
        <f>O156/L156</f>
        <v>0.36390907955931162</v>
      </c>
      <c r="P157" s="14">
        <f>P156/M156</f>
        <v>0.26725005977987842</v>
      </c>
      <c r="Q157" s="13"/>
      <c r="R157" s="13"/>
      <c r="S157" s="14">
        <f>S156/R156</f>
        <v>9.6547442413528223E-2</v>
      </c>
      <c r="T157" s="16"/>
      <c r="U157" s="16"/>
      <c r="V157" s="13">
        <f>0.19*L156</f>
        <v>483950.14</v>
      </c>
      <c r="W157" s="13"/>
      <c r="X157" s="13"/>
      <c r="Y157" s="13">
        <v>19286</v>
      </c>
      <c r="Z157" s="17"/>
      <c r="AA157" s="18"/>
      <c r="AB157" s="13"/>
      <c r="AC157" s="18"/>
      <c r="AD157" s="18"/>
    </row>
    <row r="158" spans="2:30">
      <c r="B158" s="47" t="s">
        <v>127</v>
      </c>
      <c r="C158" s="86" t="s">
        <v>77</v>
      </c>
      <c r="D158" s="8">
        <v>4512</v>
      </c>
      <c r="E158" s="8">
        <v>25</v>
      </c>
      <c r="F158" s="8">
        <v>2261</v>
      </c>
      <c r="G158" s="8">
        <v>1302</v>
      </c>
      <c r="H158" s="8">
        <v>83</v>
      </c>
      <c r="I158" s="9">
        <f t="shared" si="10"/>
        <v>1220940</v>
      </c>
      <c r="J158" s="9">
        <f>G158*400</f>
        <v>520800</v>
      </c>
      <c r="K158" s="9">
        <f>H158*200</f>
        <v>16600</v>
      </c>
      <c r="L158" s="9">
        <v>2539062</v>
      </c>
      <c r="M158" s="9">
        <v>1342846</v>
      </c>
      <c r="N158" s="8">
        <v>5718</v>
      </c>
      <c r="O158" s="8">
        <v>669973</v>
      </c>
      <c r="P158" s="8">
        <v>230284</v>
      </c>
      <c r="Q158" s="8">
        <f>1235+5500+8521+34681</f>
        <v>49937</v>
      </c>
      <c r="R158" s="8">
        <v>23015</v>
      </c>
      <c r="S158" s="8">
        <v>9898</v>
      </c>
      <c r="T158" s="10">
        <f>Y158+Y159</f>
        <v>16527</v>
      </c>
      <c r="U158" s="11">
        <f>V158/V159</f>
        <v>0.24938757947454196</v>
      </c>
      <c r="V158" s="8">
        <v>120310</v>
      </c>
      <c r="W158" s="8">
        <v>92391</v>
      </c>
      <c r="X158" s="8">
        <v>87687</v>
      </c>
      <c r="Y158" s="8">
        <v>154</v>
      </c>
      <c r="Z158" s="11">
        <f>AA158/AC158</f>
        <v>2.4444927640298878E-2</v>
      </c>
      <c r="AA158" s="12">
        <f>84732.8</f>
        <v>84732.800000000003</v>
      </c>
      <c r="AB158" s="8">
        <v>250106</v>
      </c>
      <c r="AC158" s="12">
        <f>3466273.3</f>
        <v>3466273.3</v>
      </c>
      <c r="AD158" s="12">
        <f>AC158*1000/L158</f>
        <v>1365.1786762198008</v>
      </c>
    </row>
    <row r="159" spans="2:30">
      <c r="B159" s="47" t="s">
        <v>127</v>
      </c>
      <c r="C159" s="87"/>
      <c r="D159" s="13"/>
      <c r="E159" s="13"/>
      <c r="F159" s="14">
        <f>I158/L158/1.95</f>
        <v>0.24659621424095862</v>
      </c>
      <c r="G159" s="14">
        <f>J158/L158/0.35</f>
        <v>0.58604319232850555</v>
      </c>
      <c r="H159" s="14">
        <f>K158/L158/0.075</f>
        <v>8.7171299217322515E-2</v>
      </c>
      <c r="I159" s="15"/>
      <c r="J159" s="15"/>
      <c r="K159" s="15"/>
      <c r="L159" s="15"/>
      <c r="M159" s="15"/>
      <c r="N159" s="13"/>
      <c r="O159" s="14">
        <f>O158/L158</f>
        <v>0.26386634119214103</v>
      </c>
      <c r="P159" s="14">
        <f>P158/M158</f>
        <v>0.17148950810442895</v>
      </c>
      <c r="Q159" s="13"/>
      <c r="R159" s="13"/>
      <c r="S159" s="14">
        <f>S158/R158</f>
        <v>0.43006734738214208</v>
      </c>
      <c r="T159" s="16"/>
      <c r="U159" s="16"/>
      <c r="V159" s="13">
        <f>0.19*L158</f>
        <v>482421.78</v>
      </c>
      <c r="W159" s="13"/>
      <c r="X159" s="13"/>
      <c r="Y159" s="13">
        <v>16373</v>
      </c>
      <c r="Z159" s="17"/>
      <c r="AA159" s="18"/>
      <c r="AB159" s="13"/>
      <c r="AC159" s="18"/>
      <c r="AD159" s="18"/>
    </row>
    <row r="160" spans="2:30">
      <c r="B160" s="47" t="s">
        <v>127</v>
      </c>
      <c r="C160" s="86" t="s">
        <v>78</v>
      </c>
      <c r="D160" s="8">
        <v>5039</v>
      </c>
      <c r="E160" s="8">
        <v>40</v>
      </c>
      <c r="F160" s="8">
        <v>2645</v>
      </c>
      <c r="G160" s="8">
        <v>1222</v>
      </c>
      <c r="H160" s="8">
        <v>71</v>
      </c>
      <c r="I160" s="9">
        <f t="shared" si="10"/>
        <v>1428300</v>
      </c>
      <c r="J160" s="9">
        <f>G160*400</f>
        <v>488800</v>
      </c>
      <c r="K160" s="9">
        <f>H160*200</f>
        <v>14200</v>
      </c>
      <c r="L160" s="9">
        <v>1833531</v>
      </c>
      <c r="M160" s="9">
        <v>977770</v>
      </c>
      <c r="N160" s="8">
        <v>4865</v>
      </c>
      <c r="O160" s="8">
        <v>602562</v>
      </c>
      <c r="P160" s="8">
        <v>224797</v>
      </c>
      <c r="Q160" s="8">
        <f>3341+1011+6505+28092</f>
        <v>38949</v>
      </c>
      <c r="R160" s="8">
        <v>6553</v>
      </c>
      <c r="S160" s="8">
        <v>4976</v>
      </c>
      <c r="T160" s="10">
        <f>Y160+Y161</f>
        <v>19609</v>
      </c>
      <c r="U160" s="11">
        <f>V160/V161</f>
        <v>0.38354237921543904</v>
      </c>
      <c r="V160" s="8">
        <v>133615</v>
      </c>
      <c r="W160" s="8">
        <v>147419</v>
      </c>
      <c r="X160" s="8">
        <v>83066</v>
      </c>
      <c r="Y160" s="8">
        <v>69</v>
      </c>
      <c r="Z160" s="11">
        <f>AA160/AC160</f>
        <v>7.8717646150743989E-2</v>
      </c>
      <c r="AA160" s="12">
        <f>171536</f>
        <v>171536</v>
      </c>
      <c r="AB160" s="8">
        <v>276752</v>
      </c>
      <c r="AC160" s="12">
        <f>2179130.2</f>
        <v>2179130.2000000002</v>
      </c>
      <c r="AD160" s="12">
        <f>AC160*1000/L160</f>
        <v>1188.4883320761962</v>
      </c>
    </row>
    <row r="161" spans="1:30">
      <c r="B161" s="47" t="s">
        <v>127</v>
      </c>
      <c r="C161" s="87"/>
      <c r="D161" s="13"/>
      <c r="E161" s="13"/>
      <c r="F161" s="14">
        <f>I160/L160/1.95</f>
        <v>0.39948140416580824</v>
      </c>
      <c r="G161" s="14">
        <f>J160/L160/0.35</f>
        <v>0.76168411037033401</v>
      </c>
      <c r="H161" s="14">
        <f>K160/L160/0.075</f>
        <v>0.10326159379543261</v>
      </c>
      <c r="I161" s="15"/>
      <c r="J161" s="15"/>
      <c r="K161" s="15"/>
      <c r="L161" s="15"/>
      <c r="M161" s="15"/>
      <c r="N161" s="13"/>
      <c r="O161" s="14">
        <f>O160/L160</f>
        <v>0.32863474901706052</v>
      </c>
      <c r="P161" s="14">
        <f>P160/M160</f>
        <v>0.22990785153972815</v>
      </c>
      <c r="Q161" s="13"/>
      <c r="R161" s="13"/>
      <c r="S161" s="14">
        <f>S160/R160</f>
        <v>0.75934686403174123</v>
      </c>
      <c r="T161" s="16"/>
      <c r="U161" s="16"/>
      <c r="V161" s="13">
        <f>0.19*L160</f>
        <v>348370.89</v>
      </c>
      <c r="W161" s="13"/>
      <c r="X161" s="13"/>
      <c r="Y161" s="13">
        <v>19540</v>
      </c>
      <c r="Z161" s="17"/>
      <c r="AA161" s="18"/>
      <c r="AB161" s="13"/>
      <c r="AC161" s="18"/>
      <c r="AD161" s="18"/>
    </row>
    <row r="162" spans="1:30">
      <c r="B162" s="47" t="s">
        <v>127</v>
      </c>
      <c r="C162" s="86" t="s">
        <v>79</v>
      </c>
      <c r="D162" s="8">
        <v>1619</v>
      </c>
      <c r="E162" s="8">
        <v>17</v>
      </c>
      <c r="F162" s="8">
        <v>715</v>
      </c>
      <c r="G162" s="8">
        <v>468</v>
      </c>
      <c r="H162" s="8">
        <v>25</v>
      </c>
      <c r="I162" s="9">
        <f t="shared" si="10"/>
        <v>386100</v>
      </c>
      <c r="J162" s="9">
        <f>G162*400</f>
        <v>187200</v>
      </c>
      <c r="K162" s="9">
        <f>H162*200</f>
        <v>5000</v>
      </c>
      <c r="L162" s="9">
        <v>1001662</v>
      </c>
      <c r="M162" s="9">
        <v>526774</v>
      </c>
      <c r="N162" s="8">
        <v>2521</v>
      </c>
      <c r="O162" s="8">
        <v>187821</v>
      </c>
      <c r="P162" s="8">
        <v>58768</v>
      </c>
      <c r="Q162" s="8">
        <f>230+1744+112+27769</f>
        <v>29855</v>
      </c>
      <c r="R162" s="8">
        <v>11507</v>
      </c>
      <c r="S162" s="8">
        <v>6608</v>
      </c>
      <c r="T162" s="10">
        <f>Y162+Y163</f>
        <v>6064</v>
      </c>
      <c r="U162" s="11">
        <f>V162/V163</f>
        <v>0.24952739073974844</v>
      </c>
      <c r="V162" s="8">
        <v>47489</v>
      </c>
      <c r="W162" s="8">
        <v>26549</v>
      </c>
      <c r="X162" s="8">
        <v>29989</v>
      </c>
      <c r="Y162" s="8">
        <v>42</v>
      </c>
      <c r="Z162" s="11">
        <f>AA162/AC162</f>
        <v>4.8003372016951505E-2</v>
      </c>
      <c r="AA162" s="12">
        <f>126653.1</f>
        <v>126653.1</v>
      </c>
      <c r="AB162" s="8">
        <v>103215</v>
      </c>
      <c r="AC162" s="12">
        <f>2638420.9</f>
        <v>2638420.9</v>
      </c>
      <c r="AD162" s="12">
        <f>AC162*1000/L162</f>
        <v>2634.0431203340049</v>
      </c>
    </row>
    <row r="163" spans="1:30">
      <c r="B163" s="47" t="s">
        <v>127</v>
      </c>
      <c r="C163" s="87"/>
      <c r="D163" s="13"/>
      <c r="E163" s="13"/>
      <c r="F163" s="14">
        <f>I162/L162/1.95</f>
        <v>0.19767147001683202</v>
      </c>
      <c r="G163" s="14">
        <f>J162/L162/0.35</f>
        <v>0.53396968524027355</v>
      </c>
      <c r="H163" s="14">
        <f>K162/L162/0.075</f>
        <v>6.6556050510717862E-2</v>
      </c>
      <c r="I163" s="15"/>
      <c r="J163" s="15"/>
      <c r="K163" s="15"/>
      <c r="L163" s="15"/>
      <c r="M163" s="15"/>
      <c r="N163" s="13"/>
      <c r="O163" s="14">
        <f>O162/L162</f>
        <v>0.18750935944460306</v>
      </c>
      <c r="P163" s="14">
        <f>P162/M162</f>
        <v>0.11156207405832483</v>
      </c>
      <c r="Q163" s="13"/>
      <c r="R163" s="13"/>
      <c r="S163" s="14">
        <f>S162/R162</f>
        <v>0.57425914660641353</v>
      </c>
      <c r="T163" s="16"/>
      <c r="U163" s="16"/>
      <c r="V163" s="13">
        <f>0.19*L162</f>
        <v>190315.78</v>
      </c>
      <c r="W163" s="13"/>
      <c r="X163" s="13"/>
      <c r="Y163" s="13">
        <v>6022</v>
      </c>
      <c r="Z163" s="17"/>
      <c r="AA163" s="18"/>
      <c r="AB163" s="13"/>
      <c r="AC163" s="18"/>
      <c r="AD163" s="18"/>
    </row>
    <row r="164" spans="1:30" s="20" customFormat="1">
      <c r="A164" s="49" t="s">
        <v>129</v>
      </c>
      <c r="B164" s="50" t="s">
        <v>127</v>
      </c>
      <c r="C164" s="88" t="s">
        <v>80</v>
      </c>
      <c r="D164" s="24">
        <f t="shared" ref="D164:T164" si="11">SUM(D162,D160,D158,D156,D154,D152,D150,D148,D146,D144,D142,D140)</f>
        <v>41403</v>
      </c>
      <c r="E164" s="24">
        <f t="shared" si="11"/>
        <v>311</v>
      </c>
      <c r="F164" s="24">
        <f t="shared" si="11"/>
        <v>22153</v>
      </c>
      <c r="G164" s="24">
        <f t="shared" si="11"/>
        <v>10980</v>
      </c>
      <c r="H164" s="24">
        <f t="shared" si="11"/>
        <v>634</v>
      </c>
      <c r="I164" s="19">
        <f t="shared" si="11"/>
        <v>11962620</v>
      </c>
      <c r="J164" s="19">
        <f t="shared" si="11"/>
        <v>4392000</v>
      </c>
      <c r="K164" s="19">
        <f t="shared" si="11"/>
        <v>126800</v>
      </c>
      <c r="L164" s="19">
        <f t="shared" si="11"/>
        <v>17958183</v>
      </c>
      <c r="M164" s="19">
        <f t="shared" si="11"/>
        <v>9526371</v>
      </c>
      <c r="N164" s="24">
        <f t="shared" si="11"/>
        <v>47732</v>
      </c>
      <c r="O164" s="24">
        <f t="shared" si="11"/>
        <v>5042597</v>
      </c>
      <c r="P164" s="24">
        <f t="shared" si="11"/>
        <v>1902246</v>
      </c>
      <c r="Q164" s="24">
        <f t="shared" si="11"/>
        <v>504245</v>
      </c>
      <c r="R164" s="24">
        <f t="shared" si="11"/>
        <v>234933</v>
      </c>
      <c r="S164" s="24">
        <f t="shared" si="11"/>
        <v>75470</v>
      </c>
      <c r="T164" s="24">
        <f t="shared" si="11"/>
        <v>173586</v>
      </c>
      <c r="U164" s="21">
        <f>V164/V165</f>
        <v>0.30773978461078455</v>
      </c>
      <c r="V164" s="24">
        <f>SUM(V162,V160,V158,V156,V154,V152,V150,V148,V146,V144,V142,V140)</f>
        <v>1050025</v>
      </c>
      <c r="W164" s="24">
        <f>SUM(W162,W160,W158,W156,W154,W152,W150,W148,W146,W144,W142,W140)</f>
        <v>1104729</v>
      </c>
      <c r="X164" s="24">
        <f>SUM(X162,X160,X158,X156,X154,X152,X150,X148,X146,X144,X142,X140)</f>
        <v>622633</v>
      </c>
      <c r="Y164" s="24">
        <f>SUM(Y162,Y160,Y158,Y156,Y154,Y152,Y150,Y148,Y146,Y144,Y142,Y140)</f>
        <v>690</v>
      </c>
      <c r="Z164" s="21">
        <f>AA164/AC164</f>
        <v>9.8910380972385609E-2</v>
      </c>
      <c r="AA164" s="22">
        <f>SUM(AA162,AA160,AA158,AA156,AA154,AA152,AA150,AA148,AA146,AA144,AA142,AA140)</f>
        <v>3157287.5000000005</v>
      </c>
      <c r="AB164" s="24">
        <f>SUM(AB162,AB160,AB158,AB156,AB154,AB152,AB150,AB148,AB146,AB144,AB142,AB140)</f>
        <v>2978944</v>
      </c>
      <c r="AC164" s="22">
        <f>SUM(AC162,AC160,AC158,AC156,AC154,AC152,AC150,AC148,AC146,AC144,AC142,AC140)</f>
        <v>31920688.899999999</v>
      </c>
      <c r="AD164" s="22">
        <f>AC164*1000/L164</f>
        <v>1777.5010367140151</v>
      </c>
    </row>
    <row r="165" spans="1:30" s="20" customFormat="1">
      <c r="A165" s="49" t="s">
        <v>129</v>
      </c>
      <c r="B165" s="50" t="s">
        <v>127</v>
      </c>
      <c r="C165" s="89"/>
      <c r="D165" s="26"/>
      <c r="E165" s="26"/>
      <c r="F165" s="23">
        <f>I164/L164/1.95</f>
        <v>0.34160899925548838</v>
      </c>
      <c r="G165" s="23">
        <f>J164/L164/0.35</f>
        <v>0.69876620750392338</v>
      </c>
      <c r="H165" s="23">
        <f>K164/L164/0.075</f>
        <v>9.4144639614523726E-2</v>
      </c>
      <c r="I165" s="19"/>
      <c r="J165" s="19"/>
      <c r="K165" s="19"/>
      <c r="L165" s="19"/>
      <c r="M165" s="19"/>
      <c r="N165" s="26"/>
      <c r="O165" s="23">
        <f>O164/L164</f>
        <v>0.28079661511412374</v>
      </c>
      <c r="P165" s="23">
        <f>P164/M164</f>
        <v>0.19968212449420666</v>
      </c>
      <c r="Q165" s="26"/>
      <c r="R165" s="26"/>
      <c r="S165" s="23">
        <f>S164/R164</f>
        <v>0.32124052389404639</v>
      </c>
      <c r="T165" s="28"/>
      <c r="U165" s="28"/>
      <c r="V165" s="26">
        <f>SUM(V163,V161,V159,V157,V155,V153,V151,V149,V147,V145,V143,V141)</f>
        <v>3412054.77</v>
      </c>
      <c r="W165" s="26"/>
      <c r="X165" s="26"/>
      <c r="Y165" s="26">
        <f>SUM(Y163,Y161,Y159,Y157,Y155,Y153,Y151,Y149,Y147,Y145,Y143,Y141)</f>
        <v>172896</v>
      </c>
      <c r="Z165" s="29"/>
      <c r="AA165" s="30"/>
      <c r="AB165" s="26"/>
      <c r="AC165" s="30"/>
      <c r="AD165" s="30"/>
    </row>
    <row r="166" spans="1:30">
      <c r="B166" s="47" t="s">
        <v>128</v>
      </c>
      <c r="C166" s="86" t="s">
        <v>81</v>
      </c>
      <c r="D166" s="8">
        <v>1720</v>
      </c>
      <c r="E166" s="8">
        <v>21</v>
      </c>
      <c r="F166" s="8">
        <v>542</v>
      </c>
      <c r="G166" s="8">
        <v>822</v>
      </c>
      <c r="H166" s="8">
        <v>51</v>
      </c>
      <c r="I166" s="9">
        <f t="shared" ref="I166:I182" si="12">F166*540</f>
        <v>292680</v>
      </c>
      <c r="J166" s="9">
        <f>G166*400</f>
        <v>328800</v>
      </c>
      <c r="K166" s="9">
        <f>H166*200</f>
        <v>10200</v>
      </c>
      <c r="L166" s="57">
        <v>895106</v>
      </c>
      <c r="M166" s="9">
        <v>459886</v>
      </c>
      <c r="N166" s="8">
        <v>3798</v>
      </c>
      <c r="O166" s="8">
        <v>263222</v>
      </c>
      <c r="P166" s="8">
        <v>103404</v>
      </c>
      <c r="Q166" s="8">
        <f>6160+134+1918+2749+23277</f>
        <v>34238</v>
      </c>
      <c r="R166" s="8">
        <v>5684</v>
      </c>
      <c r="S166" s="8">
        <v>2587</v>
      </c>
      <c r="T166" s="10">
        <f>Y166+Y167</f>
        <v>11267</v>
      </c>
      <c r="U166" s="11">
        <f>V166/V167</f>
        <v>0.26574329861785256</v>
      </c>
      <c r="V166" s="8">
        <v>45195</v>
      </c>
      <c r="W166" s="8">
        <v>42039</v>
      </c>
      <c r="X166" s="8">
        <v>34379</v>
      </c>
      <c r="Y166" s="8">
        <v>17</v>
      </c>
      <c r="Z166" s="11">
        <f>AA166/AC166</f>
        <v>3.2730620134288936E-2</v>
      </c>
      <c r="AA166" s="12">
        <f>140008.9</f>
        <v>140008.9</v>
      </c>
      <c r="AB166" s="8">
        <v>199860</v>
      </c>
      <c r="AC166" s="12">
        <f>4277612.2</f>
        <v>4277612.2</v>
      </c>
      <c r="AD166" s="12">
        <f>AC166*1000/L166</f>
        <v>4778.8889807464147</v>
      </c>
    </row>
    <row r="167" spans="1:30">
      <c r="B167" s="47" t="s">
        <v>128</v>
      </c>
      <c r="C167" s="87"/>
      <c r="D167" s="13"/>
      <c r="E167" s="13"/>
      <c r="F167" s="14">
        <f>I166/L166/1.95</f>
        <v>0.16768104301871253</v>
      </c>
      <c r="G167" s="14">
        <f>J166/L166/0.35</f>
        <v>1.0495165616458515</v>
      </c>
      <c r="H167" s="14">
        <f>K166/L166/0.075</f>
        <v>0.15193731245237996</v>
      </c>
      <c r="I167" s="15"/>
      <c r="J167" s="15"/>
      <c r="K167" s="15"/>
      <c r="L167" s="15"/>
      <c r="M167" s="15"/>
      <c r="N167" s="13"/>
      <c r="O167" s="14">
        <f>O166/L166</f>
        <v>0.29406796513485556</v>
      </c>
      <c r="P167" s="14">
        <f>P166/M166</f>
        <v>0.22484702730676734</v>
      </c>
      <c r="Q167" s="13"/>
      <c r="R167" s="13"/>
      <c r="S167" s="14">
        <f>S166/R166</f>
        <v>0.45513722730471501</v>
      </c>
      <c r="T167" s="16"/>
      <c r="U167" s="16"/>
      <c r="V167" s="13">
        <f>0.19*L166</f>
        <v>170070.14</v>
      </c>
      <c r="W167" s="13"/>
      <c r="X167" s="13"/>
      <c r="Y167" s="13">
        <v>11250</v>
      </c>
      <c r="Z167" s="17"/>
      <c r="AA167" s="18"/>
      <c r="AB167" s="13"/>
      <c r="AC167" s="18"/>
      <c r="AD167" s="18"/>
    </row>
    <row r="168" spans="1:30">
      <c r="B168" s="47" t="s">
        <v>128</v>
      </c>
      <c r="C168" s="86" t="s">
        <v>82</v>
      </c>
      <c r="D168" s="8">
        <v>700</v>
      </c>
      <c r="E168" s="8">
        <v>1</v>
      </c>
      <c r="F168" s="8">
        <v>287</v>
      </c>
      <c r="G168" s="8">
        <v>188</v>
      </c>
      <c r="H168" s="8">
        <v>7</v>
      </c>
      <c r="I168" s="9">
        <f t="shared" si="12"/>
        <v>154980</v>
      </c>
      <c r="J168" s="9">
        <f>G168*400</f>
        <v>75200</v>
      </c>
      <c r="K168" s="9">
        <f>H168*200</f>
        <v>1400</v>
      </c>
      <c r="L168" s="9">
        <v>304594</v>
      </c>
      <c r="M168" s="9">
        <v>151147</v>
      </c>
      <c r="N168" s="8">
        <v>872</v>
      </c>
      <c r="O168" s="8">
        <v>71871</v>
      </c>
      <c r="P168" s="8">
        <v>22358</v>
      </c>
      <c r="Q168" s="8">
        <f>5002+938+610</f>
        <v>6550</v>
      </c>
      <c r="R168" s="8">
        <v>1296</v>
      </c>
      <c r="S168" s="8">
        <v>505</v>
      </c>
      <c r="T168" s="10">
        <f>Y168+Y169</f>
        <v>2497</v>
      </c>
      <c r="U168" s="11">
        <f>V168/V169</f>
        <v>0.40017030435337048</v>
      </c>
      <c r="V168" s="8">
        <v>23159</v>
      </c>
      <c r="W168" s="8">
        <v>9398</v>
      </c>
      <c r="X168" s="8">
        <v>16452</v>
      </c>
      <c r="Y168" s="8">
        <v>11</v>
      </c>
      <c r="Z168" s="11">
        <f>AA168/AC168</f>
        <v>6.4577503009596388E-2</v>
      </c>
      <c r="AA168" s="12">
        <f>93129.6</f>
        <v>93129.600000000006</v>
      </c>
      <c r="AB168" s="8">
        <v>67703</v>
      </c>
      <c r="AC168" s="12">
        <f>1442136.9</f>
        <v>1442136.9</v>
      </c>
      <c r="AD168" s="12">
        <f>AC168*1000/L168</f>
        <v>4734.6201829320344</v>
      </c>
    </row>
    <row r="169" spans="1:30">
      <c r="B169" s="47" t="s">
        <v>128</v>
      </c>
      <c r="C169" s="87"/>
      <c r="D169" s="13"/>
      <c r="E169" s="13"/>
      <c r="F169" s="14">
        <f>I168/L168/1.95</f>
        <v>0.2609274085402965</v>
      </c>
      <c r="G169" s="14">
        <f>J168/L168/0.35</f>
        <v>0.70538862504561106</v>
      </c>
      <c r="H169" s="14">
        <f>K168/L168/0.075</f>
        <v>6.1283763523466213E-2</v>
      </c>
      <c r="I169" s="15"/>
      <c r="J169" s="15"/>
      <c r="K169" s="15"/>
      <c r="L169" s="15"/>
      <c r="M169" s="15"/>
      <c r="N169" s="13"/>
      <c r="O169" s="14">
        <f>O168/L168</f>
        <v>0.23595671615330571</v>
      </c>
      <c r="P169" s="14">
        <f>P168/M168</f>
        <v>0.14792222141359074</v>
      </c>
      <c r="Q169" s="13"/>
      <c r="R169" s="13"/>
      <c r="S169" s="14">
        <f>S168/R168</f>
        <v>0.3896604938271605</v>
      </c>
      <c r="T169" s="16"/>
      <c r="U169" s="16"/>
      <c r="V169" s="13">
        <f>0.19*L168</f>
        <v>57872.86</v>
      </c>
      <c r="W169" s="13"/>
      <c r="X169" s="13"/>
      <c r="Y169" s="13">
        <v>2486</v>
      </c>
      <c r="Z169" s="17"/>
      <c r="AA169" s="18"/>
      <c r="AB169" s="13"/>
      <c r="AC169" s="18"/>
      <c r="AD169" s="18"/>
    </row>
    <row r="170" spans="1:30">
      <c r="B170" s="47" t="s">
        <v>128</v>
      </c>
      <c r="C170" s="86" t="s">
        <v>83</v>
      </c>
      <c r="D170" s="8">
        <v>3401</v>
      </c>
      <c r="E170" s="8">
        <v>28</v>
      </c>
      <c r="F170" s="8">
        <v>1941</v>
      </c>
      <c r="G170" s="8">
        <v>1131</v>
      </c>
      <c r="H170" s="8">
        <v>50</v>
      </c>
      <c r="I170" s="9">
        <f t="shared" si="12"/>
        <v>1048140</v>
      </c>
      <c r="J170" s="9">
        <f>G170*400</f>
        <v>452400</v>
      </c>
      <c r="K170" s="9">
        <f>H170*200</f>
        <v>10000</v>
      </c>
      <c r="L170" s="9">
        <v>1827279</v>
      </c>
      <c r="M170" s="9">
        <v>943784</v>
      </c>
      <c r="N170" s="8">
        <v>3509</v>
      </c>
      <c r="O170" s="8">
        <v>542132</v>
      </c>
      <c r="P170" s="8">
        <v>191212</v>
      </c>
      <c r="Q170" s="8">
        <f>377+27+1830+18170+18774</f>
        <v>39178</v>
      </c>
      <c r="R170" s="8">
        <v>6455</v>
      </c>
      <c r="S170" s="8">
        <v>3350</v>
      </c>
      <c r="T170" s="10">
        <f>Y170+Y171</f>
        <v>15740</v>
      </c>
      <c r="U170" s="11">
        <f>V170/V171</f>
        <v>0.28092964572200696</v>
      </c>
      <c r="V170" s="8">
        <v>97534</v>
      </c>
      <c r="W170" s="8">
        <v>94186</v>
      </c>
      <c r="X170" s="8">
        <v>49776</v>
      </c>
      <c r="Y170" s="8">
        <v>102</v>
      </c>
      <c r="Z170" s="11">
        <f>AA170/AC170</f>
        <v>0.14460748699391615</v>
      </c>
      <c r="AA170" s="12">
        <f>476297.7</f>
        <v>476297.7</v>
      </c>
      <c r="AB170" s="8">
        <v>283014</v>
      </c>
      <c r="AC170" s="12">
        <f>3293727.8</f>
        <v>3293727.8</v>
      </c>
      <c r="AD170" s="12">
        <f>AC170*1000/L170</f>
        <v>1802.5314141956428</v>
      </c>
    </row>
    <row r="171" spans="1:30">
      <c r="B171" s="47" t="s">
        <v>128</v>
      </c>
      <c r="C171" s="87"/>
      <c r="D171" s="13"/>
      <c r="E171" s="13"/>
      <c r="F171" s="14">
        <f>I170/L170/1.95</f>
        <v>0.29415742878219053</v>
      </c>
      <c r="G171" s="14">
        <f>J170/L170/0.35</f>
        <v>0.70737497041854502</v>
      </c>
      <c r="H171" s="14">
        <f>K170/L170/0.075</f>
        <v>7.2968240390949235E-2</v>
      </c>
      <c r="I171" s="15"/>
      <c r="J171" s="15"/>
      <c r="K171" s="15"/>
      <c r="L171" s="15"/>
      <c r="M171" s="15"/>
      <c r="N171" s="13"/>
      <c r="O171" s="14">
        <f>O170/L170</f>
        <v>0.29668813574719571</v>
      </c>
      <c r="P171" s="14">
        <f>P170/M170</f>
        <v>0.20260144270299135</v>
      </c>
      <c r="Q171" s="13"/>
      <c r="R171" s="13"/>
      <c r="S171" s="14">
        <f>S170/R170</f>
        <v>0.51897753679318359</v>
      </c>
      <c r="T171" s="16"/>
      <c r="U171" s="16"/>
      <c r="V171" s="13">
        <f>0.19*L170</f>
        <v>347183.01</v>
      </c>
      <c r="W171" s="13"/>
      <c r="X171" s="13"/>
      <c r="Y171" s="13">
        <v>15638</v>
      </c>
      <c r="Z171" s="17"/>
      <c r="AA171" s="18"/>
      <c r="AB171" s="13"/>
      <c r="AC171" s="18"/>
      <c r="AD171" s="18"/>
    </row>
    <row r="172" spans="1:30">
      <c r="B172" s="47" t="s">
        <v>128</v>
      </c>
      <c r="C172" s="86" t="s">
        <v>84</v>
      </c>
      <c r="D172" s="8">
        <v>2707</v>
      </c>
      <c r="E172" s="8">
        <v>14</v>
      </c>
      <c r="F172" s="8">
        <v>1451</v>
      </c>
      <c r="G172" s="8">
        <v>530</v>
      </c>
      <c r="H172" s="8">
        <v>62</v>
      </c>
      <c r="I172" s="9">
        <f t="shared" si="12"/>
        <v>783540</v>
      </c>
      <c r="J172" s="9">
        <f>G172*400</f>
        <v>212000</v>
      </c>
      <c r="K172" s="9">
        <f>H172*200</f>
        <v>12400</v>
      </c>
      <c r="L172" s="9">
        <v>1259917</v>
      </c>
      <c r="M172" s="9">
        <v>654715</v>
      </c>
      <c r="N172" s="8">
        <v>3226</v>
      </c>
      <c r="O172" s="8">
        <v>360054</v>
      </c>
      <c r="P172" s="8">
        <v>127864</v>
      </c>
      <c r="Q172" s="8">
        <f>6017+8502+12980</f>
        <v>27499</v>
      </c>
      <c r="R172" s="8">
        <v>10842</v>
      </c>
      <c r="S172" s="8">
        <v>8233</v>
      </c>
      <c r="T172" s="10">
        <f>Y172+Y173</f>
        <v>29133</v>
      </c>
      <c r="U172" s="11">
        <f>V172/V173</f>
        <v>0.3954019861709353</v>
      </c>
      <c r="V172" s="8">
        <v>94653</v>
      </c>
      <c r="W172" s="8">
        <v>114392</v>
      </c>
      <c r="X172" s="8">
        <v>41392</v>
      </c>
      <c r="Y172" s="8">
        <v>41</v>
      </c>
      <c r="Z172" s="11">
        <f>AA172/AC172</f>
        <v>0.31122471329385615</v>
      </c>
      <c r="AA172" s="12">
        <f>1471379.1</f>
        <v>1471379.1</v>
      </c>
      <c r="AB172" s="8">
        <v>144205</v>
      </c>
      <c r="AC172" s="12">
        <f>4727706.5</f>
        <v>4727706.5</v>
      </c>
      <c r="AD172" s="12">
        <f>AC172*1000/L172</f>
        <v>3752.3951974614201</v>
      </c>
    </row>
    <row r="173" spans="1:30">
      <c r="B173" s="47" t="s">
        <v>128</v>
      </c>
      <c r="C173" s="87"/>
      <c r="D173" s="13"/>
      <c r="E173" s="13"/>
      <c r="F173" s="14">
        <f>I172/L172/1.95</f>
        <v>0.31892210726213288</v>
      </c>
      <c r="G173" s="14">
        <f>J172/L172/0.35</f>
        <v>0.4807572925155274</v>
      </c>
      <c r="H173" s="14">
        <f>K172/L172/0.075</f>
        <v>0.13122557544134522</v>
      </c>
      <c r="I173" s="15"/>
      <c r="J173" s="15"/>
      <c r="K173" s="15"/>
      <c r="L173" s="15"/>
      <c r="M173" s="15"/>
      <c r="N173" s="13"/>
      <c r="O173" s="14">
        <f>O172/L172</f>
        <v>0.2857759677820047</v>
      </c>
      <c r="P173" s="14">
        <f>P172/M172</f>
        <v>0.19529719038054727</v>
      </c>
      <c r="Q173" s="13"/>
      <c r="R173" s="13"/>
      <c r="S173" s="14">
        <f>S172/R172</f>
        <v>0.75936174137612988</v>
      </c>
      <c r="T173" s="16"/>
      <c r="U173" s="16"/>
      <c r="V173" s="13">
        <f>0.19*L172</f>
        <v>239384.23</v>
      </c>
      <c r="W173" s="13"/>
      <c r="X173" s="13"/>
      <c r="Y173" s="13">
        <v>29092</v>
      </c>
      <c r="Z173" s="17"/>
      <c r="AA173" s="18"/>
      <c r="AB173" s="13"/>
      <c r="AC173" s="18"/>
      <c r="AD173" s="18"/>
    </row>
    <row r="174" spans="1:30">
      <c r="B174" s="47" t="s">
        <v>128</v>
      </c>
      <c r="C174" s="86" t="s">
        <v>85</v>
      </c>
      <c r="D174" s="8">
        <v>2134</v>
      </c>
      <c r="E174" s="8">
        <v>26</v>
      </c>
      <c r="F174" s="8">
        <v>1219</v>
      </c>
      <c r="G174" s="8">
        <v>568</v>
      </c>
      <c r="H174" s="8">
        <v>12</v>
      </c>
      <c r="I174" s="9">
        <f t="shared" si="12"/>
        <v>658260</v>
      </c>
      <c r="J174" s="9">
        <f>G174*400</f>
        <v>227200</v>
      </c>
      <c r="K174" s="9">
        <f>H174*200</f>
        <v>2400</v>
      </c>
      <c r="L174" s="9">
        <v>762495</v>
      </c>
      <c r="M174" s="9">
        <v>399823</v>
      </c>
      <c r="N174" s="8">
        <v>1960</v>
      </c>
      <c r="O174" s="8">
        <v>124304</v>
      </c>
      <c r="P174" s="8">
        <v>39092</v>
      </c>
      <c r="Q174" s="8">
        <f>1948+27+608+15047</f>
        <v>17630</v>
      </c>
      <c r="R174" s="8">
        <v>5186</v>
      </c>
      <c r="S174" s="8">
        <v>3660</v>
      </c>
      <c r="T174" s="10">
        <f>Y174+Y175</f>
        <v>9814</v>
      </c>
      <c r="U174" s="11">
        <f>V174/V175</f>
        <v>0.39410094492422904</v>
      </c>
      <c r="V174" s="8">
        <v>57095</v>
      </c>
      <c r="W174" s="8">
        <v>31314</v>
      </c>
      <c r="X174" s="8">
        <v>21291</v>
      </c>
      <c r="Y174" s="8">
        <v>7</v>
      </c>
      <c r="Z174" s="11">
        <f>AA174/AC174</f>
        <v>9.6229433869792658E-2</v>
      </c>
      <c r="AA174" s="12">
        <f>109326</f>
        <v>109326</v>
      </c>
      <c r="AB174" s="8">
        <v>99854</v>
      </c>
      <c r="AC174" s="12">
        <f>1136097.3</f>
        <v>1136097.3</v>
      </c>
      <c r="AD174" s="12">
        <f>AC174*1000/L174</f>
        <v>1489.9734424488029</v>
      </c>
    </row>
    <row r="175" spans="1:30">
      <c r="B175" s="47" t="s">
        <v>128</v>
      </c>
      <c r="C175" s="87"/>
      <c r="D175" s="13"/>
      <c r="E175" s="13"/>
      <c r="F175" s="14">
        <f>I174/L174/1.95</f>
        <v>0.44271664833111141</v>
      </c>
      <c r="G175" s="14">
        <f>J174/L174/0.35</f>
        <v>0.85134047717408934</v>
      </c>
      <c r="H175" s="14">
        <f>K174/L174/0.075</f>
        <v>4.1967488311398765E-2</v>
      </c>
      <c r="I175" s="15"/>
      <c r="J175" s="15"/>
      <c r="K175" s="15"/>
      <c r="L175" s="15"/>
      <c r="M175" s="15"/>
      <c r="N175" s="13"/>
      <c r="O175" s="14">
        <f>O174/L174</f>
        <v>0.16302270834562849</v>
      </c>
      <c r="P175" s="14">
        <f>P174/M174</f>
        <v>9.7773264669616305E-2</v>
      </c>
      <c r="Q175" s="13"/>
      <c r="R175" s="13"/>
      <c r="S175" s="14">
        <f>S174/R174</f>
        <v>0.7057462398765908</v>
      </c>
      <c r="T175" s="16"/>
      <c r="U175" s="16"/>
      <c r="V175" s="13">
        <f>0.19*L174</f>
        <v>144874.04999999999</v>
      </c>
      <c r="W175" s="13"/>
      <c r="X175" s="13"/>
      <c r="Y175" s="13">
        <v>9807</v>
      </c>
      <c r="Z175" s="17"/>
      <c r="AA175" s="18"/>
      <c r="AB175" s="13"/>
      <c r="AC175" s="18"/>
      <c r="AD175" s="18"/>
    </row>
    <row r="176" spans="1:30">
      <c r="B176" s="47" t="s">
        <v>128</v>
      </c>
      <c r="C176" s="86" t="s">
        <v>86</v>
      </c>
      <c r="D176" s="8">
        <v>340</v>
      </c>
      <c r="E176" s="8">
        <v>1</v>
      </c>
      <c r="F176" s="8">
        <v>124</v>
      </c>
      <c r="G176" s="8">
        <v>125</v>
      </c>
      <c r="H176" s="8">
        <v>6</v>
      </c>
      <c r="I176" s="9">
        <f t="shared" si="12"/>
        <v>66960</v>
      </c>
      <c r="J176" s="9">
        <f>G176*400</f>
        <v>50000</v>
      </c>
      <c r="K176" s="9">
        <f>H176*200</f>
        <v>1200</v>
      </c>
      <c r="L176" s="9">
        <v>143424</v>
      </c>
      <c r="M176" s="9">
        <v>73569</v>
      </c>
      <c r="N176" s="8">
        <v>426</v>
      </c>
      <c r="O176" s="8">
        <v>32758</v>
      </c>
      <c r="P176" s="8">
        <v>11426</v>
      </c>
      <c r="Q176" s="8">
        <f>282+32+15</f>
        <v>329</v>
      </c>
      <c r="R176" s="8">
        <v>244</v>
      </c>
      <c r="S176" s="8">
        <v>89</v>
      </c>
      <c r="T176" s="10">
        <f>Y176+Y177</f>
        <v>1457</v>
      </c>
      <c r="U176" s="11">
        <f>V176/V177</f>
        <v>0.3145990394325841</v>
      </c>
      <c r="V176" s="8">
        <v>8573</v>
      </c>
      <c r="W176" s="8">
        <v>9903</v>
      </c>
      <c r="X176" s="8">
        <v>6709</v>
      </c>
      <c r="Y176" s="8">
        <v>1</v>
      </c>
      <c r="Z176" s="11">
        <f>AA176/AC176</f>
        <v>3.229389434740304E-2</v>
      </c>
      <c r="AA176" s="12">
        <f>24315.1</f>
        <v>24315.1</v>
      </c>
      <c r="AB176" s="8">
        <v>26496</v>
      </c>
      <c r="AC176" s="12">
        <f>752931.8</f>
        <v>752931.8</v>
      </c>
      <c r="AD176" s="12">
        <f>AC176*1000/L176</f>
        <v>5249.6918228469431</v>
      </c>
    </row>
    <row r="177" spans="1:30">
      <c r="B177" s="47" t="s">
        <v>128</v>
      </c>
      <c r="C177" s="87"/>
      <c r="D177" s="13"/>
      <c r="E177" s="13"/>
      <c r="F177" s="14">
        <f>I176/L176/1.95</f>
        <v>0.23941921532282978</v>
      </c>
      <c r="G177" s="14">
        <f>J176/L176/0.35</f>
        <v>0.99604768279467082</v>
      </c>
      <c r="H177" s="14">
        <f>K176/L176/0.075</f>
        <v>0.11155734047300313</v>
      </c>
      <c r="I177" s="15"/>
      <c r="J177" s="15"/>
      <c r="K177" s="15"/>
      <c r="L177" s="15"/>
      <c r="M177" s="15"/>
      <c r="N177" s="13"/>
      <c r="O177" s="14">
        <f>O176/L176</f>
        <v>0.22839970995091477</v>
      </c>
      <c r="P177" s="14">
        <f>P176/M176</f>
        <v>0.15530998110617245</v>
      </c>
      <c r="Q177" s="13"/>
      <c r="R177" s="13"/>
      <c r="S177" s="14">
        <f>S176/R176</f>
        <v>0.36475409836065575</v>
      </c>
      <c r="T177" s="16"/>
      <c r="U177" s="16"/>
      <c r="V177" s="13">
        <f>0.19*L176</f>
        <v>27250.560000000001</v>
      </c>
      <c r="W177" s="13"/>
      <c r="X177" s="13"/>
      <c r="Y177" s="13">
        <v>1456</v>
      </c>
      <c r="Z177" s="17"/>
      <c r="AA177" s="18"/>
      <c r="AB177" s="13"/>
      <c r="AC177" s="18"/>
      <c r="AD177" s="18"/>
    </row>
    <row r="178" spans="1:30">
      <c r="B178" s="47" t="s">
        <v>128</v>
      </c>
      <c r="C178" s="86" t="s">
        <v>87</v>
      </c>
      <c r="D178" s="8">
        <v>1025</v>
      </c>
      <c r="E178" s="8">
        <v>4</v>
      </c>
      <c r="F178" s="8">
        <v>416</v>
      </c>
      <c r="G178" s="8">
        <v>234</v>
      </c>
      <c r="H178" s="8">
        <v>12</v>
      </c>
      <c r="I178" s="9">
        <f>F178*540</f>
        <v>224640</v>
      </c>
      <c r="J178" s="9">
        <f>G178*400</f>
        <v>93600</v>
      </c>
      <c r="K178" s="9">
        <f>H178*200</f>
        <v>2400</v>
      </c>
      <c r="L178" s="9">
        <v>464667</v>
      </c>
      <c r="M178" s="9">
        <v>239412</v>
      </c>
      <c r="N178" s="8">
        <v>1162</v>
      </c>
      <c r="O178" s="8">
        <v>142907</v>
      </c>
      <c r="P178" s="8">
        <v>44392</v>
      </c>
      <c r="Q178" s="8">
        <f>332+530+3923+9818</f>
        <v>14603</v>
      </c>
      <c r="R178" s="8">
        <v>2332</v>
      </c>
      <c r="S178" s="8">
        <v>1394</v>
      </c>
      <c r="T178" s="10">
        <f>Y178+Y179</f>
        <v>4230</v>
      </c>
      <c r="U178" s="11">
        <f>V178/V179</f>
        <v>0.25943876276763222</v>
      </c>
      <c r="V178" s="8">
        <v>22905</v>
      </c>
      <c r="W178" s="8">
        <v>22604</v>
      </c>
      <c r="X178" s="8">
        <v>15707</v>
      </c>
      <c r="Y178" s="8">
        <v>11</v>
      </c>
      <c r="Z178" s="11">
        <f>AA178/AC178</f>
        <v>6.4166188922336095E-2</v>
      </c>
      <c r="AA178" s="12">
        <f>227332.1</f>
        <v>227332.1</v>
      </c>
      <c r="AB178" s="8">
        <v>81508</v>
      </c>
      <c r="AC178" s="12">
        <f>3542864.3</f>
        <v>3542864.3</v>
      </c>
      <c r="AD178" s="12">
        <f>AC178*1000/L178</f>
        <v>7624.5231531397758</v>
      </c>
    </row>
    <row r="179" spans="1:30">
      <c r="B179" s="47" t="s">
        <v>128</v>
      </c>
      <c r="C179" s="87"/>
      <c r="D179" s="13"/>
      <c r="E179" s="13"/>
      <c r="F179" s="14">
        <f>I178/L178/1.95</f>
        <v>0.24791947781959986</v>
      </c>
      <c r="G179" s="14">
        <f>J178/L178/0.35</f>
        <v>0.57552735922407117</v>
      </c>
      <c r="H179" s="14">
        <f>K178/L178/0.075</f>
        <v>6.8866521616555515E-2</v>
      </c>
      <c r="I179" s="15"/>
      <c r="J179" s="15"/>
      <c r="K179" s="15"/>
      <c r="L179" s="15"/>
      <c r="M179" s="15"/>
      <c r="N179" s="13"/>
      <c r="O179" s="14">
        <f>O178/L178</f>
        <v>0.30754712514553434</v>
      </c>
      <c r="P179" s="14">
        <f>P178/M178</f>
        <v>0.1854209479892403</v>
      </c>
      <c r="Q179" s="13"/>
      <c r="R179" s="13"/>
      <c r="S179" s="14">
        <f>S178/R178</f>
        <v>0.597770154373928</v>
      </c>
      <c r="T179" s="16"/>
      <c r="U179" s="16"/>
      <c r="V179" s="13">
        <f>0.19*L178</f>
        <v>88286.73</v>
      </c>
      <c r="W179" s="13"/>
      <c r="X179" s="13"/>
      <c r="Y179" s="13">
        <v>4219</v>
      </c>
      <c r="Z179" s="17"/>
      <c r="AA179" s="18"/>
      <c r="AB179" s="13"/>
      <c r="AC179" s="18"/>
      <c r="AD179" s="18"/>
    </row>
    <row r="180" spans="1:30">
      <c r="B180" s="47" t="s">
        <v>128</v>
      </c>
      <c r="C180" s="86" t="s">
        <v>88</v>
      </c>
      <c r="D180" s="8">
        <v>431</v>
      </c>
      <c r="E180" s="8">
        <v>4</v>
      </c>
      <c r="F180" s="8">
        <v>271</v>
      </c>
      <c r="G180" s="8">
        <v>106</v>
      </c>
      <c r="H180" s="8">
        <v>3</v>
      </c>
      <c r="I180" s="9">
        <f t="shared" si="12"/>
        <v>146340</v>
      </c>
      <c r="J180" s="9">
        <f>G180*400</f>
        <v>42400</v>
      </c>
      <c r="K180" s="9">
        <f>H180*200</f>
        <v>600</v>
      </c>
      <c r="L180" s="9">
        <v>160099</v>
      </c>
      <c r="M180" s="9">
        <v>83501</v>
      </c>
      <c r="N180" s="8">
        <v>365</v>
      </c>
      <c r="O180" s="8">
        <v>34256</v>
      </c>
      <c r="P180" s="8">
        <v>12907</v>
      </c>
      <c r="Q180" s="8">
        <f>160+343+358+647</f>
        <v>1508</v>
      </c>
      <c r="R180" s="8">
        <v>1157</v>
      </c>
      <c r="S180" s="8">
        <v>974</v>
      </c>
      <c r="T180" s="10">
        <f>Y180+Y181</f>
        <v>180</v>
      </c>
      <c r="U180" s="11">
        <f>V180/V181</f>
        <v>0.33600919957092334</v>
      </c>
      <c r="V180" s="8">
        <v>10221</v>
      </c>
      <c r="W180" s="8">
        <v>4040</v>
      </c>
      <c r="X180" s="8">
        <v>5072</v>
      </c>
      <c r="Y180" s="8">
        <v>5</v>
      </c>
      <c r="Z180" s="11">
        <f>AA180/AC180</f>
        <v>2.7813961871523254E-2</v>
      </c>
      <c r="AA180" s="12">
        <f>1358</f>
        <v>1358</v>
      </c>
      <c r="AB180" s="8">
        <v>18811</v>
      </c>
      <c r="AC180" s="12">
        <f>48824.4</f>
        <v>48824.4</v>
      </c>
      <c r="AD180" s="12">
        <f>AC180*1000/L180</f>
        <v>304.96380364649372</v>
      </c>
    </row>
    <row r="181" spans="1:30">
      <c r="B181" s="47" t="s">
        <v>128</v>
      </c>
      <c r="C181" s="87"/>
      <c r="D181" s="13"/>
      <c r="E181" s="13"/>
      <c r="F181" s="14">
        <f>I180/L180/1.95</f>
        <v>0.46874842345145096</v>
      </c>
      <c r="G181" s="14">
        <f>J180/L180/0.35</f>
        <v>0.75667466469407785</v>
      </c>
      <c r="H181" s="14">
        <f>K180/L180/0.075</f>
        <v>4.9969081630740979E-2</v>
      </c>
      <c r="I181" s="15"/>
      <c r="J181" s="15"/>
      <c r="K181" s="15"/>
      <c r="L181" s="15"/>
      <c r="M181" s="15"/>
      <c r="N181" s="13"/>
      <c r="O181" s="14">
        <f>O180/L180</f>
        <v>0.21396760754283287</v>
      </c>
      <c r="P181" s="14">
        <f>P180/M180</f>
        <v>0.15457299912575898</v>
      </c>
      <c r="Q181" s="13"/>
      <c r="R181" s="13"/>
      <c r="S181" s="14">
        <f>S180/R180</f>
        <v>0.84183232497839244</v>
      </c>
      <c r="T181" s="16"/>
      <c r="U181" s="16"/>
      <c r="V181" s="13">
        <f>0.19*L180</f>
        <v>30418.81</v>
      </c>
      <c r="W181" s="13"/>
      <c r="X181" s="13"/>
      <c r="Y181" s="13">
        <v>175</v>
      </c>
      <c r="Z181" s="17"/>
      <c r="AA181" s="18"/>
      <c r="AB181" s="13"/>
      <c r="AC181" s="18"/>
      <c r="AD181" s="18"/>
    </row>
    <row r="182" spans="1:30">
      <c r="B182" s="47" t="s">
        <v>128</v>
      </c>
      <c r="C182" s="86" t="s">
        <v>89</v>
      </c>
      <c r="D182" s="8">
        <v>87</v>
      </c>
      <c r="E182" s="8">
        <v>0</v>
      </c>
      <c r="F182" s="8">
        <v>8</v>
      </c>
      <c r="G182" s="8">
        <v>54</v>
      </c>
      <c r="H182" s="8">
        <v>5</v>
      </c>
      <c r="I182" s="9">
        <f t="shared" si="12"/>
        <v>4320</v>
      </c>
      <c r="J182" s="9">
        <f>G182*400</f>
        <v>21600</v>
      </c>
      <c r="K182" s="9">
        <f>H182*200</f>
        <v>1000</v>
      </c>
      <c r="L182" s="9">
        <v>48426</v>
      </c>
      <c r="M182" s="9">
        <v>23767</v>
      </c>
      <c r="N182" s="8">
        <v>193</v>
      </c>
      <c r="O182" s="8">
        <v>14353</v>
      </c>
      <c r="P182" s="8">
        <v>4755</v>
      </c>
      <c r="Q182" s="8">
        <f>781+547</f>
        <v>1328</v>
      </c>
      <c r="R182" s="8">
        <v>324</v>
      </c>
      <c r="S182" s="8">
        <v>260</v>
      </c>
      <c r="T182" s="10">
        <f>Y182+Y183</f>
        <v>297</v>
      </c>
      <c r="U182" s="11">
        <f>V182/V183</f>
        <v>0.32724917236717116</v>
      </c>
      <c r="V182" s="8">
        <v>3011</v>
      </c>
      <c r="W182" s="8">
        <v>3307</v>
      </c>
      <c r="X182" s="8">
        <v>1874</v>
      </c>
      <c r="Y182" s="8">
        <v>2</v>
      </c>
      <c r="Z182" s="11">
        <f>AA182/AC182</f>
        <v>3.0616428550977754E-2</v>
      </c>
      <c r="AA182" s="12">
        <f>5346.7</f>
        <v>5346.7</v>
      </c>
      <c r="AB182" s="8">
        <v>9278</v>
      </c>
      <c r="AC182" s="12">
        <f>174635</f>
        <v>174635</v>
      </c>
      <c r="AD182" s="12">
        <f>AC182*1000/L182</f>
        <v>3606.2239292941808</v>
      </c>
    </row>
    <row r="183" spans="1:30">
      <c r="B183" s="47" t="s">
        <v>128</v>
      </c>
      <c r="C183" s="87"/>
      <c r="D183" s="13"/>
      <c r="E183" s="13"/>
      <c r="F183" s="14">
        <f>I182/L182/1.95</f>
        <v>4.5747834125978097E-2</v>
      </c>
      <c r="G183" s="14">
        <f>J182/L182/0.35</f>
        <v>1.2744039506522471</v>
      </c>
      <c r="H183" s="14">
        <f>K182/L182/0.075</f>
        <v>0.2753341868693126</v>
      </c>
      <c r="I183" s="15"/>
      <c r="J183" s="15"/>
      <c r="K183" s="15"/>
      <c r="L183" s="15"/>
      <c r="M183" s="15"/>
      <c r="N183" s="13"/>
      <c r="O183" s="14">
        <f>O182/L182</f>
        <v>0.2963903688101433</v>
      </c>
      <c r="P183" s="14">
        <f>P182/M182</f>
        <v>0.20006732023393781</v>
      </c>
      <c r="Q183" s="13"/>
      <c r="R183" s="13"/>
      <c r="S183" s="14">
        <f>S182/R182</f>
        <v>0.80246913580246915</v>
      </c>
      <c r="T183" s="16"/>
      <c r="U183" s="16"/>
      <c r="V183" s="13">
        <f>0.19*L182</f>
        <v>9200.94</v>
      </c>
      <c r="W183" s="13"/>
      <c r="X183" s="13"/>
      <c r="Y183" s="13">
        <v>295</v>
      </c>
      <c r="Z183" s="17"/>
      <c r="AA183" s="18"/>
      <c r="AB183" s="13"/>
      <c r="AC183" s="18"/>
      <c r="AD183" s="18"/>
    </row>
    <row r="184" spans="1:30" s="20" customFormat="1">
      <c r="A184" s="49" t="s">
        <v>129</v>
      </c>
      <c r="B184" s="50" t="s">
        <v>128</v>
      </c>
      <c r="C184" s="88" t="s">
        <v>90</v>
      </c>
      <c r="D184" s="24">
        <f t="shared" ref="D184:T184" si="13">SUM(D182,D180,D178,D176,D174,D172,D170,D168,D166)</f>
        <v>12545</v>
      </c>
      <c r="E184" s="24">
        <f t="shared" si="13"/>
        <v>99</v>
      </c>
      <c r="F184" s="24">
        <f t="shared" si="13"/>
        <v>6259</v>
      </c>
      <c r="G184" s="24">
        <f t="shared" si="13"/>
        <v>3758</v>
      </c>
      <c r="H184" s="24">
        <f t="shared" si="13"/>
        <v>208</v>
      </c>
      <c r="I184" s="25">
        <f t="shared" si="13"/>
        <v>3379860</v>
      </c>
      <c r="J184" s="25">
        <f t="shared" si="13"/>
        <v>1503200</v>
      </c>
      <c r="K184" s="25">
        <f t="shared" si="13"/>
        <v>41600</v>
      </c>
      <c r="L184" s="25">
        <f t="shared" si="13"/>
        <v>5866007</v>
      </c>
      <c r="M184" s="25">
        <f t="shared" si="13"/>
        <v>3029604</v>
      </c>
      <c r="N184" s="24">
        <f t="shared" si="13"/>
        <v>15511</v>
      </c>
      <c r="O184" s="24">
        <f t="shared" si="13"/>
        <v>1585857</v>
      </c>
      <c r="P184" s="24">
        <f t="shared" si="13"/>
        <v>557410</v>
      </c>
      <c r="Q184" s="24">
        <f t="shared" si="13"/>
        <v>142863</v>
      </c>
      <c r="R184" s="24">
        <f t="shared" si="13"/>
        <v>33520</v>
      </c>
      <c r="S184" s="24">
        <f t="shared" si="13"/>
        <v>21052</v>
      </c>
      <c r="T184" s="24">
        <f t="shared" si="13"/>
        <v>74615</v>
      </c>
      <c r="U184" s="21">
        <f>V184/V185</f>
        <v>0.32510772839621838</v>
      </c>
      <c r="V184" s="24">
        <f>SUM(V182,V180,V178,V176,V174,V172,V170,V168,V166)</f>
        <v>362346</v>
      </c>
      <c r="W184" s="24">
        <f>SUM(W182,W180,W178,W176,W174,W172,W170,W168,W166)</f>
        <v>331183</v>
      </c>
      <c r="X184" s="24">
        <f>SUM(X182,X180,X178,X176,X174,X172,X170,X168,X166)</f>
        <v>192652</v>
      </c>
      <c r="Y184" s="24">
        <f>SUM(Y182,Y180,Y178,Y176,Y174,Y172,Y170,Y168,Y166)</f>
        <v>197</v>
      </c>
      <c r="Z184" s="21">
        <f>AA184/AC184</f>
        <v>0.13138908791354201</v>
      </c>
      <c r="AA184" s="22">
        <f>SUM(AA182,AA180,AA178,AA176,AA174,AA172,AA170,AA168,AA166)</f>
        <v>2548493.2000000002</v>
      </c>
      <c r="AB184" s="24">
        <f>SUM(AB182,AB180,AB178,AB176,AB174,AB172,AB170,AB168,AB166)</f>
        <v>930729</v>
      </c>
      <c r="AC184" s="22">
        <f>SUM(AC182,AC180,AC178,AC176,AC174,AC172,AC170,AC168,AC166)</f>
        <v>19396536.200000003</v>
      </c>
      <c r="AD184" s="22">
        <f>AC184*1000/L184</f>
        <v>3306.59956593983</v>
      </c>
    </row>
    <row r="185" spans="1:30" s="20" customFormat="1">
      <c r="A185" s="49" t="s">
        <v>129</v>
      </c>
      <c r="B185" s="50" t="s">
        <v>128</v>
      </c>
      <c r="C185" s="89"/>
      <c r="D185" s="26"/>
      <c r="E185" s="26"/>
      <c r="F185" s="61">
        <f>I184/L184/1.95</f>
        <v>0.29547553190126408</v>
      </c>
      <c r="G185" s="61">
        <f>J184/L184/0.35</f>
        <v>0.73216024850586492</v>
      </c>
      <c r="H185" s="61">
        <f>K184/L184/0.075</f>
        <v>9.4556086732707059E-2</v>
      </c>
      <c r="I185" s="27"/>
      <c r="J185" s="27"/>
      <c r="K185" s="27"/>
      <c r="L185" s="27"/>
      <c r="M185" s="27"/>
      <c r="N185" s="26"/>
      <c r="O185" s="23">
        <f>O184/L184</f>
        <v>0.27034693276022342</v>
      </c>
      <c r="P185" s="23">
        <f>P184/M184</f>
        <v>0.18398774229239201</v>
      </c>
      <c r="Q185" s="26"/>
      <c r="R185" s="26"/>
      <c r="S185" s="23">
        <f>S184/R184</f>
        <v>0.62804295942720767</v>
      </c>
      <c r="T185" s="28"/>
      <c r="U185" s="28"/>
      <c r="V185" s="26">
        <f>SUM(V183,V181,V179,V177,V175,V173,V171,V169,V167)</f>
        <v>1114541.33</v>
      </c>
      <c r="W185" s="26"/>
      <c r="X185" s="26"/>
      <c r="Y185" s="26">
        <f>SUM(Y183,Y181,Y179,Y177,Y175,Y173,Y171,Y169,Y167)</f>
        <v>74418</v>
      </c>
      <c r="Z185" s="29"/>
      <c r="AA185" s="30"/>
      <c r="AB185" s="26"/>
      <c r="AC185" s="30"/>
      <c r="AD185" s="60"/>
    </row>
    <row r="186" spans="1:30" s="20" customFormat="1">
      <c r="A186" s="49"/>
      <c r="B186" s="47" t="s">
        <v>135</v>
      </c>
      <c r="C186" s="92" t="s">
        <v>132</v>
      </c>
      <c r="D186" s="8">
        <v>2762</v>
      </c>
      <c r="E186" s="71">
        <v>45</v>
      </c>
      <c r="F186" s="72">
        <v>1497</v>
      </c>
      <c r="G186" s="72">
        <v>661</v>
      </c>
      <c r="H186" s="66">
        <v>12</v>
      </c>
      <c r="I186" s="73">
        <f>F186*540</f>
        <v>808380</v>
      </c>
      <c r="J186" s="9">
        <f>G186*400</f>
        <v>264400</v>
      </c>
      <c r="K186" s="9">
        <f>H186*200</f>
        <v>2400</v>
      </c>
      <c r="L186" s="9">
        <v>1825477</v>
      </c>
      <c r="M186" s="9">
        <v>979438</v>
      </c>
      <c r="N186" s="8">
        <v>2640</v>
      </c>
      <c r="O186" s="66">
        <v>258414</v>
      </c>
      <c r="P186" s="66">
        <v>82606</v>
      </c>
      <c r="Q186" s="8">
        <f>220+25+3556</f>
        <v>3801</v>
      </c>
      <c r="R186" s="8">
        <v>23892</v>
      </c>
      <c r="S186" s="66">
        <v>14120</v>
      </c>
      <c r="T186" s="10">
        <f>Y186+Y187</f>
        <v>3487</v>
      </c>
      <c r="U186" s="68">
        <f>V186/V187</f>
        <v>0.28969789381365152</v>
      </c>
      <c r="V186" s="56">
        <v>100479</v>
      </c>
      <c r="W186" s="8">
        <v>30545</v>
      </c>
      <c r="X186" s="8">
        <v>21737</v>
      </c>
      <c r="Y186" s="8">
        <v>15</v>
      </c>
      <c r="Z186" s="11">
        <f>AA186/AC186</f>
        <v>6.5943834212265712E-2</v>
      </c>
      <c r="AA186" s="12">
        <f>41513.8</f>
        <v>41513.800000000003</v>
      </c>
      <c r="AB186" s="8">
        <v>42769</v>
      </c>
      <c r="AC186" s="78">
        <f>629532.7</f>
        <v>629532.69999999995</v>
      </c>
      <c r="AD186" s="12">
        <f>AC186*1000/L186</f>
        <v>344.8592888324531</v>
      </c>
    </row>
    <row r="187" spans="1:30" s="20" customFormat="1">
      <c r="A187" s="49"/>
      <c r="B187" s="47" t="s">
        <v>135</v>
      </c>
      <c r="C187" s="93"/>
      <c r="D187" s="13"/>
      <c r="E187" s="74"/>
      <c r="F187" s="75">
        <f>I186/L186/1.95</f>
        <v>0.2270934370325379</v>
      </c>
      <c r="G187" s="75">
        <f>J186/L186/0.35</f>
        <v>0.41382530233389492</v>
      </c>
      <c r="H187" s="76">
        <f>K186/L186/0.075</f>
        <v>1.7529664849242146E-2</v>
      </c>
      <c r="I187" s="77"/>
      <c r="J187" s="15"/>
      <c r="K187" s="15"/>
      <c r="L187" s="27"/>
      <c r="M187" s="27"/>
      <c r="N187" s="26"/>
      <c r="O187" s="14">
        <f>O186/L186</f>
        <v>0.14155971288600186</v>
      </c>
      <c r="P187" s="14">
        <f>P186/M186</f>
        <v>8.4340203259420196E-2</v>
      </c>
      <c r="Q187" s="13"/>
      <c r="R187" s="13"/>
      <c r="S187" s="14">
        <f>S186/R186</f>
        <v>0.59099280093755235</v>
      </c>
      <c r="T187" s="16"/>
      <c r="U187" s="16"/>
      <c r="V187" s="13">
        <f>0.19*L186</f>
        <v>346840.63</v>
      </c>
      <c r="W187" s="26"/>
      <c r="X187" s="13"/>
      <c r="Y187" s="13">
        <v>3472</v>
      </c>
      <c r="Z187" s="17"/>
      <c r="AA187" s="18"/>
      <c r="AB187" s="13"/>
      <c r="AC187" s="79"/>
      <c r="AD187" s="18"/>
    </row>
    <row r="188" spans="1:30" s="20" customFormat="1">
      <c r="A188" s="49"/>
      <c r="B188" s="47" t="s">
        <v>135</v>
      </c>
      <c r="C188" s="92" t="s">
        <v>133</v>
      </c>
      <c r="D188" s="80">
        <v>655</v>
      </c>
      <c r="E188" s="81">
        <v>1</v>
      </c>
      <c r="F188" s="72">
        <v>318</v>
      </c>
      <c r="G188" s="72">
        <v>269</v>
      </c>
      <c r="H188" s="66">
        <v>8</v>
      </c>
      <c r="I188" s="73">
        <f>F188*540</f>
        <v>171720</v>
      </c>
      <c r="J188" s="9">
        <f>G188*400</f>
        <v>107600</v>
      </c>
      <c r="K188" s="9">
        <f>H188*200</f>
        <v>1600</v>
      </c>
      <c r="L188" s="9">
        <v>358266</v>
      </c>
      <c r="M188" s="9">
        <v>193247</v>
      </c>
      <c r="N188" s="8">
        <v>463</v>
      </c>
      <c r="O188" s="66">
        <v>86265</v>
      </c>
      <c r="P188" s="66">
        <v>27368</v>
      </c>
      <c r="Q188" s="8">
        <f>40</f>
        <v>40</v>
      </c>
      <c r="R188" s="8">
        <v>5933</v>
      </c>
      <c r="S188" s="66">
        <v>1744</v>
      </c>
      <c r="T188" s="10">
        <f>Y188+Y189</f>
        <v>1388</v>
      </c>
      <c r="U188" s="68">
        <f>V188/V189</f>
        <v>0.34486284375002757</v>
      </c>
      <c r="V188" s="8">
        <v>23475</v>
      </c>
      <c r="W188" s="24">
        <v>0</v>
      </c>
      <c r="X188" s="8">
        <v>1238</v>
      </c>
      <c r="Y188" s="8">
        <v>2</v>
      </c>
      <c r="Z188" s="11">
        <f>AA188/AC188</f>
        <v>1.5330936425731091E-2</v>
      </c>
      <c r="AA188" s="12">
        <f>9799.3</f>
        <v>9799.2999999999993</v>
      </c>
      <c r="AB188" s="8">
        <v>13878</v>
      </c>
      <c r="AC188" s="78">
        <f>639184.7</f>
        <v>639184.69999999995</v>
      </c>
      <c r="AD188" s="82">
        <f>AC188*1000/L188</f>
        <v>1784.10650187291</v>
      </c>
    </row>
    <row r="189" spans="1:30" s="20" customFormat="1">
      <c r="A189" s="49"/>
      <c r="B189" s="47" t="s">
        <v>135</v>
      </c>
      <c r="C189" s="93"/>
      <c r="D189" s="13"/>
      <c r="E189" s="74"/>
      <c r="F189" s="75">
        <f>I188/L188/1.95</f>
        <v>0.2457993179970705</v>
      </c>
      <c r="G189" s="75">
        <f>J188/L188/0.35</f>
        <v>0.85810144258336385</v>
      </c>
      <c r="H189" s="76">
        <f>K188/L188/0.075</f>
        <v>5.9546072843455235E-2</v>
      </c>
      <c r="I189" s="77"/>
      <c r="J189" s="15"/>
      <c r="K189" s="15"/>
      <c r="L189" s="27"/>
      <c r="M189" s="27"/>
      <c r="N189" s="26"/>
      <c r="O189" s="14">
        <f>O188/L188</f>
        <v>0.2407847800237812</v>
      </c>
      <c r="P189" s="14">
        <f>P188/M188</f>
        <v>0.14162186217638567</v>
      </c>
      <c r="Q189" s="13"/>
      <c r="R189" s="13"/>
      <c r="S189" s="14">
        <f>S188/R188</f>
        <v>0.29394909826394744</v>
      </c>
      <c r="T189" s="16"/>
      <c r="U189" s="16"/>
      <c r="V189" s="13">
        <f>0.19*L188</f>
        <v>68070.539999999994</v>
      </c>
      <c r="W189" s="26"/>
      <c r="X189" s="26"/>
      <c r="Y189" s="13">
        <v>1386</v>
      </c>
      <c r="Z189" s="29"/>
      <c r="AA189" s="30"/>
      <c r="AB189" s="26"/>
      <c r="AC189" s="79"/>
      <c r="AD189" s="18"/>
    </row>
    <row r="190" spans="1:30" s="20" customFormat="1" ht="12" customHeight="1">
      <c r="A190" s="49" t="s">
        <v>129</v>
      </c>
      <c r="B190" s="50" t="s">
        <v>135</v>
      </c>
      <c r="C190" s="94" t="s">
        <v>134</v>
      </c>
      <c r="D190" s="58">
        <f t="shared" ref="D190:T190" si="14">D186+D188</f>
        <v>3417</v>
      </c>
      <c r="E190" s="64">
        <f t="shared" si="14"/>
        <v>46</v>
      </c>
      <c r="F190" s="69">
        <f t="shared" si="14"/>
        <v>1815</v>
      </c>
      <c r="G190" s="69">
        <f t="shared" si="14"/>
        <v>930</v>
      </c>
      <c r="H190" s="70">
        <f t="shared" si="14"/>
        <v>20</v>
      </c>
      <c r="I190" s="65">
        <f t="shared" si="14"/>
        <v>980100</v>
      </c>
      <c r="J190" s="19">
        <f t="shared" si="14"/>
        <v>372000</v>
      </c>
      <c r="K190" s="19">
        <f t="shared" si="14"/>
        <v>4000</v>
      </c>
      <c r="L190" s="19">
        <f t="shared" si="14"/>
        <v>2183743</v>
      </c>
      <c r="M190" s="19">
        <f t="shared" si="14"/>
        <v>1172685</v>
      </c>
      <c r="N190" s="58">
        <f t="shared" si="14"/>
        <v>3103</v>
      </c>
      <c r="O190" s="67">
        <f t="shared" si="14"/>
        <v>344679</v>
      </c>
      <c r="P190" s="67">
        <f t="shared" si="14"/>
        <v>109974</v>
      </c>
      <c r="Q190" s="58">
        <f t="shared" si="14"/>
        <v>3841</v>
      </c>
      <c r="R190" s="58">
        <f t="shared" si="14"/>
        <v>29825</v>
      </c>
      <c r="S190" s="67">
        <f t="shared" si="14"/>
        <v>15864</v>
      </c>
      <c r="T190" s="62">
        <f t="shared" si="14"/>
        <v>4875</v>
      </c>
      <c r="U190" s="85">
        <f>V190/V191</f>
        <v>0.29874828387965552</v>
      </c>
      <c r="V190" s="58">
        <f>V186+V188</f>
        <v>123954</v>
      </c>
      <c r="W190" s="58">
        <f>W186+W188</f>
        <v>30545</v>
      </c>
      <c r="X190" s="58">
        <f>X186+X188</f>
        <v>22975</v>
      </c>
      <c r="Y190" s="58">
        <f>Y186+Y188</f>
        <v>17</v>
      </c>
      <c r="Z190" s="59">
        <f>AA190/AC190</f>
        <v>4.0444861873889341E-2</v>
      </c>
      <c r="AA190" s="60">
        <f>AA186+AA188</f>
        <v>51313.100000000006</v>
      </c>
      <c r="AB190" s="58">
        <f>AB186+AB188</f>
        <v>56647</v>
      </c>
      <c r="AC190" s="60">
        <f>AC186+AC188</f>
        <v>1268717.3999999999</v>
      </c>
      <c r="AD190" s="60">
        <f>AC190*1000/L190</f>
        <v>580.98292702025833</v>
      </c>
    </row>
    <row r="191" spans="1:30" s="20" customFormat="1">
      <c r="A191" s="49" t="s">
        <v>129</v>
      </c>
      <c r="B191" s="50" t="s">
        <v>135</v>
      </c>
      <c r="C191" s="95"/>
      <c r="D191" s="58"/>
      <c r="E191" s="64"/>
      <c r="F191" s="63">
        <f>I190/L190/1.95</f>
        <v>0.23016233348676315</v>
      </c>
      <c r="G191" s="63">
        <f>J190/L190/0.35</f>
        <v>0.48671347445974317</v>
      </c>
      <c r="H191" s="23">
        <f>K190/L190/0.075</f>
        <v>2.4422898359987111E-2</v>
      </c>
      <c r="I191" s="65"/>
      <c r="J191" s="19"/>
      <c r="K191" s="19"/>
      <c r="L191" s="19"/>
      <c r="M191" s="19"/>
      <c r="N191" s="58"/>
      <c r="O191" s="61">
        <f>O190/L190</f>
        <v>0.15783862844666244</v>
      </c>
      <c r="P191" s="61">
        <f>P190/M190</f>
        <v>9.3779659499354046E-2</v>
      </c>
      <c r="Q191" s="58"/>
      <c r="R191" s="58"/>
      <c r="S191" s="61">
        <f>S190/R190</f>
        <v>0.53190276613579213</v>
      </c>
      <c r="T191" s="62"/>
      <c r="U191" s="62"/>
      <c r="V191" s="58">
        <f>V187+V189</f>
        <v>414911.17</v>
      </c>
      <c r="W191" s="58"/>
      <c r="X191" s="58"/>
      <c r="Y191" s="58">
        <f>Y187+Y189</f>
        <v>4858</v>
      </c>
      <c r="Z191" s="59"/>
      <c r="AA191" s="60"/>
      <c r="AB191" s="58"/>
      <c r="AC191" s="60"/>
      <c r="AD191" s="60"/>
    </row>
    <row r="192" spans="1:30" s="55" customFormat="1">
      <c r="A192" s="50" t="s">
        <v>129</v>
      </c>
      <c r="B192" s="50"/>
      <c r="C192" s="90" t="s">
        <v>91</v>
      </c>
      <c r="D192" s="24">
        <f t="shared" ref="D192:M192" si="15">SUM(D190,D184,D164,D138,D124,D94,D78,D64,D40)</f>
        <v>276652</v>
      </c>
      <c r="E192" s="24">
        <f t="shared" si="15"/>
        <v>1959</v>
      </c>
      <c r="F192" s="58">
        <f t="shared" si="15"/>
        <v>145570</v>
      </c>
      <c r="G192" s="58">
        <f t="shared" si="15"/>
        <v>71798</v>
      </c>
      <c r="H192" s="58">
        <f t="shared" si="15"/>
        <v>4956</v>
      </c>
      <c r="I192" s="25">
        <f t="shared" si="15"/>
        <v>78607800</v>
      </c>
      <c r="J192" s="25">
        <f t="shared" si="15"/>
        <v>28719200</v>
      </c>
      <c r="K192" s="25">
        <f t="shared" si="15"/>
        <v>991200</v>
      </c>
      <c r="L192" s="25">
        <f t="shared" si="15"/>
        <v>135915807</v>
      </c>
      <c r="M192" s="25">
        <f t="shared" si="15"/>
        <v>72032437</v>
      </c>
      <c r="N192" s="24">
        <f t="shared" ref="N192:T192" si="16">SUM(N190,N184,N164,N138,N124,N94,N78,N64,N40)</f>
        <v>258196</v>
      </c>
      <c r="O192" s="24">
        <f t="shared" si="16"/>
        <v>39040147</v>
      </c>
      <c r="P192" s="24">
        <f t="shared" si="16"/>
        <v>14657440</v>
      </c>
      <c r="Q192" s="24">
        <f t="shared" si="16"/>
        <v>3928936</v>
      </c>
      <c r="R192" s="24">
        <f t="shared" si="16"/>
        <v>972486</v>
      </c>
      <c r="S192" s="24">
        <f t="shared" si="16"/>
        <v>500966</v>
      </c>
      <c r="T192" s="24">
        <f t="shared" si="16"/>
        <v>1403177</v>
      </c>
      <c r="U192" s="84">
        <f>V192/V193</f>
        <v>0.28540218593597899</v>
      </c>
      <c r="V192" s="24">
        <f>SUM(V190,V184,V164,V138,V124,V94,V78,V64,V40)</f>
        <v>7370227</v>
      </c>
      <c r="W192" s="24">
        <f>SUM(W190,W184,W164,W138,W124,W94,W78,W64,W40)</f>
        <v>8654500</v>
      </c>
      <c r="X192" s="24">
        <f>SUM(X190,X184,X164,X138,X124,X94,X78,X64,X40)</f>
        <v>4271502</v>
      </c>
      <c r="Y192" s="24">
        <f>SUM(Y190,Y184,Y164,Y138,Y124,Y94,Y78,Y64,Y40)</f>
        <v>5039</v>
      </c>
      <c r="Z192" s="21">
        <f>AA192/AC192</f>
        <v>0.14411903008657848</v>
      </c>
      <c r="AA192" s="22">
        <f>SUM(AA190,AA184,AA164,AA138,AA124,AA94,AA78,AA64,AA40)</f>
        <v>47112785.899999999</v>
      </c>
      <c r="AB192" s="24">
        <f>SUM(AB190,AB184,AB164,AB138,AB124,AB94,AB78,AB64,AB40)</f>
        <v>21321691</v>
      </c>
      <c r="AC192" s="22">
        <f>SUM(AC190,AC184,AC164,AC138,AC124,AC94,AC78,AC64,AC40)</f>
        <v>326901907.89999998</v>
      </c>
      <c r="AD192" s="22">
        <f>AC192*1000/L192</f>
        <v>2405.1794645195314</v>
      </c>
    </row>
    <row r="193" spans="1:30" s="55" customFormat="1">
      <c r="A193" s="50" t="s">
        <v>129</v>
      </c>
      <c r="B193" s="50"/>
      <c r="C193" s="91"/>
      <c r="D193" s="26"/>
      <c r="E193" s="26"/>
      <c r="F193" s="23">
        <f>I192/L192/1.95</f>
        <v>0.29659311302689251</v>
      </c>
      <c r="G193" s="23">
        <f>J192/L192/0.35</f>
        <v>0.6037182793820085</v>
      </c>
      <c r="H193" s="23">
        <f>K192/L192/0.075</f>
        <v>9.7236666519590328E-2</v>
      </c>
      <c r="I193" s="27"/>
      <c r="J193" s="27"/>
      <c r="K193" s="27"/>
      <c r="L193" s="27"/>
      <c r="M193" s="27"/>
      <c r="N193" s="26"/>
      <c r="O193" s="83">
        <f>O192/L192</f>
        <v>0.28723772357103394</v>
      </c>
      <c r="P193" s="23">
        <f>P192/M192</f>
        <v>0.20348388323999089</v>
      </c>
      <c r="Q193" s="26"/>
      <c r="R193" s="26"/>
      <c r="S193" s="23">
        <f>S192/R192</f>
        <v>0.51513954956678043</v>
      </c>
      <c r="T193" s="28"/>
      <c r="U193" s="28"/>
      <c r="V193" s="26">
        <f>SUM(V191,V185,V165,V139,V125,V95,V79,V65,V41)</f>
        <v>25824003.329999998</v>
      </c>
      <c r="W193" s="26"/>
      <c r="X193" s="26"/>
      <c r="Y193" s="26">
        <f>SUM(Y191,Y185,Y165,Y139,Y125,Y95,Y79,Y65,Y41)</f>
        <v>1398138</v>
      </c>
      <c r="Z193" s="29"/>
      <c r="AA193" s="30"/>
      <c r="AB193" s="26"/>
      <c r="AC193" s="30"/>
      <c r="AD193" s="30"/>
    </row>
  </sheetData>
  <autoFilter ref="A3:AD193"/>
  <mergeCells count="113">
    <mergeCell ref="AC1:AC2"/>
    <mergeCell ref="T1:T2"/>
    <mergeCell ref="U1:U2"/>
    <mergeCell ref="W1:W2"/>
    <mergeCell ref="X1:X2"/>
    <mergeCell ref="Z1:AA1"/>
    <mergeCell ref="AB1:AB2"/>
    <mergeCell ref="D1:H1"/>
    <mergeCell ref="I1:K1"/>
    <mergeCell ref="L1:M1"/>
    <mergeCell ref="N1:N2"/>
    <mergeCell ref="O1:O2"/>
    <mergeCell ref="AD1:AD2"/>
    <mergeCell ref="P1:P2"/>
    <mergeCell ref="Q1:Q2"/>
    <mergeCell ref="R1:R2"/>
    <mergeCell ref="S1:S2"/>
    <mergeCell ref="C12:C13"/>
    <mergeCell ref="C14:C15"/>
    <mergeCell ref="C16:C17"/>
    <mergeCell ref="C18:C19"/>
    <mergeCell ref="C20:C21"/>
    <mergeCell ref="C1:C2"/>
    <mergeCell ref="C4:C5"/>
    <mergeCell ref="C6:C7"/>
    <mergeCell ref="C8:C9"/>
    <mergeCell ref="C10:C11"/>
    <mergeCell ref="C32:C33"/>
    <mergeCell ref="C34:C35"/>
    <mergeCell ref="C36:C37"/>
    <mergeCell ref="C38:C39"/>
    <mergeCell ref="C40:C41"/>
    <mergeCell ref="C22:C23"/>
    <mergeCell ref="C24:C25"/>
    <mergeCell ref="C26:C27"/>
    <mergeCell ref="C28:C29"/>
    <mergeCell ref="C30:C31"/>
    <mergeCell ref="C52:C53"/>
    <mergeCell ref="C54:C55"/>
    <mergeCell ref="C56:C57"/>
    <mergeCell ref="C58:C59"/>
    <mergeCell ref="C60:C61"/>
    <mergeCell ref="C42:C43"/>
    <mergeCell ref="C44:C45"/>
    <mergeCell ref="C46:C47"/>
    <mergeCell ref="C48:C49"/>
    <mergeCell ref="C50:C51"/>
    <mergeCell ref="C72:C73"/>
    <mergeCell ref="C74:C75"/>
    <mergeCell ref="C76:C77"/>
    <mergeCell ref="C78:C79"/>
    <mergeCell ref="C80:C81"/>
    <mergeCell ref="C62:C63"/>
    <mergeCell ref="C64:C65"/>
    <mergeCell ref="C66:C67"/>
    <mergeCell ref="C68:C69"/>
    <mergeCell ref="C70:C71"/>
    <mergeCell ref="C92:C93"/>
    <mergeCell ref="C94:C95"/>
    <mergeCell ref="C96:C97"/>
    <mergeCell ref="C98:C99"/>
    <mergeCell ref="C100:C101"/>
    <mergeCell ref="C82:C83"/>
    <mergeCell ref="C84:C85"/>
    <mergeCell ref="C86:C87"/>
    <mergeCell ref="C88:C89"/>
    <mergeCell ref="C90:C91"/>
    <mergeCell ref="C112:C113"/>
    <mergeCell ref="C114:C115"/>
    <mergeCell ref="C116:C117"/>
    <mergeCell ref="C118:C119"/>
    <mergeCell ref="C120:C121"/>
    <mergeCell ref="C102:C103"/>
    <mergeCell ref="C104:C105"/>
    <mergeCell ref="C106:C107"/>
    <mergeCell ref="C108:C109"/>
    <mergeCell ref="C110:C111"/>
    <mergeCell ref="C132:C133"/>
    <mergeCell ref="C134:C135"/>
    <mergeCell ref="C136:C137"/>
    <mergeCell ref="C138:C139"/>
    <mergeCell ref="C140:C141"/>
    <mergeCell ref="C122:C123"/>
    <mergeCell ref="C124:C125"/>
    <mergeCell ref="C126:C127"/>
    <mergeCell ref="C128:C129"/>
    <mergeCell ref="C130:C131"/>
    <mergeCell ref="C152:C153"/>
    <mergeCell ref="C154:C155"/>
    <mergeCell ref="C156:C157"/>
    <mergeCell ref="C158:C159"/>
    <mergeCell ref="C160:C161"/>
    <mergeCell ref="C142:C143"/>
    <mergeCell ref="C144:C145"/>
    <mergeCell ref="C146:C147"/>
    <mergeCell ref="C148:C149"/>
    <mergeCell ref="C150:C151"/>
    <mergeCell ref="C162:C163"/>
    <mergeCell ref="C164:C165"/>
    <mergeCell ref="C166:C167"/>
    <mergeCell ref="C168:C169"/>
    <mergeCell ref="C170:C171"/>
    <mergeCell ref="C186:C187"/>
    <mergeCell ref="C182:C183"/>
    <mergeCell ref="C184:C185"/>
    <mergeCell ref="C192:C193"/>
    <mergeCell ref="C172:C173"/>
    <mergeCell ref="C174:C175"/>
    <mergeCell ref="C176:C177"/>
    <mergeCell ref="C178:C179"/>
    <mergeCell ref="C180:C181"/>
    <mergeCell ref="C188:C189"/>
    <mergeCell ref="C190:C191"/>
  </mergeCells>
  <pageMargins left="0.39370078740157483" right="0.39370078740157483" top="0.39370078740157483" bottom="0.39370078740157483" header="0.39370078740157483" footer="0.1968503937007874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Синицкая Ольга Алексеевна</dc:creator>
  <cp:lastModifiedBy>romanenko</cp:lastModifiedBy>
  <cp:lastPrinted>2014-05-13T08:58:34Z</cp:lastPrinted>
  <dcterms:created xsi:type="dcterms:W3CDTF">2013-04-18T15:22:29Z</dcterms:created>
  <dcterms:modified xsi:type="dcterms:W3CDTF">2015-06-03T08:49:42Z</dcterms:modified>
</cp:coreProperties>
</file>