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da38f644f7a69/Υπολογιστής/Granular Consulting/3. Προϊόντα/Διαχείριση Συμβάσεων ΟΤΑ/"/>
    </mc:Choice>
  </mc:AlternateContent>
  <xr:revisionPtr revIDLastSave="2072" documentId="8_{02B5E70D-96D8-45C6-8C1B-8F337B649091}" xr6:coauthVersionLast="47" xr6:coauthVersionMax="47" xr10:uidLastSave="{DB2AC32D-B591-4CA1-898F-27E3424649E8}"/>
  <bookViews>
    <workbookView xWindow="-108" yWindow="-108" windowWidth="23256" windowHeight="12576" activeTab="2" xr2:uid="{8DF7030D-6EC3-49F7-8EC1-E53102CC6087}"/>
  </bookViews>
  <sheets>
    <sheet name="Raw Data" sheetId="1" r:id="rId1"/>
    <sheet name="Widget Γενική Επισκόπηση" sheetId="4" r:id="rId2"/>
    <sheet name="Widget Συμβάσεις" sheetId="5" r:id="rId3"/>
    <sheet name="Λίστα" sheetId="2" r:id="rId4"/>
  </sheets>
  <definedNames>
    <definedName name="ΕΙΔΙΚΕΣ">Λίστα!$C$1:$C$2</definedName>
    <definedName name="ΕΙΔΙΚΕΣ\">Λίστα!$C$1:$C$2</definedName>
    <definedName name="ΕΙΔΙΚΗ">Λίστα!$C$1:$C$3</definedName>
    <definedName name="ΚΑΤΑΣΤΑΣΗ">Λίστα!$B$1:$B$2</definedName>
    <definedName name="ΚΑΤΗΓΟΡΙΑ">Λίστα!$A$1:$A$5</definedName>
    <definedName name="ΜΕΤΑΦΟΡΑ">Λίστα!$E$1:$E$2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E23" i="1"/>
  <c r="K66" i="5"/>
  <c r="K74" i="5"/>
  <c r="K64" i="5"/>
  <c r="K59" i="5"/>
  <c r="K60" i="5" s="1"/>
  <c r="K69" i="5"/>
  <c r="K70" i="5" s="1"/>
  <c r="K56" i="5"/>
  <c r="K55" i="5"/>
  <c r="K54" i="5"/>
  <c r="K29" i="5"/>
  <c r="K30" i="5" s="1"/>
  <c r="K49" i="5"/>
  <c r="K50" i="5" s="1"/>
  <c r="K44" i="5"/>
  <c r="K35" i="5"/>
  <c r="K34" i="5"/>
  <c r="K36" i="5"/>
  <c r="K20" i="5"/>
  <c r="G8" i="4" l="1"/>
  <c r="K22" i="5" s="1"/>
  <c r="Q23" i="1"/>
  <c r="R23" i="1" s="1"/>
  <c r="Q22" i="1"/>
  <c r="R22" i="1"/>
  <c r="Q21" i="1"/>
  <c r="R21" i="1" s="1"/>
  <c r="G18" i="4"/>
  <c r="K47" i="5" s="1"/>
  <c r="K48" i="5" s="1"/>
  <c r="G19" i="4"/>
  <c r="K57" i="5" s="1"/>
  <c r="K58" i="5" s="1"/>
  <c r="G24" i="4"/>
  <c r="G23" i="4"/>
  <c r="G22" i="4"/>
  <c r="G29" i="4" a="1"/>
  <c r="G29" i="4"/>
  <c r="G28" i="4" a="1"/>
  <c r="G28" i="4"/>
  <c r="G10" i="4"/>
  <c r="K17" i="5" s="1"/>
  <c r="G21" i="4"/>
  <c r="K67" i="5" s="1"/>
  <c r="K68" i="5" s="1"/>
  <c r="G20" i="4"/>
  <c r="K37" i="5" s="1"/>
  <c r="K38" i="5" s="1"/>
  <c r="G17" i="4"/>
  <c r="K27" i="5" s="1"/>
  <c r="K28" i="5" s="1"/>
  <c r="G14" i="4"/>
  <c r="G13" i="4"/>
  <c r="G4" i="4"/>
  <c r="K13" i="5" s="1"/>
  <c r="Q17" i="1"/>
  <c r="R15" i="1"/>
  <c r="R16" i="1"/>
  <c r="R17" i="1"/>
  <c r="R18" i="1"/>
  <c r="R19" i="1"/>
  <c r="R20" i="1"/>
  <c r="Q14" i="1"/>
  <c r="K24" i="5" s="1"/>
  <c r="R14" i="1"/>
  <c r="K25" i="5" s="1"/>
  <c r="E8" i="1"/>
  <c r="R6" i="1"/>
  <c r="R7" i="1"/>
  <c r="R8" i="1"/>
  <c r="R9" i="1"/>
  <c r="R10" i="1"/>
  <c r="R11" i="1"/>
  <c r="R12" i="1"/>
  <c r="R13" i="1"/>
  <c r="K76" i="5" s="1"/>
  <c r="R5" i="1"/>
  <c r="K45" i="5" l="1"/>
  <c r="K46" i="5"/>
  <c r="G12" i="4"/>
  <c r="K19" i="5" s="1"/>
  <c r="K75" i="5"/>
  <c r="K65" i="5"/>
  <c r="K73" i="5" a="1"/>
  <c r="K73" i="5" s="1"/>
  <c r="K72" i="5" a="1"/>
  <c r="K72" i="5" s="1"/>
  <c r="K71" i="5" a="1"/>
  <c r="K71" i="5" s="1"/>
  <c r="K61" i="5" a="1"/>
  <c r="K61" i="5" s="1"/>
  <c r="K63" i="5" a="1"/>
  <c r="K63" i="5" s="1"/>
  <c r="K62" i="5" a="1"/>
  <c r="K62" i="5" s="1"/>
  <c r="K51" i="5" a="1"/>
  <c r="K51" i="5" s="1"/>
  <c r="K39" i="5"/>
  <c r="K40" i="5" s="1"/>
  <c r="K53" i="5" a="1"/>
  <c r="K53" i="5" s="1"/>
  <c r="K52" i="5" a="1"/>
  <c r="K52" i="5" s="1"/>
  <c r="K41" i="5" a="1"/>
  <c r="K41" i="5" s="1"/>
  <c r="K43" i="5" a="1"/>
  <c r="K43" i="5" s="1"/>
  <c r="K42" i="5" a="1"/>
  <c r="K42" i="5" s="1"/>
  <c r="K31" i="5" a="1"/>
  <c r="K31" i="5" s="1"/>
  <c r="K33" i="5" a="1"/>
  <c r="K33" i="5" s="1"/>
  <c r="K32" i="5" a="1"/>
  <c r="K32" i="5" s="1"/>
  <c r="G11" i="4"/>
  <c r="K18" i="5" s="1"/>
  <c r="G7" i="4"/>
  <c r="K15" i="5" s="1"/>
  <c r="G25" i="4"/>
  <c r="G26" i="4"/>
  <c r="G27" i="4"/>
  <c r="G6" i="4"/>
  <c r="K14" i="5" s="1"/>
  <c r="G9" i="4"/>
  <c r="K16" i="5" s="1"/>
  <c r="G15" i="4"/>
  <c r="G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<sst xmlns="http://schemas.openxmlformats.org/spreadsheetml/2006/main" count="705" uniqueCount="388">
  <si>
    <t>Α/Α</t>
  </si>
  <si>
    <t>ΜΟΝΑΔΙΚΟΣ ΑΡΙΘΜΟΣ</t>
  </si>
  <si>
    <t>ΑΝΑΔΟΧΟΣ</t>
  </si>
  <si>
    <t>ΠΗΓΗ ΧΡΗΜΑΤΟΔΟΤΗΣΗΣ</t>
  </si>
  <si>
    <t>ΗΜΕΡ/ΝΙΑ ΟΛΟΚΛΗΡΩΣΗΣ</t>
  </si>
  <si>
    <t>ΗΜΕΡ/ΝΙΑ ΥΠΟΓΡΑΦΗΣ</t>
  </si>
  <si>
    <t>ΚΑΤΑΣΤΑΣΗ</t>
  </si>
  <si>
    <t xml:space="preserve">ΚΑΤΗΓΟΡΙΑ </t>
  </si>
  <si>
    <t>ΕΤΟΣ ΥΠΟΓΡΑΦΗΣ</t>
  </si>
  <si>
    <t>ΕΙΔΙΚΕΣ ΠΛΗΡΟΦΟΡΙΕΣ</t>
  </si>
  <si>
    <t>ΑΞΙΑ ΣΥΜΒΑΣΗΣ (με ΦΠΑ)</t>
  </si>
  <si>
    <t>ΜΕΛΕΤΗ</t>
  </si>
  <si>
    <t>ΕΡΓΟ</t>
  </si>
  <si>
    <t>ΠΡΟΜΗΘΕΙΑ</t>
  </si>
  <si>
    <t>ΟΛΟΚΛΗΡΩΜΕΝΗ</t>
  </si>
  <si>
    <t>ΕΝ ΕΞΕΛΙΞΕΙ</t>
  </si>
  <si>
    <t>ΤΡΟΠΟΠΟΙΗΣΗ</t>
  </si>
  <si>
    <t>22SYMV010502369</t>
  </si>
  <si>
    <t>ΓΕΩΡΓΙΟΣ ΓΚΟΤΖΑΜΑΝΗΣ</t>
  </si>
  <si>
    <t>ΑΞΙΑ ΠΡΑΓΜΑΤΟΠΟΙΗΜΕΝΩΝ ΠΛΗΡΩΜΩΝ (YTD)</t>
  </si>
  <si>
    <t>ΑΡΧΙΚΗ ΣΥΜΒΑΣΗ</t>
  </si>
  <si>
    <t>ΣΑΤΑ</t>
  </si>
  <si>
    <t>ΔΙΕΥΘΥΝΣΗ ΤΕΧΝΙΚΩΝ ΥΠΗΡΕΣΙΩΝ ΔΟΜΗΣΗΣ ΚΑΙ ΠΕΡΙΒΑΛΛΟΝΤΟΣ</t>
  </si>
  <si>
    <t>Μ- ΤΕΤΡΑΓΩΝΟ
ΣΥΜΒΟΥΛΕΥΤΙΚΗ Ι.Κ.Ε.</t>
  </si>
  <si>
    <t>22SYMV011182165</t>
  </si>
  <si>
    <t>ΠΡΑΣΙΝΟ ΤΑΜΕΙΟ</t>
  </si>
  <si>
    <t>ΕΤΟΣ ΟΛΟΚΛΗΡΩΣΗΣ</t>
  </si>
  <si>
    <t>22SYMV011108343</t>
  </si>
  <si>
    <t>ΝΙΚΟΛΑΟΣ ΜΑΜΜΗΣ</t>
  </si>
  <si>
    <t>ΔΙΑΡΚΕΙΑ ΥΛΟΠΟΙΗΣΗΣ (σε μήνες)</t>
  </si>
  <si>
    <t>Γ. ΠΑΠΑΔΑΚΟΣ &amp; ΣΙΑ ΕΕ</t>
  </si>
  <si>
    <t>ΑΝΑΣΤΑΣΙΟΣ ΤΖΑΒΑΡΑΣ</t>
  </si>
  <si>
    <t>ΕΠ ΑΛΙΕΙΑ ΚΑΙ ΘΑΛΑΣΣΑ</t>
  </si>
  <si>
    <t>22SYMV010831573</t>
  </si>
  <si>
    <t>22SYMV011367265</t>
  </si>
  <si>
    <t>22SYMV010201743</t>
  </si>
  <si>
    <t>ΔΟΜΙΚΗ ΚΡΗΤΗΣ Α.Ε</t>
  </si>
  <si>
    <t>ΑΝΤΩΝΗΣ ΤΡΙΤΣΗΣ</t>
  </si>
  <si>
    <t>ΑΞΙΑ ΕΚΚΡΕΜΩΝ ΠΛΗΡΩΜΩΝ</t>
  </si>
  <si>
    <t>ΝΑΙ</t>
  </si>
  <si>
    <t>ΌΧΙ</t>
  </si>
  <si>
    <t>22SYMV010633027</t>
  </si>
  <si>
    <t>Αποστολάκος Αντώνιος, Χωματουργικές – Κατασκευαστικές Εργασίες</t>
  </si>
  <si>
    <t>ΙΔΙΟΙ ΠΟΡΟΙ (Ανειδίκευτα Έσοδα)</t>
  </si>
  <si>
    <t>22SYMV011207951</t>
  </si>
  <si>
    <t>Μπέλεσης Κωνσταντίνος του Γεωργίου, Υλικά Οικοδομών, Εμπειροτέχνης, Χωματουργικές Εργασίες</t>
  </si>
  <si>
    <t>ΔΙΕΥΘΥΝΣΗ ΟΙΚΟΝΟΜΙΚΩΝ ΥΠΗΡΕΣΙΩΝ, ΤΜΗΜΑ ΠΡΟΜΗΘΕΙΩΝ ΚΑΙ ΕΡΓΑΣΙΩΝ</t>
  </si>
  <si>
    <t>Κοκκινάκος Χ. Πιερρής, Εμπόριο Η-Υ, Περιφ. Εξοπλισμού</t>
  </si>
  <si>
    <t>22SYMV010993405</t>
  </si>
  <si>
    <t>22SYMV011357552</t>
  </si>
  <si>
    <t>ΕΛΛΗΝΙΚΗ ΒΙΟΜΗΧΑΝΙΑ ΠΕΡΙΒAΛΛΟΝΤΙΚΩΝ ΣΥΣΤΗΜΑΤΩΝ Α.Ε.Β.Ε</t>
  </si>
  <si>
    <t>22SYMV011263949</t>
  </si>
  <si>
    <t>Στυλιανός Ιωάννης και ΣΙΑ Ε.Ε</t>
  </si>
  <si>
    <t>Αξία Συμβάσεων</t>
  </si>
  <si>
    <t>Πλήθος Ολοκληρωμένων Συμβάσεων</t>
  </si>
  <si>
    <t>Πλήθος Εν Εξελίξει Συμβάσεων</t>
  </si>
  <si>
    <t>Αξία Πραγματοποιημένων Πληρωμών</t>
  </si>
  <si>
    <t># Μοναδιαίων Αναδόχων</t>
  </si>
  <si>
    <t>Πλήθος Συμβάσεων της κατηγορίας "Προμήθεια"</t>
  </si>
  <si>
    <t>Πλήθος Συμβάσεων της κατηγορίας "Έργα"</t>
  </si>
  <si>
    <t>CPV</t>
  </si>
  <si>
    <t>ΣΥΜΒΑΛΛΟΜΕΝΗ ΥΠΗΡΕΣΙΑ / ΟΡΓΑΝΩΤΙΚΗ ΜΟΝΑΔΑ</t>
  </si>
  <si>
    <t>71320000-7</t>
  </si>
  <si>
    <t>71330000-0</t>
  </si>
  <si>
    <t>45232152-2</t>
  </si>
  <si>
    <t>ΙΔΙΟΙ ΠΟΡΟΙ</t>
  </si>
  <si>
    <t>44163130-0</t>
  </si>
  <si>
    <t>45241600-4</t>
  </si>
  <si>
    <t>45232151-5</t>
  </si>
  <si>
    <t>45233252-0</t>
  </si>
  <si>
    <t>45236000-0</t>
  </si>
  <si>
    <t>30237200-1</t>
  </si>
  <si>
    <t>34928480-6</t>
  </si>
  <si>
    <t>34928110-2</t>
  </si>
  <si>
    <t># Μοναδιαίων CPV</t>
  </si>
  <si>
    <t>ΣΥΜΠΛΗΡΩΜΑΤΙΚΗ</t>
  </si>
  <si>
    <t>«Π. ΑΜΟΙΡΑΛΗΣ ΚΑΙ ΣΙΑ ΕΕ</t>
  </si>
  <si>
    <t>45214800-8</t>
  </si>
  <si>
    <t>21SYMV009087478</t>
  </si>
  <si>
    <t>ΜΕΤΑΦΟΡΑ ΣΤΟ ΕΠΟΜΕΝΟ ΕΤΟΣ</t>
  </si>
  <si>
    <t>44613600-6</t>
  </si>
  <si>
    <t>21SYMV008841063</t>
  </si>
  <si>
    <t>TAKTIKA</t>
  </si>
  <si>
    <t>34144511-3</t>
  </si>
  <si>
    <t>21SYMV008751490</t>
  </si>
  <si>
    <t>Α. ΚΑΟΥΣΗΣ Α.Ε - Βιομηχανία
Ειδικών Κατασκευών</t>
  </si>
  <si>
    <t>ΠΔΕ - ΠΡΟΓΡΑΜΜΑ ΦΙΛΟΔΗΜΟΣ</t>
  </si>
  <si>
    <t>45210000-2</t>
  </si>
  <si>
    <t>«Γ. &amp; Π. ΚΟΥΤΣΟΥΚΑΛΗ ΟΕ</t>
  </si>
  <si>
    <t>21SYMV008591114</t>
  </si>
  <si>
    <t>ΠΔΕ</t>
  </si>
  <si>
    <t>45112730-1</t>
  </si>
  <si>
    <t>21SYMV008517844</t>
  </si>
  <si>
    <t>Γεωργουδής Ιωάννης του Σωκράτη, Χωματουργικές εργασίες</t>
  </si>
  <si>
    <t>45211360-0</t>
  </si>
  <si>
    <t>21SYMV008326736</t>
  </si>
  <si>
    <t>ΕΠ ΑΓΡΟΤΙΚΗ ΑΝΑΠΤΥΞΗ ΤΗΣ ΕΛΛΑΔΑΣ</t>
  </si>
  <si>
    <t xml:space="preserve">Κ/Ξ
ΕΥΣΤΑΘΙΟΣ ΔΗΜΗΤΡΙΟΥ ΚΟΤΣΙΦΑΣ – ΧΑΡΑΛΑΜΠΟΣ ΣΤΑΥΡΟΥ ΣΠΥΡΙΔΑΚΟΣ </t>
  </si>
  <si>
    <t>45330000-9</t>
  </si>
  <si>
    <t>21SYMV008240639</t>
  </si>
  <si>
    <t>ΒΙΛΛΙΑΣ Γ. - ΝΤΟΒΟΛΟΣ Ι. Ο.Ε. - Βιοτεχνία κατασκευής αντλιών Υποβρύχιες Αντλίες - Πομώνες</t>
  </si>
  <si>
    <t>Widget A: Γενική Επισκόπηση</t>
  </si>
  <si>
    <t>A1</t>
  </si>
  <si>
    <t>A2</t>
  </si>
  <si>
    <t>Πλήθος Υπογεγραμμένων Συμβάσεων (YTD)</t>
  </si>
  <si>
    <t>Πλήθος Υπογεγραμμένων Συμβάσεων 2022 (YTD)</t>
  </si>
  <si>
    <t>Πλήθος Υπογεγραμμένων Συμβάσεων 2021 (ίδια περίοδος)</t>
  </si>
  <si>
    <t>Τιμή</t>
  </si>
  <si>
    <t>Α.1.1</t>
  </si>
  <si>
    <t>Α.1.2</t>
  </si>
  <si>
    <t>A.1.3</t>
  </si>
  <si>
    <t xml:space="preserve"> % μεταβολή από την προηγούμενη χρονιά (ίδια περίοδος)</t>
  </si>
  <si>
    <t>A/A Σχετικού KPI</t>
  </si>
  <si>
    <t>A.1.1.</t>
  </si>
  <si>
    <t xml:space="preserve">Πληροφορία </t>
  </si>
  <si>
    <t>ΥΠΟΛΟΓΙΣΜΟΣ KPIs</t>
  </si>
  <si>
    <t xml:space="preserve"> KPI</t>
  </si>
  <si>
    <t>Αξία Υπογεγραμμένων Συμβάσεων YTD)</t>
  </si>
  <si>
    <t>% μεταβολή από την προηγούμενη χρονιά (ίδια περίοδος)</t>
  </si>
  <si>
    <t>Αξία Υπογεγραμμένων Συμβάσεων 2022 (YTD)</t>
  </si>
  <si>
    <t>Α.2.1.</t>
  </si>
  <si>
    <t>Αξία Υπογεγραμμένων Συμβάσεων 2021 (ίδια περίοδος)</t>
  </si>
  <si>
    <t>Α.2.2.</t>
  </si>
  <si>
    <t>Α.2.3.</t>
  </si>
  <si>
    <t>% Μεταβολή (=(Α.2.1-Α.2.2)/Α.2.1)</t>
  </si>
  <si>
    <t>% Μεταβολή (=(Α.1.1-Α.1.2)/Α.1.1)</t>
  </si>
  <si>
    <t>Β1</t>
  </si>
  <si>
    <t>Β.1.3.</t>
  </si>
  <si>
    <t>Β.1.1.</t>
  </si>
  <si>
    <t>Β.1.2.</t>
  </si>
  <si>
    <t>Β.1.3.&amp;Β.1.4.</t>
  </si>
  <si>
    <t>Β.1.4.</t>
  </si>
  <si>
    <t>% Ολοκληρωμένων Συμβάσεων (=Β.1.1./Α.1.1.)</t>
  </si>
  <si>
    <t>Τρόπος Απεικόνισης</t>
  </si>
  <si>
    <t>Αριθμός και % εντός χρωματισμένου πλαισίου</t>
  </si>
  <si>
    <t>Pie chart</t>
  </si>
  <si>
    <t>B2</t>
  </si>
  <si>
    <t>% Κατανομή υπογεγραμμένων συμβάσεων (YTD) με βάση την τρέχουσα κατάσταση</t>
  </si>
  <si>
    <t>Bar chart</t>
  </si>
  <si>
    <t>% Εν εξελίξει Συμβάσεων (=Β.1.2./Α.1.1.)</t>
  </si>
  <si>
    <t>Πλήθος Μοναδιαίων Αναδόχων (YTD)</t>
  </si>
  <si>
    <t>Αριθμός εντός χρωματισμένου πλαισίου</t>
  </si>
  <si>
    <t>Πλήθος Μοναδιαίων CPV (YTD)</t>
  </si>
  <si>
    <t>Αριθμός εντός χρωματισμένου πλαισίου με 2 στήλες</t>
  </si>
  <si>
    <t>Α.3.2.</t>
  </si>
  <si>
    <t>Breakdown υπογεγραμμένων συμβάσεων (YTD) με βάση την κατηγορία</t>
  </si>
  <si>
    <t>B.2.1.</t>
  </si>
  <si>
    <t>Α3</t>
  </si>
  <si>
    <t>Α.3.1.</t>
  </si>
  <si>
    <t>Ύψος εκκρεμών πληρωμών</t>
  </si>
  <si>
    <t>Ύψος πραγματοποιημένων πληρωμών (YTD)</t>
  </si>
  <si>
    <t xml:space="preserve">Ύψος εκκρεμών πληρωμών </t>
  </si>
  <si>
    <t>Ύψος εκκρεμών πληρωμών (έως 31/12 τρέχοντος έτους)</t>
  </si>
  <si>
    <t>Ύψος εκκρεμών πληρωμών (έως 31/12)</t>
  </si>
  <si>
    <t>Α.3.3.</t>
  </si>
  <si>
    <t>Αριθμός εντός χρωματισμένου πλαισίου με 3 στήλες</t>
  </si>
  <si>
    <t>Γ1</t>
  </si>
  <si>
    <t>Γ.1.1.</t>
  </si>
  <si>
    <t>Γ.1.2.</t>
  </si>
  <si>
    <t>Β3</t>
  </si>
  <si>
    <t>Πλήθος Συμβάσεων "Αρχική Έκδοση"</t>
  </si>
  <si>
    <t>Πλήθος Συμβάσεων "Τροποποίηση Σύμβασης"</t>
  </si>
  <si>
    <t>Πλήθος Συμβάσεων "Συμπλήρωση Σύμβασης"</t>
  </si>
  <si>
    <t>% Κατανομή υπογεγραμμένων συμβάσεων (YTD) με βάση την τρέχουσα έκδοση</t>
  </si>
  <si>
    <t>Β.3.1.</t>
  </si>
  <si>
    <t>Β.3.2</t>
  </si>
  <si>
    <t>Β.3.3.</t>
  </si>
  <si>
    <t>Β.3.4.</t>
  </si>
  <si>
    <t>Β.3.5.</t>
  </si>
  <si>
    <t>Β.3.6.</t>
  </si>
  <si>
    <t>% Συμβάσεων "Αρχική Έκδοση" (=Β.3.1. / Α.1.1.)</t>
  </si>
  <si>
    <t>% Συμβάσεων "Τροποποίηση Σύμβασης" (=Β.3.2./Α.1.1.)</t>
  </si>
  <si>
    <t>%Συμβάσεων "Συμπλήρωση Σύμβασης" (=Β.3.3. / Α.1.1.)</t>
  </si>
  <si>
    <t>Β.3.4. - Β.3.6.</t>
  </si>
  <si>
    <t>Γ2</t>
  </si>
  <si>
    <t>Widget B: ΣΥΜΒΑΣΕΙΣ</t>
  </si>
  <si>
    <t>Φίλτρο</t>
  </si>
  <si>
    <t>Επιλογές (drop-down)</t>
  </si>
  <si>
    <t>Σε πλαίσιο με drop-down menu</t>
  </si>
  <si>
    <t>Κατηγορία Σύμβασης</t>
  </si>
  <si>
    <t>Μελέτη</t>
  </si>
  <si>
    <t>Έργο</t>
  </si>
  <si>
    <t>Προμήθεια</t>
  </si>
  <si>
    <t>Κατάσταση Σύμβασης</t>
  </si>
  <si>
    <t>Ολοκληρωμένη</t>
  </si>
  <si>
    <t>Εν εξελίξει</t>
  </si>
  <si>
    <t>Στην λειτουργική έκδοση του dashboard θα εξεταστεί αν είναι σκόπιμη η ενσωμάτωση της επιλογής σε διαδικασία υπογραφής</t>
  </si>
  <si>
    <t>Αρχική Έκδοση</t>
  </si>
  <si>
    <t>Τροποποίηση</t>
  </si>
  <si>
    <t>Συμπλήρωση</t>
  </si>
  <si>
    <t xml:space="preserve">Το σύνολο των CPV </t>
  </si>
  <si>
    <t>Όπως αποτυπώνονται στη στήλη F του φύλλου Raw Data</t>
  </si>
  <si>
    <t>Ανάδοχος</t>
  </si>
  <si>
    <t>Το σύνολο των Αναδόχων</t>
  </si>
  <si>
    <t>Έτος Υπογραφής</t>
  </si>
  <si>
    <t>Συμβαλλόμενη Υπηρεσία</t>
  </si>
  <si>
    <t>Το σύνολο των συμβαλλόμενων Υπηρεσιών</t>
  </si>
  <si>
    <t>Πηγή Χρηματοδότησης</t>
  </si>
  <si>
    <t>Το σύνολο των επιμέρους πηγών χρηματοδότησης</t>
  </si>
  <si>
    <t>ΠΑΡΑΤΗΡΗΣΕΙΣ</t>
  </si>
  <si>
    <t>Γ4</t>
  </si>
  <si>
    <t>Γ3</t>
  </si>
  <si>
    <t>Β2</t>
  </si>
  <si>
    <t>Α2</t>
  </si>
  <si>
    <t>Α1</t>
  </si>
  <si>
    <t>Σύμβαση</t>
  </si>
  <si>
    <t xml:space="preserve">Όλες οι συμβάσεις </t>
  </si>
  <si>
    <t>Αριθμός Έκδοσης Σύμβασης</t>
  </si>
  <si>
    <t>Πληροφορία</t>
  </si>
  <si>
    <t>Τρόπος Απεικόνισης Φίλτρου</t>
  </si>
  <si>
    <t>Όλα</t>
  </si>
  <si>
    <t>Α4</t>
  </si>
  <si>
    <t>Α5</t>
  </si>
  <si>
    <t>Β4</t>
  </si>
  <si>
    <t>ΠΑΡΕΧΟΜΕΝΗ ΠΛΗΡΟΦΟΡΙΑ: ΤΡΟΠΟΣ ΑΠΕΙΚΟΝΙΣΗΣ ΣΤΟ DASHBOARD</t>
  </si>
  <si>
    <t>ΠΑΡΕΧΟΜΕΝΗ ΠΛΗΡΟΦΟΡΙΑ: ΥΠΟΛΟΓΙΣΜΟΣ ΔΕΙΚΤΩΝ (KPIs)</t>
  </si>
  <si>
    <t>ΦΙΛΤΡΑ ΕΠΙΛΟΓΗΣ ΕΠΙΘΥΜΗΤΗΣ ΠΛΗΡΟΦΟΡΙΑΣ: ΤΡΟΠΟΣ ΑΠΕΙΚΟΝΙΣΗΣ ΣΤΟ DASHBOARD</t>
  </si>
  <si>
    <t>ΔΙΑΔΙΚΑΣΙΑ ΑΝΑΘΕΣΗΣ</t>
  </si>
  <si>
    <t>Όπως αποτυπώνονται στη στήλη G του φύλλου Raw Data</t>
  </si>
  <si>
    <t>Όπως αποτυπώνονται στη στήλη P του φύλλου Raw Data</t>
  </si>
  <si>
    <t>Όπως αποτυπώνονται στη στήλη O του φύλλου Raw Data / Για τις ανάγκες της λειτουργικής έκδοσης θα πρέπει να συζητηθεί ένας πιο βέλτιστος τρόπος ομαδοποίησης (π.χ. ΕΣΠΑ, ΠΔΕ, Ίδιοι Πόροι)</t>
  </si>
  <si>
    <t>Απευθείας Ανάθεση</t>
  </si>
  <si>
    <t>ΤΕΧΝΙΚΗ / ΕΠΙΣΤΗΜΟΝΙΚΗ ΥΠΗΡΕΣΙΑ</t>
  </si>
  <si>
    <t>ΓΕΝΙΚΗ ΥΠΗΡΕΣΙΑ</t>
  </si>
  <si>
    <t>Πλήθος Συμβάσεων της κατηγορίας "Γενική Υπηρεσία"</t>
  </si>
  <si>
    <t>Πλήθος Συμβάσεων της Κατηγορίας "Τεχνική / Επιστημονική Υπηρεσία"</t>
  </si>
  <si>
    <t>Β.2.2.</t>
  </si>
  <si>
    <t>Β.2.3.</t>
  </si>
  <si>
    <t>Β.2.4.</t>
  </si>
  <si>
    <t>Β.2.5.</t>
  </si>
  <si>
    <t>B.2.1. - B.2.5.</t>
  </si>
  <si>
    <t>Τεχνική / Επιστημονική Υπηρεσία</t>
  </si>
  <si>
    <t>Γενική Υπηρεσία</t>
  </si>
  <si>
    <t>Ανοιχτή Διαδικασία</t>
  </si>
  <si>
    <t>21SYMV008080413</t>
  </si>
  <si>
    <t>RESTORE A.T.E</t>
  </si>
  <si>
    <t>21SYMV008317896</t>
  </si>
  <si>
    <t xml:space="preserve">ΓΕΩΡΓΙΟΣ ΔΗΜΗΤΡΙΟΥ ΚΟΤΣΙΦΑΣ – ΧΑΡΑΛΑΜΠΟΣ ΣΤΑΥΡΟΥ ΣΠΥΡΙΔΑΚΟΣ </t>
  </si>
  <si>
    <t>Θέση στο Dashboard (βλ. ppt)</t>
  </si>
  <si>
    <t xml:space="preserve">Ύψος πραγματοποιηθέντων  πληρωμών </t>
  </si>
  <si>
    <t>Πλήθος Υπογεγραμμένων Συμβάσεων &amp; % μεταβολή από προηγούμενη χρονιά</t>
  </si>
  <si>
    <t>Αξία Συμβάσεων &amp; % μεταβολή από προηγούμενη χρονιά</t>
  </si>
  <si>
    <t>A.2.1. &amp; Α.2.2.</t>
  </si>
  <si>
    <t>Α.2.3. &amp; Α.2.4.</t>
  </si>
  <si>
    <t>Α.2.4.</t>
  </si>
  <si>
    <t>Α.2.5.</t>
  </si>
  <si>
    <t>Α.2.6.</t>
  </si>
  <si>
    <t>Α.2.7</t>
  </si>
  <si>
    <t>Α.2.8</t>
  </si>
  <si>
    <t>Πλήθος Υπογεγραμμένων Συμβάσεων 2021 (01/01 - 31/12)</t>
  </si>
  <si>
    <t>Πλήθος Υπογεγραμμένων Συμβάσεων &amp;  % μεταβολή από προηγούμενη χρονιά</t>
  </si>
  <si>
    <t>Α.2.8. &amp; Α.2.9.</t>
  </si>
  <si>
    <t>Α.2.9.</t>
  </si>
  <si>
    <t>Α.2.10. &amp; Α.2.11.</t>
  </si>
  <si>
    <t>Α.2.10.</t>
  </si>
  <si>
    <t>Α.2.11.</t>
  </si>
  <si>
    <t xml:space="preserve">Αξία Υπογεγραμμένων Συμβάσεων 2021 </t>
  </si>
  <si>
    <t>% Μεταβολή (2021-2022)</t>
  </si>
  <si>
    <t>% Μεταβολή (2020-2021)</t>
  </si>
  <si>
    <t>Α.2.12.</t>
  </si>
  <si>
    <t>Α.2.13. &amp; Α.2.14.</t>
  </si>
  <si>
    <t>Α.2.6. &amp; Α.2.7.</t>
  </si>
  <si>
    <t>A.2.13.</t>
  </si>
  <si>
    <t>A.2.14.</t>
  </si>
  <si>
    <t>Στην λειτουργική έκδοση του dashboard θα ενσωματώνονται τα 3 τελευταία έτη.
Η τιμή των KPI A.2.9., Α.2.11. και Α.2.14. είναι dummy για την ώρα, δεν έχουν καταγραφεί στοιχεία συμβάσεων έτους 2020</t>
  </si>
  <si>
    <t>Πλήθος Υπογεγραμμένων Συμβάσεων "Μελέτη" &amp;  % μεταβολή από προηγούμενη χρονιά</t>
  </si>
  <si>
    <t>Αξία Συμβάσεων "Μελέτη" &amp; % μεταβολή από προηγούμενη χρονιά</t>
  </si>
  <si>
    <t>Top 3 Συμβάσεων "Μελέτη" (αξία)</t>
  </si>
  <si>
    <t>Α.3.1. &amp; Α.3.2.</t>
  </si>
  <si>
    <t>Πλήθος Υπογεγραμμένων Συμβάσεων "Μελέτη" 2022 (YTD)</t>
  </si>
  <si>
    <t>Πλήθος Συμβάσεων της κατηγορίας "Μελέτη"</t>
  </si>
  <si>
    <t>Α.3.3. &amp; Α.3.4.</t>
  </si>
  <si>
    <t>Α.3.4.</t>
  </si>
  <si>
    <t>Αξία Υπογεγραμμένων Συμβάσεων "Μελέτη"</t>
  </si>
  <si>
    <t>A.3.5.</t>
  </si>
  <si>
    <t>Εντός Πίνακα με 3 rows</t>
  </si>
  <si>
    <t>Α.3.6.</t>
  </si>
  <si>
    <t>Γ5</t>
  </si>
  <si>
    <t>Α.3.7. &amp; Α.3.8.</t>
  </si>
  <si>
    <t>Α.3.7.</t>
  </si>
  <si>
    <t>Α.3.8.</t>
  </si>
  <si>
    <t>Πλήθος Υπογεγραμμένων Συμβάσεων "Έργο" 2022 (YTD)</t>
  </si>
  <si>
    <t>Αξία Υπογεγραμμένων Συμβάσεων "Έργο"</t>
  </si>
  <si>
    <t>Top 3 Συμβάσεων "Έργο"</t>
  </si>
  <si>
    <t>Top 3 Συμβάσεων "Μελέτη"</t>
  </si>
  <si>
    <t>Α.3.9. &amp; Α.3.10.</t>
  </si>
  <si>
    <t>Α.3.11. &amp; Α.3.12.</t>
  </si>
  <si>
    <t>A.3.13.</t>
  </si>
  <si>
    <t>Α.3.14.</t>
  </si>
  <si>
    <t>Α.3.15. &amp; Α.3.16.</t>
  </si>
  <si>
    <t>Α.3.9.</t>
  </si>
  <si>
    <t>Α.3.10.</t>
  </si>
  <si>
    <t>Α.3.11.</t>
  </si>
  <si>
    <t>Α.3.12.</t>
  </si>
  <si>
    <t>Α.3.15.</t>
  </si>
  <si>
    <t>Α.3.16.</t>
  </si>
  <si>
    <t>Στη λειτουργική έκδοση δύναται να αποτυπώνονται και άλλες πληροφορίες (ΑΔΑΜ, Ανάδοχος κ.λπ) που κρίνονται απαραίτητες</t>
  </si>
  <si>
    <t>Α.3.17. &amp; Α.3.18.</t>
  </si>
  <si>
    <t>Α.3.19. &amp; Α.3.20.</t>
  </si>
  <si>
    <t>A.3.21.</t>
  </si>
  <si>
    <t>Α.3.22.</t>
  </si>
  <si>
    <t>Α.3.23. &amp; Α.3.24.</t>
  </si>
  <si>
    <t>Α.3.17.</t>
  </si>
  <si>
    <t>Α.3.18.</t>
  </si>
  <si>
    <t>Α.3.19.</t>
  </si>
  <si>
    <t>Α.3.20.</t>
  </si>
  <si>
    <t>Α.3.23.</t>
  </si>
  <si>
    <t>Α.3.24.</t>
  </si>
  <si>
    <t>Πλήθος Υπογεγραμμένων Συμβάσεων "Τεχνική / Επιστημονική Υπηρεσία" 2022 (YTD)</t>
  </si>
  <si>
    <t>Αξία Υπογεγραμμένων Συμβάσεων "Τεχνική / Επιστημονική Υπηρεσία"</t>
  </si>
  <si>
    <t>Top 3 Συμβάσεων "Τεχνική / Επιστημονική Υπηρεσία"</t>
  </si>
  <si>
    <t>Πλήθος Υπογεγραμμένων Συμβάσεων "Τεχνική / Επιστημονική Υπηρεσία" &amp;  % μεταβολή από προηγούμενη χρονιά</t>
  </si>
  <si>
    <t>Αξία Συμβάσεων "Τεχνική / Επιστημονική Υπηρεσία" &amp; % μεταβολή από προηγούμενη χρονιά</t>
  </si>
  <si>
    <t>Top 3 Συμβάσεων "Τεχνική / Επιστημονική Υπηρεσία" (αξία)</t>
  </si>
  <si>
    <t>Πλήθος Υπογεγραμμένων Συμβάσεων "Γενική Υπηρεσία" &amp;  % μεταβολή από προηγούμενη χρονιά</t>
  </si>
  <si>
    <t>Αξία Συμβάσεων "Γενική Υπηρεσία" &amp; % μεταβολή από προηγούμενη χρονιά</t>
  </si>
  <si>
    <t>Top 3 Συμβάσεων "Γενική Υπηρεσία" (αξία)</t>
  </si>
  <si>
    <t>Top 3 Συμβάσεων "Έργο" (αξία)</t>
  </si>
  <si>
    <t>Αξία Συμβάσεων "Έργο" &amp; % μεταβολή από προηγούμενη χρονιά</t>
  </si>
  <si>
    <t>Πλήθος Υπογεγραμμένων Συμβάσεων "Έργο" &amp;  % μεταβολή από προηγούμενη χρονιά</t>
  </si>
  <si>
    <t>Πλήθος Υπογεγραμμένων Συμβάσεων "Γενική Υπηρεσία" 2022 (YTD)</t>
  </si>
  <si>
    <t>Αξία Υπογεγραμμένων Συμβάσεων "Γενική Υπηρεσία"</t>
  </si>
  <si>
    <t>Α.3.25. &amp; Α.3.26.</t>
  </si>
  <si>
    <t>Α.3.27. &amp; Α.3.28.</t>
  </si>
  <si>
    <t>A.3.29.</t>
  </si>
  <si>
    <t>Α.3.30.</t>
  </si>
  <si>
    <t>Α.3.31. &amp; Α.3.32.</t>
  </si>
  <si>
    <t>Α.3.25.</t>
  </si>
  <si>
    <t>Α.3.26.</t>
  </si>
  <si>
    <t>Α.3.27.</t>
  </si>
  <si>
    <t>Α.3.28.</t>
  </si>
  <si>
    <t>Α.3.31.</t>
  </si>
  <si>
    <t>Α.3.32.</t>
  </si>
  <si>
    <t>Πλήθος Υπογεγραμμένων Συμβάσεων "Προμήθεια" &amp;  % μεταβολή από προηγούμενη χρονιά</t>
  </si>
  <si>
    <t>Αξία Συμβάσεων "Προμήθεια" &amp; % μεταβολή από προηγούμενη χρονιά</t>
  </si>
  <si>
    <t>Top 3 Συμβάσεων "Προμήθεια" (αξία)</t>
  </si>
  <si>
    <t>Πλήθος Υπογεγραμμένων Συμβάσεων "Προμήθεια" 2022 (YTD)</t>
  </si>
  <si>
    <t>Αξία Υπογεγραμμένων Συμβάσεων "Προμήθεια"</t>
  </si>
  <si>
    <t>Top 3 Συμβάσεων "Προμήθεια"</t>
  </si>
  <si>
    <t>Top 3 Συμβάσεων "Γενική Υπηρεσία"</t>
  </si>
  <si>
    <t>Α.3.33. &amp; Α.3.34.</t>
  </si>
  <si>
    <t>Α.3.35. &amp; Α.3.36.</t>
  </si>
  <si>
    <t>A.3.37.</t>
  </si>
  <si>
    <t>Α.3.38.</t>
  </si>
  <si>
    <t>Α.3.39. &amp; Α.3.40.</t>
  </si>
  <si>
    <t>Α.3.33.</t>
  </si>
  <si>
    <t>Α.3.34.</t>
  </si>
  <si>
    <t>Α.3.35.</t>
  </si>
  <si>
    <t>Α.3.36.</t>
  </si>
  <si>
    <t>Α.3.39.</t>
  </si>
  <si>
    <t>Α.3.40.</t>
  </si>
  <si>
    <t>Σε περίπτωση που επιλεγεί το "ΌΛΑ", τα δεδομένα είναι τα ίδια με αυτά του έτους 2022</t>
  </si>
  <si>
    <t>Ίδια με ανωτέρω</t>
  </si>
  <si>
    <t>Η πληροφορία και τα KPI's θα είναι πανομοιότυπα με ανωτέρω, προσαρμοσμένα στα συγκεκριμένα φίλτρα</t>
  </si>
  <si>
    <t>Αξία Σύμβασης</t>
  </si>
  <si>
    <t>Ημερομηνία Υπογραφής</t>
  </si>
  <si>
    <t>Διάρκεια</t>
  </si>
  <si>
    <t>Ημερομηνία ολοκλήρωσης</t>
  </si>
  <si>
    <t>Πραγματοποιηθήσεις πληρωμές</t>
  </si>
  <si>
    <t>Εκκρεμείς πληρωμές</t>
  </si>
  <si>
    <t>Πίνακας με 9 rows</t>
  </si>
  <si>
    <t>ΑΔΑΜ</t>
  </si>
  <si>
    <t>Α.1.1.</t>
  </si>
  <si>
    <t>Α.1.2.</t>
  </si>
  <si>
    <t>Α.1.3.</t>
  </si>
  <si>
    <t>Α.1.4.</t>
  </si>
  <si>
    <t>Α.1.5.</t>
  </si>
  <si>
    <t>Α.1.6.</t>
  </si>
  <si>
    <t>Α.1.7.</t>
  </si>
  <si>
    <t>Α.1.8.</t>
  </si>
  <si>
    <t>Α.1.9.</t>
  </si>
  <si>
    <t>Μοναδικός Αριθμός (ΑΔΑΜ)</t>
  </si>
  <si>
    <t>Εκκρεμείς Πληρωμές</t>
  </si>
  <si>
    <t>Ανάλογα ποια σύμβαση θα επιλεγεί, η τιμή του KPI θα αλιευθεί από τη στήλη B του φύλλου Raw Data</t>
  </si>
  <si>
    <t>Ανάλογα ποια σύμβαση θα επιλεγεί, η τιμή του KPI θα αλιευθεί από τη στήλη F του φύλλου Raw Data</t>
  </si>
  <si>
    <t>Ανάλογα ποια σύμβαση θα επιλεγεί, η τιμή του KPI θα αλιευθεί από τη στήλη E του φύλλου Raw Data</t>
  </si>
  <si>
    <t>Ανάλογα ποια σύμβαση θα επιλεγεί, η τιμή του KPI θα αλιευθεί από τη στήλη G του φύλλου Raw Data</t>
  </si>
  <si>
    <t>Ανάλογα ποια σύμβαση θα επιλεγεί, η τιμή του KPI θα αλιευθεί από τη στήλη I του φύλλου Raw Data</t>
  </si>
  <si>
    <t>Ανάλογα ποια σύμβαση θα επιλεγεί, η τιμή του KPI θα αλιευθεί από τη στήλη J του φύλλου Raw Data</t>
  </si>
  <si>
    <t>Ανάλογα ποια σύμβαση θα επιλεγεί, η τιμή του KPI θα αλιευθεί από τη στήλη L του φύλλου Raw Data</t>
  </si>
  <si>
    <t>Ανάλογα ποια σύμβαση θα επιλεγεί, η τιμή του KPI θα αλιευθεί από τη στήλη Q του φύλλου Raw Data</t>
  </si>
  <si>
    <t>Ανάλογα ποια σύμβαση θα επιλεγεί, η τιμή του KPI θα αλιευθεί από τη στήλη R του φύλλου Raw Data</t>
  </si>
  <si>
    <t>Στο drop down menu, η επιλογή θα γίνεται με βάση είτε τον ΑΔΑΜ, είτε τον τίτλο της Σύμβασης</t>
  </si>
  <si>
    <t>21SYMV008577506</t>
  </si>
  <si>
    <t>Συνοπτικός Διαγωνισμός</t>
  </si>
  <si>
    <t>79415200-8</t>
  </si>
  <si>
    <t xml:space="preserve"> Μ- ΤΕΤΡΑΓΩΝΟ ΣΥΜΒΟΥΛΕΥΤΙΚΗ ΙΚΕ</t>
  </si>
  <si>
    <t>ΣΤΟΙΧΕΙΑ ΣΥΜΒΑΣΕΩΝ - ΔΕΙΓΜΑ 21 ΣΥΜΒΑΣΕΩΝ (11 ΓΙΑ ΤΟ 2022 ΚΑΙ 10 ΓΙΑ ΤΟ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</si>
</sst>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3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  <font>
      <b/>
      <sz val="13"/>
      <color theme="0"/>
      <name val="Calibri"/>
      <family val="2"/>
      <charset val="161"/>
      <scheme val="minor"/>
    </font>
    <font>
      <sz val="13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0.5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0.5"/>
      <color rgb="FFFF000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i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164" fontId="6" fillId="0" borderId="2" xfId="0" applyNumberFormat="1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64" fontId="8" fillId="0" borderId="1" xfId="0" applyNumberFormat="1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0" fontId="0" fillId="0" borderId="15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9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/>
    <xf numFmtId="0" fontId="2" fillId="2" borderId="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8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Κανονικό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7153-7DE6-40FC-B230-54AF10B9A224}">
  <sheetPr>
    <tabColor theme="7"/>
  </sheetPr>
  <dimension ref="A1:S23"/>
  <sheetViews>
    <sheetView zoomScale="80" zoomScaleNormal="80" workbookViewId="0">
      <pane xSplit="11" ySplit="5" topLeftCell="O6" activePane="bottomRight" state="frozen"/>
      <selection pane="topRight" activeCell="J1" sqref="J1"/>
      <selection pane="bottomLeft" activeCell="A6" sqref="A6"/>
      <selection pane="bottomRight" activeCell="E7" sqref="E7"/>
    </sheetView>
  </sheetViews>
  <sheetFormatPr defaultRowHeight="14.4" x14ac:dyDescent="0.3"/>
  <cols>
    <col min="1" max="1" width="5.109375" customWidth="1"/>
    <col min="2" max="2" width="17.5546875" customWidth="1"/>
    <col min="3" max="3" width="14.109375" customWidth="1"/>
    <col min="4" max="4" width="16.21875" customWidth="1"/>
    <col min="5" max="5" width="13.6640625" customWidth="1"/>
    <col min="6" max="6" width="16.6640625" customWidth="1"/>
    <col min="7" max="7" width="14.77734375" customWidth="1"/>
    <col min="8" max="8" width="12.88671875" customWidth="1"/>
    <col min="9" max="9" width="12.33203125" customWidth="1"/>
    <col min="10" max="10" width="13.109375" customWidth="1"/>
    <col min="11" max="11" width="15.109375" customWidth="1"/>
    <col min="12" max="13" width="15.21875" customWidth="1"/>
    <col min="14" max="14" width="13.77734375" customWidth="1"/>
    <col min="15" max="15" width="19.5546875" customWidth="1"/>
    <col min="16" max="16" width="20.109375" customWidth="1"/>
    <col min="17" max="17" width="23.6640625" customWidth="1"/>
    <col min="18" max="18" width="14.77734375" customWidth="1"/>
    <col min="19" max="19" width="15.6640625" customWidth="1"/>
  </cols>
  <sheetData>
    <row r="1" spans="1:19" ht="17.399999999999999" x14ac:dyDescent="0.35">
      <c r="A1" s="88" t="s">
        <v>387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63.6" customHeight="1" x14ac:dyDescent="0.3">
      <c r="A2" s="1" t="s">
        <v>0</v>
      </c>
      <c r="B2" s="2" t="s">
        <v>1</v>
      </c>
      <c r="C2" s="2" t="s">
        <v>7</v>
      </c>
      <c r="D2" s="2" t="s">
        <v>217</v>
      </c>
      <c r="E2" s="2" t="s">
        <v>10</v>
      </c>
      <c r="F2" s="2" t="s">
        <v>2</v>
      </c>
      <c r="G2" s="86" t="s">
        <v>60</v>
      </c>
      <c r="H2" s="2" t="s">
        <v>8</v>
      </c>
      <c r="I2" s="2" t="s">
        <v>5</v>
      </c>
      <c r="J2" s="2" t="s">
        <v>29</v>
      </c>
      <c r="K2" s="2" t="s">
        <v>26</v>
      </c>
      <c r="L2" s="2" t="s">
        <v>4</v>
      </c>
      <c r="M2" s="2" t="s">
        <v>6</v>
      </c>
      <c r="N2" s="2" t="s">
        <v>79</v>
      </c>
      <c r="O2" s="2" t="s">
        <v>3</v>
      </c>
      <c r="P2" s="2" t="s">
        <v>61</v>
      </c>
      <c r="Q2" s="2" t="s">
        <v>19</v>
      </c>
      <c r="R2" s="2" t="s">
        <v>38</v>
      </c>
      <c r="S2" s="2" t="s">
        <v>9</v>
      </c>
    </row>
    <row r="3" spans="1:19" ht="61.8" customHeight="1" x14ac:dyDescent="0.3">
      <c r="A3" s="4">
        <v>1</v>
      </c>
      <c r="B3" s="5" t="s">
        <v>17</v>
      </c>
      <c r="C3" s="7" t="s">
        <v>11</v>
      </c>
      <c r="D3" s="7" t="s">
        <v>221</v>
      </c>
      <c r="E3" s="6">
        <v>25000</v>
      </c>
      <c r="F3" s="7" t="s">
        <v>18</v>
      </c>
      <c r="G3" s="7" t="s">
        <v>62</v>
      </c>
      <c r="H3" s="5">
        <v>2022</v>
      </c>
      <c r="I3" s="8">
        <v>44687</v>
      </c>
      <c r="J3" s="5">
        <v>2</v>
      </c>
      <c r="K3" s="5">
        <v>2022</v>
      </c>
      <c r="L3" s="8">
        <v>44748</v>
      </c>
      <c r="M3" s="5" t="s">
        <v>14</v>
      </c>
      <c r="N3" s="5" t="s">
        <v>40</v>
      </c>
      <c r="O3" s="5" t="s">
        <v>21</v>
      </c>
      <c r="P3" s="7" t="s">
        <v>22</v>
      </c>
      <c r="Q3" s="6">
        <v>25000</v>
      </c>
      <c r="R3" s="6">
        <v>0</v>
      </c>
      <c r="S3" s="5" t="s">
        <v>20</v>
      </c>
    </row>
    <row r="4" spans="1:19" ht="43.2" x14ac:dyDescent="0.3">
      <c r="A4" s="4">
        <v>2</v>
      </c>
      <c r="B4" s="5" t="s">
        <v>24</v>
      </c>
      <c r="C4" s="7" t="s">
        <v>222</v>
      </c>
      <c r="D4" s="7" t="s">
        <v>221</v>
      </c>
      <c r="E4" s="6">
        <v>37200</v>
      </c>
      <c r="F4" s="7" t="s">
        <v>23</v>
      </c>
      <c r="G4" s="7" t="s">
        <v>63</v>
      </c>
      <c r="H4" s="5">
        <v>2022</v>
      </c>
      <c r="I4" s="8">
        <v>44806</v>
      </c>
      <c r="J4" s="5">
        <v>6</v>
      </c>
      <c r="K4" s="5">
        <v>2023</v>
      </c>
      <c r="L4" s="8">
        <v>44987</v>
      </c>
      <c r="M4" s="5" t="s">
        <v>15</v>
      </c>
      <c r="N4" s="5" t="s">
        <v>39</v>
      </c>
      <c r="O4" s="5" t="s">
        <v>25</v>
      </c>
      <c r="P4" s="7" t="s">
        <v>22</v>
      </c>
      <c r="Q4" s="6">
        <v>0</v>
      </c>
      <c r="R4" s="6">
        <v>37200</v>
      </c>
      <c r="S4" s="5" t="s">
        <v>20</v>
      </c>
    </row>
    <row r="5" spans="1:19" ht="43.2" x14ac:dyDescent="0.3">
      <c r="A5" s="4">
        <v>3</v>
      </c>
      <c r="B5" s="5" t="s">
        <v>27</v>
      </c>
      <c r="C5" s="7" t="s">
        <v>12</v>
      </c>
      <c r="D5" s="7" t="s">
        <v>221</v>
      </c>
      <c r="E5" s="6">
        <v>58365.52</v>
      </c>
      <c r="F5" s="7" t="s">
        <v>28</v>
      </c>
      <c r="G5" s="7" t="s">
        <v>64</v>
      </c>
      <c r="H5" s="5">
        <v>2022</v>
      </c>
      <c r="I5" s="8">
        <v>44790</v>
      </c>
      <c r="J5" s="5">
        <v>1.5</v>
      </c>
      <c r="K5" s="5">
        <v>2022</v>
      </c>
      <c r="L5" s="8">
        <v>44834</v>
      </c>
      <c r="M5" s="5" t="s">
        <v>15</v>
      </c>
      <c r="N5" s="5" t="s">
        <v>40</v>
      </c>
      <c r="O5" s="5" t="s">
        <v>65</v>
      </c>
      <c r="P5" s="7" t="s">
        <v>22</v>
      </c>
      <c r="Q5" s="6">
        <v>0</v>
      </c>
      <c r="R5" s="6">
        <f>E5-Q5</f>
        <v>58365.52</v>
      </c>
      <c r="S5" s="5" t="s">
        <v>20</v>
      </c>
    </row>
    <row r="6" spans="1:19" ht="43.2" x14ac:dyDescent="0.3">
      <c r="A6" s="4">
        <v>4</v>
      </c>
      <c r="B6" s="5" t="s">
        <v>34</v>
      </c>
      <c r="C6" s="7" t="s">
        <v>12</v>
      </c>
      <c r="D6" s="7" t="s">
        <v>221</v>
      </c>
      <c r="E6" s="6">
        <v>29918.400000000001</v>
      </c>
      <c r="F6" s="7" t="s">
        <v>30</v>
      </c>
      <c r="G6" s="7" t="s">
        <v>66</v>
      </c>
      <c r="H6" s="5">
        <v>2022</v>
      </c>
      <c r="I6" s="8">
        <v>44839</v>
      </c>
      <c r="J6" s="5">
        <v>1.5</v>
      </c>
      <c r="K6" s="5">
        <v>2022</v>
      </c>
      <c r="L6" s="8">
        <v>44883</v>
      </c>
      <c r="M6" s="5" t="s">
        <v>15</v>
      </c>
      <c r="N6" s="5" t="s">
        <v>40</v>
      </c>
      <c r="O6" s="5" t="s">
        <v>65</v>
      </c>
      <c r="P6" s="7" t="s">
        <v>22</v>
      </c>
      <c r="Q6" s="6">
        <v>0</v>
      </c>
      <c r="R6" s="6">
        <f t="shared" ref="R6:R23" si="0">E6-Q6</f>
        <v>29918.400000000001</v>
      </c>
      <c r="S6" s="5" t="s">
        <v>20</v>
      </c>
    </row>
    <row r="7" spans="1:19" ht="43.2" x14ac:dyDescent="0.3">
      <c r="A7" s="4">
        <v>5</v>
      </c>
      <c r="B7" s="5" t="s">
        <v>33</v>
      </c>
      <c r="C7" s="7" t="s">
        <v>12</v>
      </c>
      <c r="D7" s="7" t="s">
        <v>233</v>
      </c>
      <c r="E7" s="6">
        <v>106399.44</v>
      </c>
      <c r="F7" s="7" t="s">
        <v>31</v>
      </c>
      <c r="G7" s="7" t="s">
        <v>67</v>
      </c>
      <c r="H7" s="5">
        <v>2022</v>
      </c>
      <c r="I7" s="8">
        <v>44739</v>
      </c>
      <c r="J7" s="5">
        <v>6</v>
      </c>
      <c r="K7" s="5">
        <v>2022</v>
      </c>
      <c r="L7" s="8">
        <v>44922</v>
      </c>
      <c r="M7" s="5" t="s">
        <v>15</v>
      </c>
      <c r="N7" s="5" t="s">
        <v>40</v>
      </c>
      <c r="O7" s="5" t="s">
        <v>32</v>
      </c>
      <c r="P7" s="7" t="s">
        <v>22</v>
      </c>
      <c r="Q7" s="6">
        <v>0</v>
      </c>
      <c r="R7" s="6">
        <f t="shared" si="0"/>
        <v>106399.44</v>
      </c>
      <c r="S7" s="5" t="s">
        <v>20</v>
      </c>
    </row>
    <row r="8" spans="1:19" ht="43.2" x14ac:dyDescent="0.3">
      <c r="A8" s="4">
        <v>6</v>
      </c>
      <c r="B8" s="5" t="s">
        <v>35</v>
      </c>
      <c r="C8" s="7" t="s">
        <v>12</v>
      </c>
      <c r="D8" s="7" t="s">
        <v>233</v>
      </c>
      <c r="E8" s="6">
        <f>1397940.51*1.24</f>
        <v>1733446.2324000001</v>
      </c>
      <c r="F8" s="7" t="s">
        <v>36</v>
      </c>
      <c r="G8" s="7" t="s">
        <v>68</v>
      </c>
      <c r="H8" s="5">
        <v>2022</v>
      </c>
      <c r="I8" s="8">
        <v>44629</v>
      </c>
      <c r="J8" s="5">
        <v>12</v>
      </c>
      <c r="K8" s="5">
        <v>2023</v>
      </c>
      <c r="L8" s="8">
        <v>44994</v>
      </c>
      <c r="M8" s="5" t="s">
        <v>15</v>
      </c>
      <c r="N8" s="5" t="s">
        <v>40</v>
      </c>
      <c r="O8" s="5" t="s">
        <v>37</v>
      </c>
      <c r="P8" s="7" t="s">
        <v>22</v>
      </c>
      <c r="Q8" s="6">
        <v>53812.09</v>
      </c>
      <c r="R8" s="6">
        <f t="shared" si="0"/>
        <v>1679634.1424</v>
      </c>
      <c r="S8" s="5" t="s">
        <v>20</v>
      </c>
    </row>
    <row r="9" spans="1:19" ht="72" x14ac:dyDescent="0.3">
      <c r="A9" s="4">
        <v>7</v>
      </c>
      <c r="B9" s="5" t="s">
        <v>41</v>
      </c>
      <c r="C9" s="7" t="s">
        <v>223</v>
      </c>
      <c r="D9" s="7" t="s">
        <v>221</v>
      </c>
      <c r="E9" s="6">
        <v>12003.2</v>
      </c>
      <c r="F9" s="7" t="s">
        <v>42</v>
      </c>
      <c r="G9" s="7" t="s">
        <v>69</v>
      </c>
      <c r="H9" s="5">
        <v>2022</v>
      </c>
      <c r="I9" s="8">
        <v>44707</v>
      </c>
      <c r="J9" s="5">
        <v>1.5</v>
      </c>
      <c r="K9" s="5">
        <v>2022</v>
      </c>
      <c r="L9" s="8">
        <v>44723</v>
      </c>
      <c r="M9" s="5" t="s">
        <v>14</v>
      </c>
      <c r="N9" s="5" t="s">
        <v>40</v>
      </c>
      <c r="O9" s="7" t="s">
        <v>43</v>
      </c>
      <c r="P9" s="7" t="s">
        <v>46</v>
      </c>
      <c r="Q9" s="6">
        <v>12003.2</v>
      </c>
      <c r="R9" s="6">
        <f t="shared" si="0"/>
        <v>0</v>
      </c>
      <c r="S9" s="5" t="s">
        <v>20</v>
      </c>
    </row>
    <row r="10" spans="1:19" ht="100.8" x14ac:dyDescent="0.3">
      <c r="A10" s="4">
        <v>8</v>
      </c>
      <c r="B10" s="5" t="s">
        <v>44</v>
      </c>
      <c r="C10" s="7" t="s">
        <v>223</v>
      </c>
      <c r="D10" s="7" t="s">
        <v>221</v>
      </c>
      <c r="E10" s="6">
        <v>5952</v>
      </c>
      <c r="F10" s="7" t="s">
        <v>45</v>
      </c>
      <c r="G10" s="7" t="s">
        <v>70</v>
      </c>
      <c r="H10" s="5">
        <v>2022</v>
      </c>
      <c r="I10" s="8">
        <v>44812</v>
      </c>
      <c r="J10" s="5">
        <v>1.5</v>
      </c>
      <c r="K10" s="5">
        <v>2022</v>
      </c>
      <c r="L10" s="8">
        <v>44857</v>
      </c>
      <c r="M10" s="5" t="s">
        <v>15</v>
      </c>
      <c r="N10" s="5" t="s">
        <v>40</v>
      </c>
      <c r="O10" s="7" t="s">
        <v>43</v>
      </c>
      <c r="P10" s="7" t="s">
        <v>46</v>
      </c>
      <c r="Q10" s="6">
        <v>0</v>
      </c>
      <c r="R10" s="6">
        <f t="shared" si="0"/>
        <v>5952</v>
      </c>
      <c r="S10" s="5" t="s">
        <v>20</v>
      </c>
    </row>
    <row r="11" spans="1:19" ht="72" x14ac:dyDescent="0.3">
      <c r="A11" s="4">
        <v>9</v>
      </c>
      <c r="B11" s="5" t="s">
        <v>48</v>
      </c>
      <c r="C11" s="7" t="s">
        <v>13</v>
      </c>
      <c r="D11" s="5" t="s">
        <v>221</v>
      </c>
      <c r="E11" s="6">
        <v>2897.97</v>
      </c>
      <c r="F11" s="7" t="s">
        <v>47</v>
      </c>
      <c r="G11" s="7" t="s">
        <v>71</v>
      </c>
      <c r="H11" s="5">
        <v>2022</v>
      </c>
      <c r="I11" s="8">
        <v>44767</v>
      </c>
      <c r="J11" s="5">
        <v>1</v>
      </c>
      <c r="K11" s="5">
        <v>2022</v>
      </c>
      <c r="L11" s="8">
        <v>44798</v>
      </c>
      <c r="M11" s="5" t="s">
        <v>14</v>
      </c>
      <c r="N11" s="5" t="s">
        <v>40</v>
      </c>
      <c r="O11" s="7" t="s">
        <v>43</v>
      </c>
      <c r="P11" s="7" t="s">
        <v>46</v>
      </c>
      <c r="Q11" s="6">
        <v>2897.97</v>
      </c>
      <c r="R11" s="6">
        <f t="shared" si="0"/>
        <v>0</v>
      </c>
      <c r="S11" s="5" t="s">
        <v>20</v>
      </c>
    </row>
    <row r="12" spans="1:19" ht="72" x14ac:dyDescent="0.3">
      <c r="A12" s="4">
        <v>10</v>
      </c>
      <c r="B12" s="5" t="s">
        <v>49</v>
      </c>
      <c r="C12" s="7" t="s">
        <v>13</v>
      </c>
      <c r="D12" s="5" t="s">
        <v>221</v>
      </c>
      <c r="E12" s="6">
        <v>16963.2</v>
      </c>
      <c r="F12" s="7" t="s">
        <v>50</v>
      </c>
      <c r="G12" s="7" t="s">
        <v>72</v>
      </c>
      <c r="H12" s="5">
        <v>2022</v>
      </c>
      <c r="I12" s="8">
        <v>44838</v>
      </c>
      <c r="J12" s="5">
        <v>3</v>
      </c>
      <c r="K12" s="5">
        <v>2023</v>
      </c>
      <c r="L12" s="8">
        <v>44930</v>
      </c>
      <c r="M12" s="5" t="s">
        <v>15</v>
      </c>
      <c r="N12" s="5" t="s">
        <v>40</v>
      </c>
      <c r="O12" s="5"/>
      <c r="P12" s="7" t="s">
        <v>46</v>
      </c>
      <c r="Q12" s="6">
        <v>0</v>
      </c>
      <c r="R12" s="6">
        <f t="shared" si="0"/>
        <v>16963.2</v>
      </c>
      <c r="S12" s="5" t="s">
        <v>20</v>
      </c>
    </row>
    <row r="13" spans="1:19" ht="72" x14ac:dyDescent="0.3">
      <c r="A13" s="4">
        <v>11</v>
      </c>
      <c r="B13" s="5" t="s">
        <v>51</v>
      </c>
      <c r="C13" s="7" t="s">
        <v>13</v>
      </c>
      <c r="D13" s="5" t="s">
        <v>221</v>
      </c>
      <c r="E13" s="6">
        <v>11104.82</v>
      </c>
      <c r="F13" s="7" t="s">
        <v>52</v>
      </c>
      <c r="G13" s="7" t="s">
        <v>73</v>
      </c>
      <c r="H13" s="5">
        <v>2022</v>
      </c>
      <c r="I13" s="8">
        <v>44823</v>
      </c>
      <c r="J13" s="5">
        <v>3</v>
      </c>
      <c r="K13" s="5">
        <v>2022</v>
      </c>
      <c r="L13" s="8">
        <v>44914</v>
      </c>
      <c r="M13" s="5" t="s">
        <v>15</v>
      </c>
      <c r="N13" s="5" t="s">
        <v>40</v>
      </c>
      <c r="O13" s="5"/>
      <c r="P13" s="7" t="s">
        <v>46</v>
      </c>
      <c r="Q13" s="6">
        <v>0</v>
      </c>
      <c r="R13" s="6">
        <f t="shared" si="0"/>
        <v>11104.82</v>
      </c>
      <c r="S13" s="5" t="s">
        <v>20</v>
      </c>
    </row>
    <row r="14" spans="1:19" ht="43.2" x14ac:dyDescent="0.3">
      <c r="A14" s="20">
        <v>12</v>
      </c>
      <c r="B14" s="21" t="s">
        <v>78</v>
      </c>
      <c r="C14" s="7" t="s">
        <v>12</v>
      </c>
      <c r="D14" s="5" t="s">
        <v>221</v>
      </c>
      <c r="E14" s="22">
        <v>22368.959999999999</v>
      </c>
      <c r="F14" s="23" t="s">
        <v>76</v>
      </c>
      <c r="G14" s="23" t="s">
        <v>77</v>
      </c>
      <c r="H14" s="21">
        <v>2021</v>
      </c>
      <c r="I14" s="16">
        <v>44425</v>
      </c>
      <c r="J14" s="10">
        <v>4</v>
      </c>
      <c r="K14" s="10">
        <v>2021</v>
      </c>
      <c r="L14" s="16">
        <v>44547</v>
      </c>
      <c r="M14" s="14" t="s">
        <v>14</v>
      </c>
      <c r="N14" s="14" t="s">
        <v>40</v>
      </c>
      <c r="O14" s="18" t="s">
        <v>25</v>
      </c>
      <c r="P14" s="15" t="s">
        <v>22</v>
      </c>
      <c r="Q14" s="6">
        <f>16685.46+5680.71</f>
        <v>22366.17</v>
      </c>
      <c r="R14" s="25">
        <f t="shared" si="0"/>
        <v>2.7900000000008731</v>
      </c>
      <c r="S14" s="5" t="s">
        <v>20</v>
      </c>
    </row>
    <row r="15" spans="1:19" ht="72" x14ac:dyDescent="0.3">
      <c r="A15" s="20">
        <v>13</v>
      </c>
      <c r="B15" s="21" t="s">
        <v>81</v>
      </c>
      <c r="C15" s="64" t="s">
        <v>13</v>
      </c>
      <c r="D15" s="63" t="s">
        <v>221</v>
      </c>
      <c r="E15" s="12">
        <v>18885.2</v>
      </c>
      <c r="F15" s="11" t="s">
        <v>50</v>
      </c>
      <c r="G15" s="21" t="s">
        <v>80</v>
      </c>
      <c r="H15" s="21">
        <v>2021</v>
      </c>
      <c r="I15" s="19">
        <v>44377</v>
      </c>
      <c r="J15" s="17">
        <v>2</v>
      </c>
      <c r="K15" s="17">
        <v>2021</v>
      </c>
      <c r="L15" s="19">
        <v>44438</v>
      </c>
      <c r="M15" s="5" t="s">
        <v>14</v>
      </c>
      <c r="N15" s="5" t="s">
        <v>40</v>
      </c>
      <c r="O15" s="17" t="s">
        <v>82</v>
      </c>
      <c r="P15" s="7" t="s">
        <v>46</v>
      </c>
      <c r="Q15" s="6">
        <v>18885.2</v>
      </c>
      <c r="R15" s="6">
        <f t="shared" si="0"/>
        <v>0</v>
      </c>
      <c r="S15" s="13" t="s">
        <v>20</v>
      </c>
    </row>
    <row r="16" spans="1:19" ht="72" x14ac:dyDescent="0.3">
      <c r="A16" s="20">
        <v>14</v>
      </c>
      <c r="B16" s="21" t="s">
        <v>84</v>
      </c>
      <c r="C16" s="7" t="s">
        <v>13</v>
      </c>
      <c r="D16" s="5" t="s">
        <v>233</v>
      </c>
      <c r="E16" s="22">
        <v>161200</v>
      </c>
      <c r="F16" s="23" t="s">
        <v>85</v>
      </c>
      <c r="G16" s="21" t="s">
        <v>83</v>
      </c>
      <c r="H16" s="21">
        <v>2021</v>
      </c>
      <c r="I16" s="19">
        <v>44358</v>
      </c>
      <c r="J16" s="17">
        <v>5</v>
      </c>
      <c r="K16" s="17">
        <v>2021</v>
      </c>
      <c r="L16" s="19">
        <v>44511</v>
      </c>
      <c r="M16" s="5" t="s">
        <v>14</v>
      </c>
      <c r="N16" s="5" t="s">
        <v>40</v>
      </c>
      <c r="O16" s="18" t="s">
        <v>86</v>
      </c>
      <c r="P16" s="7" t="s">
        <v>46</v>
      </c>
      <c r="Q16" s="6">
        <v>161200</v>
      </c>
      <c r="R16" s="6">
        <f t="shared" si="0"/>
        <v>0</v>
      </c>
      <c r="S16" s="13" t="s">
        <v>20</v>
      </c>
    </row>
    <row r="17" spans="1:19" ht="43.2" x14ac:dyDescent="0.3">
      <c r="A17" s="20">
        <v>15</v>
      </c>
      <c r="B17" s="21" t="s">
        <v>89</v>
      </c>
      <c r="C17" s="7" t="s">
        <v>12</v>
      </c>
      <c r="D17" s="5" t="s">
        <v>233</v>
      </c>
      <c r="E17" s="22">
        <v>110877.71</v>
      </c>
      <c r="F17" s="23" t="s">
        <v>88</v>
      </c>
      <c r="G17" s="21" t="s">
        <v>87</v>
      </c>
      <c r="H17" s="21">
        <v>2021</v>
      </c>
      <c r="I17" s="19">
        <v>44327</v>
      </c>
      <c r="J17" s="17">
        <v>5</v>
      </c>
      <c r="K17" s="17">
        <v>2021</v>
      </c>
      <c r="L17" s="19">
        <v>44480</v>
      </c>
      <c r="M17" s="5" t="s">
        <v>14</v>
      </c>
      <c r="N17" s="5" t="s">
        <v>40</v>
      </c>
      <c r="O17" s="17" t="s">
        <v>90</v>
      </c>
      <c r="P17" s="15" t="s">
        <v>22</v>
      </c>
      <c r="Q17" s="6">
        <f>37548.75+34322.34</f>
        <v>71871.09</v>
      </c>
      <c r="R17" s="25">
        <f t="shared" si="0"/>
        <v>39006.62000000001</v>
      </c>
      <c r="S17" s="13" t="s">
        <v>20</v>
      </c>
    </row>
    <row r="18" spans="1:19" ht="72" x14ac:dyDescent="0.3">
      <c r="A18" s="20">
        <v>16</v>
      </c>
      <c r="B18" s="21" t="s">
        <v>92</v>
      </c>
      <c r="C18" s="7" t="s">
        <v>223</v>
      </c>
      <c r="D18" s="5" t="s">
        <v>221</v>
      </c>
      <c r="E18" s="22">
        <v>16070.4</v>
      </c>
      <c r="F18" s="23" t="s">
        <v>93</v>
      </c>
      <c r="G18" s="21" t="s">
        <v>91</v>
      </c>
      <c r="H18" s="21">
        <v>2021</v>
      </c>
      <c r="I18" s="19">
        <v>44309</v>
      </c>
      <c r="J18" s="17">
        <v>1.5</v>
      </c>
      <c r="K18" s="17">
        <v>2021</v>
      </c>
      <c r="L18" s="19">
        <v>44326</v>
      </c>
      <c r="M18" s="5" t="s">
        <v>14</v>
      </c>
      <c r="N18" s="5" t="s">
        <v>40</v>
      </c>
      <c r="O18" s="17" t="s">
        <v>82</v>
      </c>
      <c r="P18" s="7" t="s">
        <v>46</v>
      </c>
      <c r="Q18" s="6">
        <v>16070.4</v>
      </c>
      <c r="R18" s="6">
        <f t="shared" si="0"/>
        <v>0</v>
      </c>
      <c r="S18" s="13" t="s">
        <v>20</v>
      </c>
    </row>
    <row r="19" spans="1:19" ht="100.8" x14ac:dyDescent="0.3">
      <c r="A19" s="20">
        <v>17</v>
      </c>
      <c r="B19" s="21" t="s">
        <v>95</v>
      </c>
      <c r="C19" s="7" t="s">
        <v>12</v>
      </c>
      <c r="D19" s="5" t="s">
        <v>233</v>
      </c>
      <c r="E19" s="22">
        <v>68211.11</v>
      </c>
      <c r="F19" s="24" t="s">
        <v>97</v>
      </c>
      <c r="G19" s="21" t="s">
        <v>94</v>
      </c>
      <c r="H19" s="21">
        <v>2021</v>
      </c>
      <c r="I19" s="19">
        <v>44278</v>
      </c>
      <c r="J19" s="17">
        <v>3</v>
      </c>
      <c r="K19" s="17">
        <v>2021</v>
      </c>
      <c r="L19" s="19">
        <v>44370</v>
      </c>
      <c r="M19" s="5" t="s">
        <v>14</v>
      </c>
      <c r="N19" s="5" t="s">
        <v>40</v>
      </c>
      <c r="O19" s="18" t="s">
        <v>96</v>
      </c>
      <c r="P19" s="15" t="s">
        <v>22</v>
      </c>
      <c r="Q19" s="6">
        <v>68211.11</v>
      </c>
      <c r="R19" s="6">
        <f t="shared" si="0"/>
        <v>0</v>
      </c>
      <c r="S19" s="13" t="s">
        <v>20</v>
      </c>
    </row>
    <row r="20" spans="1:19" ht="100.8" x14ac:dyDescent="0.3">
      <c r="A20" s="20">
        <v>18</v>
      </c>
      <c r="B20" s="10" t="s">
        <v>99</v>
      </c>
      <c r="C20" s="7" t="s">
        <v>223</v>
      </c>
      <c r="D20" s="5" t="s">
        <v>221</v>
      </c>
      <c r="E20" s="22">
        <v>7365.6</v>
      </c>
      <c r="F20" s="24" t="s">
        <v>100</v>
      </c>
      <c r="G20" s="21" t="s">
        <v>98</v>
      </c>
      <c r="H20" s="21">
        <v>2021</v>
      </c>
      <c r="I20" s="19">
        <v>44260</v>
      </c>
      <c r="J20" s="17">
        <v>0.33</v>
      </c>
      <c r="K20" s="17">
        <v>2021</v>
      </c>
      <c r="L20" s="19">
        <v>44270</v>
      </c>
      <c r="M20" s="5" t="s">
        <v>14</v>
      </c>
      <c r="N20" s="5" t="s">
        <v>40</v>
      </c>
      <c r="O20" s="17" t="s">
        <v>82</v>
      </c>
      <c r="P20" s="15" t="s">
        <v>22</v>
      </c>
      <c r="Q20" s="6">
        <v>7365.6</v>
      </c>
      <c r="R20" s="6">
        <f t="shared" si="0"/>
        <v>0</v>
      </c>
      <c r="S20" s="13" t="s">
        <v>20</v>
      </c>
    </row>
    <row r="21" spans="1:19" ht="43.2" x14ac:dyDescent="0.3">
      <c r="A21" s="3">
        <v>19</v>
      </c>
      <c r="B21" s="17" t="s">
        <v>234</v>
      </c>
      <c r="C21" s="5" t="s">
        <v>12</v>
      </c>
      <c r="D21" s="5" t="s">
        <v>233</v>
      </c>
      <c r="E21" s="22">
        <v>271545.05</v>
      </c>
      <c r="F21" s="17" t="s">
        <v>235</v>
      </c>
      <c r="G21" s="21" t="s">
        <v>94</v>
      </c>
      <c r="H21" s="21">
        <v>2021</v>
      </c>
      <c r="I21" s="19">
        <v>44229</v>
      </c>
      <c r="J21" s="17">
        <v>6</v>
      </c>
      <c r="K21" s="17">
        <v>2021</v>
      </c>
      <c r="L21" s="19">
        <v>44410</v>
      </c>
      <c r="M21" s="5" t="s">
        <v>14</v>
      </c>
      <c r="N21" s="5" t="s">
        <v>40</v>
      </c>
      <c r="O21" s="66" t="s">
        <v>96</v>
      </c>
      <c r="P21" s="15" t="s">
        <v>22</v>
      </c>
      <c r="Q21" s="6">
        <f>38696.64+49216.72</f>
        <v>87913.36</v>
      </c>
      <c r="R21" s="6">
        <f t="shared" si="0"/>
        <v>183631.69</v>
      </c>
      <c r="S21" s="13" t="s">
        <v>20</v>
      </c>
    </row>
    <row r="22" spans="1:19" ht="86.4" x14ac:dyDescent="0.3">
      <c r="A22" s="3">
        <v>20</v>
      </c>
      <c r="B22" s="17" t="s">
        <v>236</v>
      </c>
      <c r="C22" s="5" t="s">
        <v>12</v>
      </c>
      <c r="D22" s="5" t="s">
        <v>233</v>
      </c>
      <c r="E22" s="22">
        <v>173968.29</v>
      </c>
      <c r="F22" s="24" t="s">
        <v>237</v>
      </c>
      <c r="G22" s="21" t="s">
        <v>94</v>
      </c>
      <c r="H22" s="21">
        <v>2021</v>
      </c>
      <c r="I22" s="19">
        <v>44277</v>
      </c>
      <c r="J22" s="17">
        <v>4</v>
      </c>
      <c r="K22" s="17">
        <v>2021</v>
      </c>
      <c r="L22" s="19">
        <v>44399</v>
      </c>
      <c r="M22" s="5" t="s">
        <v>14</v>
      </c>
      <c r="N22" s="5" t="s">
        <v>40</v>
      </c>
      <c r="O22" s="18" t="s">
        <v>96</v>
      </c>
      <c r="P22" s="15" t="s">
        <v>22</v>
      </c>
      <c r="Q22" s="6">
        <f>54029.94</f>
        <v>54029.94</v>
      </c>
      <c r="R22" s="6">
        <f t="shared" si="0"/>
        <v>119938.35</v>
      </c>
      <c r="S22" s="13" t="s">
        <v>20</v>
      </c>
    </row>
    <row r="23" spans="1:19" ht="72" x14ac:dyDescent="0.3">
      <c r="A23" s="3">
        <v>21</v>
      </c>
      <c r="B23" s="17" t="s">
        <v>383</v>
      </c>
      <c r="C23" s="7" t="s">
        <v>222</v>
      </c>
      <c r="D23" s="7" t="s">
        <v>384</v>
      </c>
      <c r="E23" s="22">
        <f>31360*1.24</f>
        <v>38886.400000000001</v>
      </c>
      <c r="F23" s="24" t="s">
        <v>386</v>
      </c>
      <c r="G23" s="21" t="s">
        <v>385</v>
      </c>
      <c r="H23" s="21">
        <v>2021</v>
      </c>
      <c r="I23" s="19">
        <v>44326</v>
      </c>
      <c r="J23" s="17">
        <v>0.86</v>
      </c>
      <c r="K23" s="19">
        <v>2021</v>
      </c>
      <c r="L23" s="19">
        <v>44352</v>
      </c>
      <c r="M23" s="5" t="s">
        <v>14</v>
      </c>
      <c r="N23" s="5" t="s">
        <v>40</v>
      </c>
      <c r="O23" s="17" t="s">
        <v>25</v>
      </c>
      <c r="P23" s="7" t="s">
        <v>46</v>
      </c>
      <c r="Q23" s="87">
        <f>E23</f>
        <v>38886.400000000001</v>
      </c>
      <c r="R23" s="6">
        <f t="shared" si="0"/>
        <v>0</v>
      </c>
      <c r="S23" s="13" t="s">
        <v>20</v>
      </c>
    </row>
  </sheetData>
  <mergeCells count="1">
    <mergeCell ref="A1:S1"/>
  </mergeCells>
  <phoneticPr fontId="7" type="noConversion"/>
  <dataValidations count="4">
    <dataValidation type="list" allowBlank="1" showInputMessage="1" showErrorMessage="1" sqref="C3:C23" xr:uid="{82D92CB2-1AEE-400E-AD35-CF01641E0C91}">
      <formula1>ΚΑΤΗΓΟΡΙΑ</formula1>
    </dataValidation>
    <dataValidation type="list" allowBlank="1" showInputMessage="1" showErrorMessage="1" sqref="M3:M23" xr:uid="{5445A843-829F-43BE-AAE9-B1141D0F4404}">
      <formula1>ΚΑΤΑΣΤΑΣΗ</formula1>
    </dataValidation>
    <dataValidation type="list" allowBlank="1" showInputMessage="1" showErrorMessage="1" sqref="S3:S23" xr:uid="{145DB5D8-F37F-4FBF-886B-F428F6AFF130}">
      <formula1>ΕΙΔΙΚΗ</formula1>
    </dataValidation>
    <dataValidation type="list" allowBlank="1" showInputMessage="1" showErrorMessage="1" sqref="N3:N23" xr:uid="{12938028-DEC5-465E-BD7E-6E063D16B067}">
      <formula1>ΜΕΤΑΦΟΡΑ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5BA-3E80-42FB-8046-175C643081FF}">
  <sheetPr>
    <tabColor theme="9" tint="-0.249977111117893"/>
  </sheetPr>
  <dimension ref="A1:G29"/>
  <sheetViews>
    <sheetView workbookViewId="0">
      <selection activeCell="G4" sqref="G4"/>
    </sheetView>
  </sheetViews>
  <sheetFormatPr defaultRowHeight="14.4" x14ac:dyDescent="0.3"/>
  <cols>
    <col min="1" max="1" width="12.88671875" customWidth="1"/>
    <col min="2" max="2" width="50.44140625" customWidth="1"/>
    <col min="3" max="3" width="19" customWidth="1"/>
    <col min="4" max="4" width="22.44140625" customWidth="1"/>
    <col min="5" max="5" width="8.33203125" customWidth="1"/>
    <col min="6" max="6" width="55.21875" customWidth="1"/>
    <col min="7" max="7" width="20.33203125" customWidth="1"/>
    <col min="8" max="8" width="14.5546875" customWidth="1"/>
    <col min="9" max="9" width="11.21875" customWidth="1"/>
    <col min="10" max="10" width="15.6640625" customWidth="1"/>
    <col min="11" max="11" width="14.5546875" customWidth="1"/>
    <col min="12" max="12" width="14.77734375" customWidth="1"/>
  </cols>
  <sheetData>
    <row r="1" spans="1:7" ht="15.6" x14ac:dyDescent="0.3">
      <c r="A1" s="90" t="s">
        <v>101</v>
      </c>
      <c r="B1" s="90"/>
      <c r="C1" s="90"/>
      <c r="D1" s="90"/>
      <c r="E1" s="90"/>
      <c r="F1" s="90"/>
      <c r="G1" s="91"/>
    </row>
    <row r="2" spans="1:7" ht="22.8" customHeight="1" x14ac:dyDescent="0.3">
      <c r="A2" s="92" t="s">
        <v>214</v>
      </c>
      <c r="B2" s="93"/>
      <c r="C2" s="93"/>
      <c r="D2" s="94"/>
      <c r="E2" s="95" t="s">
        <v>215</v>
      </c>
      <c r="F2" s="93"/>
      <c r="G2" s="94"/>
    </row>
    <row r="3" spans="1:7" ht="43.2" x14ac:dyDescent="0.3">
      <c r="A3" s="28" t="s">
        <v>238</v>
      </c>
      <c r="B3" s="27" t="s">
        <v>114</v>
      </c>
      <c r="C3" s="27" t="s">
        <v>112</v>
      </c>
      <c r="D3" s="35" t="s">
        <v>133</v>
      </c>
      <c r="E3" s="34" t="s">
        <v>0</v>
      </c>
      <c r="F3" s="9" t="s">
        <v>116</v>
      </c>
      <c r="G3" s="35" t="s">
        <v>107</v>
      </c>
    </row>
    <row r="4" spans="1:7" ht="21.6" customHeight="1" x14ac:dyDescent="0.3">
      <c r="A4" s="96" t="s">
        <v>102</v>
      </c>
      <c r="B4" s="29" t="s">
        <v>104</v>
      </c>
      <c r="C4" s="29" t="s">
        <v>113</v>
      </c>
      <c r="D4" s="99" t="s">
        <v>134</v>
      </c>
      <c r="E4" s="26" t="s">
        <v>108</v>
      </c>
      <c r="F4" s="29" t="s">
        <v>105</v>
      </c>
      <c r="G4" s="46">
        <f>COUNT('Raw Data'!A3:A13)</f>
        <v>11</v>
      </c>
    </row>
    <row r="5" spans="1:7" ht="19.8" customHeight="1" x14ac:dyDescent="0.3">
      <c r="A5" s="97"/>
      <c r="B5" s="96" t="s">
        <v>111</v>
      </c>
      <c r="C5" s="96" t="s">
        <v>110</v>
      </c>
      <c r="D5" s="100"/>
      <c r="E5" s="26" t="s">
        <v>109</v>
      </c>
      <c r="F5" s="29" t="s">
        <v>106</v>
      </c>
      <c r="G5" s="46">
        <f>COUNT('Raw Data'!A14:A23)</f>
        <v>10</v>
      </c>
    </row>
    <row r="6" spans="1:7" ht="22.2" customHeight="1" thickBot="1" x14ac:dyDescent="0.35">
      <c r="A6" s="98"/>
      <c r="B6" s="98"/>
      <c r="C6" s="98"/>
      <c r="D6" s="101"/>
      <c r="E6" s="37" t="s">
        <v>110</v>
      </c>
      <c r="F6" s="38" t="s">
        <v>125</v>
      </c>
      <c r="G6" s="47">
        <f>(G4-G5)/G5</f>
        <v>0.1</v>
      </c>
    </row>
    <row r="7" spans="1:7" x14ac:dyDescent="0.3">
      <c r="A7" s="102" t="s">
        <v>103</v>
      </c>
      <c r="B7" s="39" t="s">
        <v>117</v>
      </c>
      <c r="C7" s="39" t="s">
        <v>120</v>
      </c>
      <c r="D7" s="103" t="s">
        <v>134</v>
      </c>
      <c r="E7" s="40" t="s">
        <v>120</v>
      </c>
      <c r="F7" s="39" t="s">
        <v>119</v>
      </c>
      <c r="G7" s="48">
        <f>SUM('Raw Data'!E3:E13)</f>
        <v>2039250.7823999999</v>
      </c>
    </row>
    <row r="8" spans="1:7" x14ac:dyDescent="0.3">
      <c r="A8" s="97"/>
      <c r="B8" s="104" t="s">
        <v>118</v>
      </c>
      <c r="C8" s="29" t="s">
        <v>122</v>
      </c>
      <c r="D8" s="100"/>
      <c r="E8" s="26" t="s">
        <v>122</v>
      </c>
      <c r="F8" s="29" t="s">
        <v>121</v>
      </c>
      <c r="G8" s="49">
        <f>SUM('Raw Data'!E14:E23)</f>
        <v>889378.72000000009</v>
      </c>
    </row>
    <row r="9" spans="1:7" ht="15" thickBot="1" x14ac:dyDescent="0.35">
      <c r="A9" s="98"/>
      <c r="B9" s="105"/>
      <c r="C9" s="38" t="s">
        <v>123</v>
      </c>
      <c r="D9" s="101"/>
      <c r="E9" s="37" t="s">
        <v>123</v>
      </c>
      <c r="F9" s="38" t="s">
        <v>124</v>
      </c>
      <c r="G9" s="47">
        <f>(G7-G8)/G8</f>
        <v>1.2928936082482383</v>
      </c>
    </row>
    <row r="10" spans="1:7" x14ac:dyDescent="0.3">
      <c r="A10" s="102" t="s">
        <v>147</v>
      </c>
      <c r="B10" s="41" t="s">
        <v>150</v>
      </c>
      <c r="C10" s="42" t="s">
        <v>148</v>
      </c>
      <c r="D10" s="103" t="s">
        <v>155</v>
      </c>
      <c r="E10" s="40" t="s">
        <v>148</v>
      </c>
      <c r="F10" s="39" t="s">
        <v>56</v>
      </c>
      <c r="G10" s="48">
        <f>SUM('Raw Data'!Q3:Q13)</f>
        <v>93713.26</v>
      </c>
    </row>
    <row r="11" spans="1:7" x14ac:dyDescent="0.3">
      <c r="A11" s="97"/>
      <c r="B11" s="31" t="s">
        <v>151</v>
      </c>
      <c r="C11" s="32" t="s">
        <v>144</v>
      </c>
      <c r="D11" s="100"/>
      <c r="E11" s="26" t="s">
        <v>144</v>
      </c>
      <c r="F11" s="29" t="s">
        <v>149</v>
      </c>
      <c r="G11" s="49">
        <f>SUM('Raw Data'!R3:R13)</f>
        <v>1945537.5224000001</v>
      </c>
    </row>
    <row r="12" spans="1:7" ht="15" thickBot="1" x14ac:dyDescent="0.35">
      <c r="A12" s="98"/>
      <c r="B12" s="43" t="s">
        <v>152</v>
      </c>
      <c r="C12" s="38" t="s">
        <v>154</v>
      </c>
      <c r="D12" s="101"/>
      <c r="E12" s="37" t="s">
        <v>154</v>
      </c>
      <c r="F12" s="38" t="s">
        <v>153</v>
      </c>
      <c r="G12" s="50">
        <f>SUMIFS('Raw Data'!R3:R13,'Raw Data'!K3:K13,"2022",'Raw Data'!M3:M13,"ΕΝ ΕΞΕΛΙΞΕΙ")</f>
        <v>211740.18</v>
      </c>
    </row>
    <row r="13" spans="1:7" x14ac:dyDescent="0.3">
      <c r="A13" s="106" t="s">
        <v>126</v>
      </c>
      <c r="B13" s="102" t="s">
        <v>137</v>
      </c>
      <c r="C13" s="110" t="s">
        <v>130</v>
      </c>
      <c r="D13" s="111" t="s">
        <v>135</v>
      </c>
      <c r="E13" s="40" t="s">
        <v>128</v>
      </c>
      <c r="F13" s="39" t="s">
        <v>54</v>
      </c>
      <c r="G13" s="51">
        <f>COUNTIF('Raw Data'!M3:M13,"ΟΛΟΚΛΗΡΩΜΕΝΗ")</f>
        <v>3</v>
      </c>
    </row>
    <row r="14" spans="1:7" x14ac:dyDescent="0.3">
      <c r="A14" s="107"/>
      <c r="B14" s="109"/>
      <c r="C14" s="109"/>
      <c r="D14" s="112"/>
      <c r="E14" s="26" t="s">
        <v>129</v>
      </c>
      <c r="F14" s="29" t="s">
        <v>55</v>
      </c>
      <c r="G14" s="46">
        <f>COUNTIF('Raw Data'!M3:M13,"ΕΝ ΕΞΕΛΙΞΕΙ")</f>
        <v>8</v>
      </c>
    </row>
    <row r="15" spans="1:7" x14ac:dyDescent="0.3">
      <c r="A15" s="107"/>
      <c r="B15" s="109"/>
      <c r="C15" s="109"/>
      <c r="D15" s="112"/>
      <c r="E15" s="26" t="s">
        <v>127</v>
      </c>
      <c r="F15" s="29" t="s">
        <v>132</v>
      </c>
      <c r="G15" s="52">
        <f>G13/G4</f>
        <v>0.27272727272727271</v>
      </c>
    </row>
    <row r="16" spans="1:7" ht="15" thickBot="1" x14ac:dyDescent="0.35">
      <c r="A16" s="108"/>
      <c r="B16" s="105"/>
      <c r="C16" s="105"/>
      <c r="D16" s="113"/>
      <c r="E16" s="37" t="s">
        <v>131</v>
      </c>
      <c r="F16" s="38" t="s">
        <v>139</v>
      </c>
      <c r="G16" s="47">
        <f>G14/G4</f>
        <v>0.72727272727272729</v>
      </c>
    </row>
    <row r="17" spans="1:7" x14ac:dyDescent="0.3">
      <c r="A17" s="106" t="s">
        <v>136</v>
      </c>
      <c r="B17" s="102" t="s">
        <v>145</v>
      </c>
      <c r="C17" s="110" t="s">
        <v>230</v>
      </c>
      <c r="D17" s="111" t="s">
        <v>138</v>
      </c>
      <c r="E17" s="40" t="s">
        <v>146</v>
      </c>
      <c r="F17" s="39" t="s">
        <v>270</v>
      </c>
      <c r="G17" s="51">
        <f>COUNTIF('Raw Data'!C3:C13,"ΜΕΛΕΤΗ")</f>
        <v>1</v>
      </c>
    </row>
    <row r="18" spans="1:7" ht="28.8" x14ac:dyDescent="0.3">
      <c r="A18" s="107"/>
      <c r="B18" s="97"/>
      <c r="C18" s="109"/>
      <c r="D18" s="112"/>
      <c r="E18" s="36" t="s">
        <v>226</v>
      </c>
      <c r="F18" s="30" t="s">
        <v>225</v>
      </c>
      <c r="G18" s="46">
        <f>COUNTIF('Raw Data'!C3:C13,"ΤΕΧΝΙΚΗ / ΕΠΙΣΤΗΜΟΝΙΚΗ ΥΠΗΡΕΣΙΑ")</f>
        <v>1</v>
      </c>
    </row>
    <row r="19" spans="1:7" x14ac:dyDescent="0.3">
      <c r="A19" s="107"/>
      <c r="B19" s="109"/>
      <c r="C19" s="109"/>
      <c r="D19" s="112"/>
      <c r="E19" s="26" t="s">
        <v>227</v>
      </c>
      <c r="F19" s="29" t="s">
        <v>224</v>
      </c>
      <c r="G19" s="46">
        <f>COUNTIF('Raw Data'!C3:C13,"ΓΕΝΙΚΗ ΥΠΗΡΕΣΙΑ")</f>
        <v>2</v>
      </c>
    </row>
    <row r="20" spans="1:7" x14ac:dyDescent="0.3">
      <c r="A20" s="107"/>
      <c r="B20" s="109"/>
      <c r="C20" s="109"/>
      <c r="D20" s="112"/>
      <c r="E20" s="26" t="s">
        <v>228</v>
      </c>
      <c r="F20" s="29" t="s">
        <v>59</v>
      </c>
      <c r="G20" s="46">
        <f>COUNTIF('Raw Data'!C3:C13,"ΕΡΓΟ")</f>
        <v>4</v>
      </c>
    </row>
    <row r="21" spans="1:7" ht="15" thickBot="1" x14ac:dyDescent="0.35">
      <c r="A21" s="108"/>
      <c r="B21" s="105"/>
      <c r="C21" s="105"/>
      <c r="D21" s="113"/>
      <c r="E21" s="37" t="s">
        <v>229</v>
      </c>
      <c r="F21" s="38" t="s">
        <v>58</v>
      </c>
      <c r="G21" s="53">
        <f>COUNTIF('Raw Data'!C3:C13,"ΠΡΟΜΗΘΕΙΑ")</f>
        <v>3</v>
      </c>
    </row>
    <row r="22" spans="1:7" x14ac:dyDescent="0.3">
      <c r="A22" s="106" t="s">
        <v>159</v>
      </c>
      <c r="B22" s="102" t="s">
        <v>163</v>
      </c>
      <c r="C22" s="110" t="s">
        <v>173</v>
      </c>
      <c r="D22" s="111" t="s">
        <v>135</v>
      </c>
      <c r="E22" s="40" t="s">
        <v>164</v>
      </c>
      <c r="F22" s="39" t="s">
        <v>160</v>
      </c>
      <c r="G22" s="51">
        <f>COUNTIF('Raw Data'!S3:S13,"ΑΡΧΙΚΗ ΣΥΜΒΑΣΗ")</f>
        <v>11</v>
      </c>
    </row>
    <row r="23" spans="1:7" x14ac:dyDescent="0.3">
      <c r="A23" s="107"/>
      <c r="B23" s="109"/>
      <c r="C23" s="109"/>
      <c r="D23" s="112"/>
      <c r="E23" s="26" t="s">
        <v>165</v>
      </c>
      <c r="F23" s="29" t="s">
        <v>161</v>
      </c>
      <c r="G23" s="46">
        <f>COUNTIF('Raw Data'!S3:S13,"ΤΡΟΠΟΠΟΙΗΣΗ")</f>
        <v>0</v>
      </c>
    </row>
    <row r="24" spans="1:7" x14ac:dyDescent="0.3">
      <c r="A24" s="109"/>
      <c r="B24" s="109"/>
      <c r="C24" s="109"/>
      <c r="D24" s="112"/>
      <c r="E24" s="26" t="s">
        <v>166</v>
      </c>
      <c r="F24" s="29" t="s">
        <v>162</v>
      </c>
      <c r="G24" s="46">
        <f>COUNTIF('Raw Data'!S3:S13,"ΣΥΜΠΛΗΡΩΜΑΤΙΚΗ")</f>
        <v>0</v>
      </c>
    </row>
    <row r="25" spans="1:7" x14ac:dyDescent="0.3">
      <c r="A25" s="109"/>
      <c r="B25" s="109"/>
      <c r="C25" s="109"/>
      <c r="D25" s="112"/>
      <c r="E25" s="26" t="s">
        <v>167</v>
      </c>
      <c r="F25" s="29" t="s">
        <v>170</v>
      </c>
      <c r="G25" s="52">
        <f>G22/G4</f>
        <v>1</v>
      </c>
    </row>
    <row r="26" spans="1:7" x14ac:dyDescent="0.3">
      <c r="A26" s="109"/>
      <c r="B26" s="109"/>
      <c r="C26" s="109"/>
      <c r="D26" s="112"/>
      <c r="E26" s="26" t="s">
        <v>168</v>
      </c>
      <c r="F26" s="29" t="s">
        <v>171</v>
      </c>
      <c r="G26" s="52">
        <f>G23/G4</f>
        <v>0</v>
      </c>
    </row>
    <row r="27" spans="1:7" ht="15" thickBot="1" x14ac:dyDescent="0.35">
      <c r="A27" s="105"/>
      <c r="B27" s="105"/>
      <c r="C27" s="105"/>
      <c r="D27" s="113"/>
      <c r="E27" s="37" t="s">
        <v>169</v>
      </c>
      <c r="F27" s="45" t="s">
        <v>172</v>
      </c>
      <c r="G27" s="47">
        <f>G24/G4</f>
        <v>0</v>
      </c>
    </row>
    <row r="28" spans="1:7" ht="23.4" customHeight="1" x14ac:dyDescent="0.3">
      <c r="A28" s="114" t="s">
        <v>156</v>
      </c>
      <c r="B28" s="41" t="s">
        <v>140</v>
      </c>
      <c r="C28" s="39" t="s">
        <v>157</v>
      </c>
      <c r="D28" s="103" t="s">
        <v>143</v>
      </c>
      <c r="E28" s="40" t="s">
        <v>157</v>
      </c>
      <c r="F28" s="39" t="s">
        <v>57</v>
      </c>
      <c r="G28" s="51" cm="1">
        <f t="array" ref="G28">SUMPRODUCT(1/COUNTIF('Raw Data'!F3:F13,'Raw Data'!F3:F13))</f>
        <v>11</v>
      </c>
    </row>
    <row r="29" spans="1:7" ht="20.399999999999999" customHeight="1" thickBot="1" x14ac:dyDescent="0.35">
      <c r="A29" s="115"/>
      <c r="B29" s="44" t="s">
        <v>142</v>
      </c>
      <c r="C29" s="38" t="s">
        <v>158</v>
      </c>
      <c r="D29" s="101"/>
      <c r="E29" s="37" t="s">
        <v>158</v>
      </c>
      <c r="F29" s="38" t="s">
        <v>74</v>
      </c>
      <c r="G29" s="53" cm="1">
        <f t="array" ref="G29">SUMPRODUCT(1/COUNTIF('Raw Data'!G3:G13,'Raw Data'!G3:G13))</f>
        <v>11</v>
      </c>
    </row>
  </sheetData>
  <mergeCells count="26">
    <mergeCell ref="A17:A21"/>
    <mergeCell ref="B17:B21"/>
    <mergeCell ref="D17:D21"/>
    <mergeCell ref="C17:C21"/>
    <mergeCell ref="D28:D29"/>
    <mergeCell ref="A28:A29"/>
    <mergeCell ref="A22:A27"/>
    <mergeCell ref="B22:B27"/>
    <mergeCell ref="D22:D27"/>
    <mergeCell ref="C22:C27"/>
    <mergeCell ref="A7:A9"/>
    <mergeCell ref="D7:D9"/>
    <mergeCell ref="B8:B9"/>
    <mergeCell ref="A13:A16"/>
    <mergeCell ref="B13:B16"/>
    <mergeCell ref="C13:C16"/>
    <mergeCell ref="D13:D16"/>
    <mergeCell ref="A10:A12"/>
    <mergeCell ref="D10:D12"/>
    <mergeCell ref="A1:G1"/>
    <mergeCell ref="A2:D2"/>
    <mergeCell ref="E2:G2"/>
    <mergeCell ref="A4:A6"/>
    <mergeCell ref="D4:D6"/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3E54-E4D9-4B3B-9D32-16BDF86791D5}">
  <sheetPr>
    <tabColor theme="9" tint="-0.249977111117893"/>
  </sheetPr>
  <dimension ref="A1:L88"/>
  <sheetViews>
    <sheetView tabSelected="1" workbookViewId="0">
      <selection sqref="A1:L1"/>
    </sheetView>
  </sheetViews>
  <sheetFormatPr defaultRowHeight="14.4" x14ac:dyDescent="0.3"/>
  <cols>
    <col min="1" max="1" width="12.44140625" customWidth="1"/>
    <col min="2" max="2" width="27.88671875" customWidth="1"/>
    <col min="3" max="4" width="21" customWidth="1"/>
    <col min="5" max="5" width="12.77734375" customWidth="1"/>
    <col min="6" max="6" width="37.33203125" customWidth="1"/>
    <col min="7" max="7" width="15.44140625" customWidth="1"/>
    <col min="8" max="8" width="20.21875" customWidth="1"/>
    <col min="9" max="9" width="8.33203125" customWidth="1"/>
    <col min="10" max="10" width="40.88671875" customWidth="1"/>
    <col min="11" max="11" width="30.44140625" customWidth="1"/>
    <col min="12" max="12" width="51.77734375" customWidth="1"/>
    <col min="13" max="13" width="11.21875" customWidth="1"/>
    <col min="14" max="14" width="15.6640625" customWidth="1"/>
    <col min="15" max="15" width="14.5546875" customWidth="1"/>
    <col min="16" max="16" width="14.77734375" customWidth="1"/>
  </cols>
  <sheetData>
    <row r="1" spans="1:12" ht="15.6" x14ac:dyDescent="0.3">
      <c r="A1" s="119" t="s">
        <v>175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20"/>
    </row>
    <row r="2" spans="1:12" ht="22.8" customHeight="1" x14ac:dyDescent="0.3">
      <c r="A2" s="92" t="s">
        <v>216</v>
      </c>
      <c r="B2" s="93"/>
      <c r="C2" s="93"/>
      <c r="D2" s="94"/>
      <c r="E2" s="129" t="s">
        <v>214</v>
      </c>
      <c r="F2" s="95"/>
      <c r="G2" s="93"/>
      <c r="H2" s="130"/>
      <c r="I2" s="116" t="s">
        <v>115</v>
      </c>
      <c r="J2" s="117"/>
      <c r="K2" s="117"/>
      <c r="L2" s="116" t="s">
        <v>199</v>
      </c>
    </row>
    <row r="3" spans="1:12" ht="43.2" x14ac:dyDescent="0.3">
      <c r="A3" s="28" t="s">
        <v>238</v>
      </c>
      <c r="B3" s="27" t="s">
        <v>176</v>
      </c>
      <c r="C3" s="27" t="s">
        <v>177</v>
      </c>
      <c r="D3" s="59" t="s">
        <v>209</v>
      </c>
      <c r="E3" s="28" t="s">
        <v>238</v>
      </c>
      <c r="F3" s="27" t="s">
        <v>208</v>
      </c>
      <c r="G3" s="27" t="s">
        <v>112</v>
      </c>
      <c r="H3" s="35" t="s">
        <v>133</v>
      </c>
      <c r="I3" s="34" t="s">
        <v>0</v>
      </c>
      <c r="J3" s="9" t="s">
        <v>116</v>
      </c>
      <c r="K3" s="35" t="s">
        <v>107</v>
      </c>
      <c r="L3" s="121"/>
    </row>
    <row r="4" spans="1:12" ht="45.6" customHeight="1" x14ac:dyDescent="0.3">
      <c r="A4" s="151" t="s">
        <v>204</v>
      </c>
      <c r="B4" s="154" t="s">
        <v>205</v>
      </c>
      <c r="C4" s="154" t="s">
        <v>206</v>
      </c>
      <c r="D4" s="157" t="s">
        <v>178</v>
      </c>
      <c r="E4" s="160" t="s">
        <v>156</v>
      </c>
      <c r="F4" s="85" t="s">
        <v>361</v>
      </c>
      <c r="G4" s="55" t="s">
        <v>362</v>
      </c>
      <c r="H4" s="163" t="s">
        <v>360</v>
      </c>
      <c r="I4" s="81" t="s">
        <v>362</v>
      </c>
      <c r="J4" s="83" t="s">
        <v>371</v>
      </c>
      <c r="K4" s="84" t="s">
        <v>373</v>
      </c>
      <c r="L4" s="147" t="s">
        <v>382</v>
      </c>
    </row>
    <row r="5" spans="1:12" ht="43.2" customHeight="1" x14ac:dyDescent="0.3">
      <c r="A5" s="152"/>
      <c r="B5" s="155"/>
      <c r="C5" s="155"/>
      <c r="D5" s="158"/>
      <c r="E5" s="161"/>
      <c r="F5" s="55" t="s">
        <v>192</v>
      </c>
      <c r="G5" s="55" t="s">
        <v>363</v>
      </c>
      <c r="H5" s="164"/>
      <c r="I5" s="81" t="s">
        <v>363</v>
      </c>
      <c r="J5" s="55" t="s">
        <v>192</v>
      </c>
      <c r="K5" s="84" t="s">
        <v>374</v>
      </c>
      <c r="L5" s="148"/>
    </row>
    <row r="6" spans="1:12" ht="43.8" customHeight="1" x14ac:dyDescent="0.3">
      <c r="A6" s="152"/>
      <c r="B6" s="155"/>
      <c r="C6" s="155"/>
      <c r="D6" s="158"/>
      <c r="E6" s="161"/>
      <c r="F6" s="55" t="s">
        <v>354</v>
      </c>
      <c r="G6" s="55" t="s">
        <v>364</v>
      </c>
      <c r="H6" s="164"/>
      <c r="I6" s="81" t="s">
        <v>364</v>
      </c>
      <c r="J6" s="55" t="s">
        <v>354</v>
      </c>
      <c r="K6" s="84" t="s">
        <v>375</v>
      </c>
      <c r="L6" s="148"/>
    </row>
    <row r="7" spans="1:12" ht="47.4" customHeight="1" x14ac:dyDescent="0.3">
      <c r="A7" s="152"/>
      <c r="B7" s="155"/>
      <c r="C7" s="155"/>
      <c r="D7" s="158"/>
      <c r="E7" s="161"/>
      <c r="F7" s="55" t="s">
        <v>60</v>
      </c>
      <c r="G7" s="55" t="s">
        <v>365</v>
      </c>
      <c r="H7" s="164"/>
      <c r="I7" s="81" t="s">
        <v>365</v>
      </c>
      <c r="J7" s="55" t="s">
        <v>60</v>
      </c>
      <c r="K7" s="84" t="s">
        <v>376</v>
      </c>
      <c r="L7" s="148"/>
    </row>
    <row r="8" spans="1:12" ht="42.6" customHeight="1" x14ac:dyDescent="0.3">
      <c r="A8" s="152"/>
      <c r="B8" s="155"/>
      <c r="C8" s="155"/>
      <c r="D8" s="158"/>
      <c r="E8" s="161"/>
      <c r="F8" s="55" t="s">
        <v>355</v>
      </c>
      <c r="G8" s="55" t="s">
        <v>366</v>
      </c>
      <c r="H8" s="164"/>
      <c r="I8" s="81" t="s">
        <v>366</v>
      </c>
      <c r="J8" s="55" t="s">
        <v>355</v>
      </c>
      <c r="K8" s="84" t="s">
        <v>377</v>
      </c>
      <c r="L8" s="148"/>
    </row>
    <row r="9" spans="1:12" ht="42" customHeight="1" x14ac:dyDescent="0.3">
      <c r="A9" s="152"/>
      <c r="B9" s="155"/>
      <c r="C9" s="155"/>
      <c r="D9" s="158"/>
      <c r="E9" s="161"/>
      <c r="F9" s="55" t="s">
        <v>356</v>
      </c>
      <c r="G9" s="55" t="s">
        <v>367</v>
      </c>
      <c r="H9" s="164"/>
      <c r="I9" s="81" t="s">
        <v>367</v>
      </c>
      <c r="J9" s="55" t="s">
        <v>356</v>
      </c>
      <c r="K9" s="84" t="s">
        <v>378</v>
      </c>
      <c r="L9" s="148"/>
    </row>
    <row r="10" spans="1:12" ht="42" customHeight="1" x14ac:dyDescent="0.3">
      <c r="A10" s="152"/>
      <c r="B10" s="155"/>
      <c r="C10" s="155"/>
      <c r="D10" s="158"/>
      <c r="E10" s="161"/>
      <c r="F10" s="55" t="s">
        <v>357</v>
      </c>
      <c r="G10" s="55" t="s">
        <v>368</v>
      </c>
      <c r="H10" s="164"/>
      <c r="I10" s="81" t="s">
        <v>368</v>
      </c>
      <c r="J10" s="55" t="s">
        <v>357</v>
      </c>
      <c r="K10" s="84" t="s">
        <v>379</v>
      </c>
      <c r="L10" s="148"/>
    </row>
    <row r="11" spans="1:12" ht="44.4" customHeight="1" x14ac:dyDescent="0.3">
      <c r="A11" s="152"/>
      <c r="B11" s="155"/>
      <c r="C11" s="155"/>
      <c r="D11" s="158"/>
      <c r="E11" s="161"/>
      <c r="F11" s="55" t="s">
        <v>358</v>
      </c>
      <c r="G11" s="55" t="s">
        <v>369</v>
      </c>
      <c r="H11" s="164"/>
      <c r="I11" s="81" t="s">
        <v>369</v>
      </c>
      <c r="J11" s="55" t="s">
        <v>358</v>
      </c>
      <c r="K11" s="84" t="s">
        <v>380</v>
      </c>
      <c r="L11" s="148"/>
    </row>
    <row r="12" spans="1:12" ht="46.2" customHeight="1" thickBot="1" x14ac:dyDescent="0.35">
      <c r="A12" s="153"/>
      <c r="B12" s="156"/>
      <c r="C12" s="156"/>
      <c r="D12" s="159"/>
      <c r="E12" s="162"/>
      <c r="F12" s="80" t="s">
        <v>359</v>
      </c>
      <c r="G12" s="80" t="s">
        <v>370</v>
      </c>
      <c r="H12" s="165"/>
      <c r="I12" s="82" t="s">
        <v>370</v>
      </c>
      <c r="J12" s="67" t="s">
        <v>372</v>
      </c>
      <c r="K12" s="84" t="s">
        <v>381</v>
      </c>
      <c r="L12" s="149"/>
    </row>
    <row r="13" spans="1:12" ht="30.6" customHeight="1" x14ac:dyDescent="0.3">
      <c r="A13" s="97" t="s">
        <v>203</v>
      </c>
      <c r="B13" s="97" t="s">
        <v>194</v>
      </c>
      <c r="C13" s="118">
        <v>2022</v>
      </c>
      <c r="D13" s="131" t="s">
        <v>178</v>
      </c>
      <c r="E13" s="124" t="s">
        <v>156</v>
      </c>
      <c r="F13" s="102" t="s">
        <v>240</v>
      </c>
      <c r="G13" s="102" t="s">
        <v>242</v>
      </c>
      <c r="H13" s="103" t="s">
        <v>134</v>
      </c>
      <c r="I13" s="40" t="s">
        <v>120</v>
      </c>
      <c r="J13" s="39" t="s">
        <v>105</v>
      </c>
      <c r="K13" s="51">
        <f>'Widget Γενική Επισκόπηση'!G4</f>
        <v>11</v>
      </c>
      <c r="L13" s="122" t="s">
        <v>264</v>
      </c>
    </row>
    <row r="14" spans="1:12" ht="30.6" customHeight="1" x14ac:dyDescent="0.3">
      <c r="A14" s="97"/>
      <c r="B14" s="97"/>
      <c r="C14" s="118"/>
      <c r="D14" s="132"/>
      <c r="E14" s="125"/>
      <c r="F14" s="118"/>
      <c r="G14" s="118"/>
      <c r="H14" s="127"/>
      <c r="I14" s="36" t="s">
        <v>122</v>
      </c>
      <c r="J14" s="30" t="s">
        <v>257</v>
      </c>
      <c r="K14" s="70">
        <f>'Widget Γενική Επισκόπηση'!G6</f>
        <v>0.1</v>
      </c>
      <c r="L14" s="122"/>
    </row>
    <row r="15" spans="1:12" ht="27.6" customHeight="1" x14ac:dyDescent="0.3">
      <c r="A15" s="97"/>
      <c r="B15" s="97"/>
      <c r="C15" s="128"/>
      <c r="D15" s="132"/>
      <c r="E15" s="125" t="s">
        <v>174</v>
      </c>
      <c r="F15" s="96" t="s">
        <v>241</v>
      </c>
      <c r="G15" s="97" t="s">
        <v>243</v>
      </c>
      <c r="H15" s="100" t="s">
        <v>134</v>
      </c>
      <c r="I15" s="36" t="s">
        <v>123</v>
      </c>
      <c r="J15" s="30" t="s">
        <v>119</v>
      </c>
      <c r="K15" s="71">
        <f>'Widget Γενική Επισκόπηση'!G7</f>
        <v>2039250.7823999999</v>
      </c>
      <c r="L15" s="122"/>
    </row>
    <row r="16" spans="1:12" ht="27.6" customHeight="1" x14ac:dyDescent="0.3">
      <c r="A16" s="97"/>
      <c r="B16" s="97"/>
      <c r="C16" s="128"/>
      <c r="D16" s="132"/>
      <c r="E16" s="125"/>
      <c r="F16" s="118"/>
      <c r="G16" s="118"/>
      <c r="H16" s="127"/>
      <c r="I16" s="72" t="s">
        <v>244</v>
      </c>
      <c r="J16" s="30" t="s">
        <v>257</v>
      </c>
      <c r="K16" s="52">
        <f>'Widget Γενική Επισκόπηση'!G9</f>
        <v>1.2928936082482383</v>
      </c>
      <c r="L16" s="122"/>
    </row>
    <row r="17" spans="1:12" ht="28.2" customHeight="1" x14ac:dyDescent="0.3">
      <c r="A17" s="97"/>
      <c r="B17" s="97"/>
      <c r="C17" s="128"/>
      <c r="D17" s="100"/>
      <c r="E17" s="137" t="s">
        <v>201</v>
      </c>
      <c r="F17" s="56" t="s">
        <v>239</v>
      </c>
      <c r="G17" s="56" t="s">
        <v>245</v>
      </c>
      <c r="H17" s="68" t="s">
        <v>141</v>
      </c>
      <c r="I17" s="36" t="s">
        <v>245</v>
      </c>
      <c r="J17" s="30" t="s">
        <v>56</v>
      </c>
      <c r="K17" s="71">
        <f>'Widget Γενική Επισκόπηση'!G10</f>
        <v>93713.26</v>
      </c>
      <c r="L17" s="122"/>
    </row>
    <row r="18" spans="1:12" ht="28.2" customHeight="1" x14ac:dyDescent="0.3">
      <c r="A18" s="97"/>
      <c r="B18" s="97"/>
      <c r="C18" s="128"/>
      <c r="D18" s="100"/>
      <c r="E18" s="138"/>
      <c r="F18" s="141" t="s">
        <v>149</v>
      </c>
      <c r="G18" s="141" t="s">
        <v>261</v>
      </c>
      <c r="H18" s="143" t="s">
        <v>143</v>
      </c>
      <c r="I18" s="26" t="s">
        <v>246</v>
      </c>
      <c r="J18" s="29" t="s">
        <v>149</v>
      </c>
      <c r="K18" s="49">
        <f>'Widget Γενική Επισκόπηση'!G11</f>
        <v>1945537.5224000001</v>
      </c>
      <c r="L18" s="122"/>
    </row>
    <row r="19" spans="1:12" ht="31.8" customHeight="1" thickBot="1" x14ac:dyDescent="0.35">
      <c r="A19" s="97"/>
      <c r="B19" s="97"/>
      <c r="C19" s="128"/>
      <c r="D19" s="100"/>
      <c r="E19" s="139"/>
      <c r="F19" s="98"/>
      <c r="G19" s="98"/>
      <c r="H19" s="101"/>
      <c r="I19" s="37" t="s">
        <v>247</v>
      </c>
      <c r="J19" s="74" t="s">
        <v>153</v>
      </c>
      <c r="K19" s="73">
        <f>'Widget Γενική Επισκόπηση'!G12</f>
        <v>211740.18</v>
      </c>
      <c r="L19" s="122"/>
    </row>
    <row r="20" spans="1:12" ht="27" customHeight="1" x14ac:dyDescent="0.3">
      <c r="A20" s="97"/>
      <c r="B20" s="97"/>
      <c r="C20" s="128">
        <v>2021</v>
      </c>
      <c r="D20" s="100"/>
      <c r="E20" s="125" t="s">
        <v>156</v>
      </c>
      <c r="F20" s="102" t="s">
        <v>250</v>
      </c>
      <c r="G20" s="102" t="s">
        <v>251</v>
      </c>
      <c r="H20" s="103" t="s">
        <v>134</v>
      </c>
      <c r="I20" s="36" t="s">
        <v>248</v>
      </c>
      <c r="J20" s="29" t="s">
        <v>249</v>
      </c>
      <c r="K20" s="65">
        <f>'Widget Γενική Επισκόπηση'!G5</f>
        <v>10</v>
      </c>
      <c r="L20" s="122"/>
    </row>
    <row r="21" spans="1:12" ht="27" customHeight="1" x14ac:dyDescent="0.3">
      <c r="A21" s="97"/>
      <c r="B21" s="97"/>
      <c r="C21" s="128"/>
      <c r="D21" s="100"/>
      <c r="E21" s="125"/>
      <c r="F21" s="118"/>
      <c r="G21" s="118"/>
      <c r="H21" s="127"/>
      <c r="I21" s="36" t="s">
        <v>252</v>
      </c>
      <c r="J21" s="30" t="s">
        <v>258</v>
      </c>
      <c r="K21" s="75">
        <v>0.15</v>
      </c>
      <c r="L21" s="122"/>
    </row>
    <row r="22" spans="1:12" ht="16.8" customHeight="1" x14ac:dyDescent="0.3">
      <c r="A22" s="97"/>
      <c r="B22" s="97"/>
      <c r="C22" s="128"/>
      <c r="D22" s="100"/>
      <c r="E22" s="125" t="s">
        <v>174</v>
      </c>
      <c r="F22" s="96" t="s">
        <v>53</v>
      </c>
      <c r="G22" s="97" t="s">
        <v>253</v>
      </c>
      <c r="H22" s="100" t="s">
        <v>134</v>
      </c>
      <c r="I22" s="26" t="s">
        <v>254</v>
      </c>
      <c r="J22" s="30" t="s">
        <v>256</v>
      </c>
      <c r="K22" s="71">
        <f>'Widget Γενική Επισκόπηση'!G8</f>
        <v>889378.72000000009</v>
      </c>
      <c r="L22" s="122"/>
    </row>
    <row r="23" spans="1:12" ht="16.8" customHeight="1" x14ac:dyDescent="0.3">
      <c r="A23" s="97"/>
      <c r="B23" s="97"/>
      <c r="C23" s="128"/>
      <c r="D23" s="100"/>
      <c r="E23" s="125"/>
      <c r="F23" s="118"/>
      <c r="G23" s="118"/>
      <c r="H23" s="127"/>
      <c r="I23" s="26" t="s">
        <v>255</v>
      </c>
      <c r="J23" s="29" t="s">
        <v>258</v>
      </c>
      <c r="K23" s="52">
        <v>3.6999999999999998E-2</v>
      </c>
      <c r="L23" s="122"/>
    </row>
    <row r="24" spans="1:12" ht="31.8" customHeight="1" x14ac:dyDescent="0.3">
      <c r="A24" s="97"/>
      <c r="B24" s="97"/>
      <c r="C24" s="128"/>
      <c r="D24" s="100"/>
      <c r="E24" s="137" t="s">
        <v>201</v>
      </c>
      <c r="F24" s="56" t="s">
        <v>239</v>
      </c>
      <c r="G24" s="56" t="s">
        <v>259</v>
      </c>
      <c r="H24" s="68" t="s">
        <v>141</v>
      </c>
      <c r="I24" s="26" t="s">
        <v>259</v>
      </c>
      <c r="J24" s="30" t="s">
        <v>56</v>
      </c>
      <c r="K24" s="49">
        <f>SUM('Raw Data'!Q14:Q23)</f>
        <v>546799.2699999999</v>
      </c>
      <c r="L24" s="122"/>
    </row>
    <row r="25" spans="1:12" ht="19.8" customHeight="1" x14ac:dyDescent="0.3">
      <c r="A25" s="97"/>
      <c r="B25" s="97"/>
      <c r="C25" s="128"/>
      <c r="D25" s="100"/>
      <c r="E25" s="138"/>
      <c r="F25" s="141" t="s">
        <v>149</v>
      </c>
      <c r="G25" s="141" t="s">
        <v>260</v>
      </c>
      <c r="H25" s="143" t="s">
        <v>143</v>
      </c>
      <c r="I25" s="26" t="s">
        <v>262</v>
      </c>
      <c r="J25" s="29" t="s">
        <v>149</v>
      </c>
      <c r="K25" s="49">
        <f>SUM('Raw Data'!R14:R23)</f>
        <v>342579.45</v>
      </c>
      <c r="L25" s="122"/>
    </row>
    <row r="26" spans="1:12" ht="29.4" customHeight="1" thickBot="1" x14ac:dyDescent="0.35">
      <c r="A26" s="97"/>
      <c r="B26" s="118"/>
      <c r="C26" s="128"/>
      <c r="D26" s="127"/>
      <c r="E26" s="139"/>
      <c r="F26" s="98"/>
      <c r="G26" s="98"/>
      <c r="H26" s="101"/>
      <c r="I26" s="37" t="s">
        <v>263</v>
      </c>
      <c r="J26" s="74" t="s">
        <v>152</v>
      </c>
      <c r="K26" s="73">
        <v>125000</v>
      </c>
      <c r="L26" s="123"/>
    </row>
    <row r="27" spans="1:12" ht="30.6" customHeight="1" x14ac:dyDescent="0.3">
      <c r="A27" s="96" t="s">
        <v>147</v>
      </c>
      <c r="B27" s="96" t="s">
        <v>179</v>
      </c>
      <c r="C27" s="96" t="s">
        <v>180</v>
      </c>
      <c r="D27" s="99" t="s">
        <v>178</v>
      </c>
      <c r="E27" s="140" t="s">
        <v>156</v>
      </c>
      <c r="F27" s="142" t="s">
        <v>265</v>
      </c>
      <c r="G27" s="118" t="s">
        <v>268</v>
      </c>
      <c r="H27" s="103" t="s">
        <v>134</v>
      </c>
      <c r="I27" s="36" t="s">
        <v>148</v>
      </c>
      <c r="J27" s="30" t="s">
        <v>269</v>
      </c>
      <c r="K27" s="65">
        <f>'Widget Γενική Επισκόπηση'!G17</f>
        <v>1</v>
      </c>
      <c r="L27" s="57"/>
    </row>
    <row r="28" spans="1:12" ht="22.2" customHeight="1" x14ac:dyDescent="0.3">
      <c r="A28" s="97"/>
      <c r="B28" s="97"/>
      <c r="C28" s="97"/>
      <c r="D28" s="100"/>
      <c r="E28" s="124"/>
      <c r="F28" s="118"/>
      <c r="G28" s="128"/>
      <c r="H28" s="127"/>
      <c r="I28" s="36" t="s">
        <v>144</v>
      </c>
      <c r="J28" s="30" t="s">
        <v>257</v>
      </c>
      <c r="K28" s="77" t="e">
        <f>(K27-(COUNTIF('Raw Data'!C14:C23,"ΜΕΛΕΤΗ"))/(COUNTIF('Raw Data'!C14:C23,"ΜΕΛΕΤΗ")))</f>
        <v>#DIV/0!</v>
      </c>
      <c r="L28" s="57"/>
    </row>
    <row r="29" spans="1:12" ht="30.6" customHeight="1" x14ac:dyDescent="0.3">
      <c r="A29" s="97"/>
      <c r="B29" s="97"/>
      <c r="C29" s="97"/>
      <c r="D29" s="100"/>
      <c r="E29" s="137" t="s">
        <v>174</v>
      </c>
      <c r="F29" s="141" t="s">
        <v>266</v>
      </c>
      <c r="G29" s="118" t="s">
        <v>271</v>
      </c>
      <c r="H29" s="100" t="s">
        <v>134</v>
      </c>
      <c r="I29" s="36" t="s">
        <v>154</v>
      </c>
      <c r="J29" s="30" t="s">
        <v>273</v>
      </c>
      <c r="K29" s="71">
        <f>SUMIF('Raw Data'!C3:C13,"ΜΕΛΕΤΗ",'Raw Data'!E3:E13)</f>
        <v>25000</v>
      </c>
      <c r="L29" s="57"/>
    </row>
    <row r="30" spans="1:12" ht="30.6" customHeight="1" x14ac:dyDescent="0.3">
      <c r="A30" s="97"/>
      <c r="B30" s="97"/>
      <c r="C30" s="97"/>
      <c r="D30" s="100"/>
      <c r="E30" s="124"/>
      <c r="F30" s="118"/>
      <c r="G30" s="128"/>
      <c r="H30" s="127"/>
      <c r="I30" s="36" t="s">
        <v>272</v>
      </c>
      <c r="J30" s="29" t="s">
        <v>257</v>
      </c>
      <c r="K30" s="77" t="e">
        <f>(K29-(SUMIF('Raw Data'!C14:C23,"ΜΕΛΕΤΗ",'Raw Data'!E14:E23))/(SUMIF('Raw Data'!C14:C23,"ΜΕΛΕΤΗ",'Raw Data'!E14:E23)))</f>
        <v>#DIV/0!</v>
      </c>
      <c r="L30" s="57"/>
    </row>
    <row r="31" spans="1:12" ht="30.6" customHeight="1" x14ac:dyDescent="0.3">
      <c r="A31" s="97"/>
      <c r="B31" s="97"/>
      <c r="C31" s="97"/>
      <c r="D31" s="100"/>
      <c r="E31" s="137" t="s">
        <v>201</v>
      </c>
      <c r="F31" s="141" t="s">
        <v>267</v>
      </c>
      <c r="G31" s="96" t="s">
        <v>274</v>
      </c>
      <c r="H31" s="99" t="s">
        <v>275</v>
      </c>
      <c r="I31" s="144" t="s">
        <v>274</v>
      </c>
      <c r="J31" s="96" t="s">
        <v>284</v>
      </c>
      <c r="K31" s="71" cm="1">
        <f t="array" ref="K31">LARGE(IF('Raw Data'!$C$3:$C$13="ΜΕΛΕΤΗ",'Raw Data'!$E$3:$E$13),1)</f>
        <v>25000</v>
      </c>
      <c r="L31" s="137" t="s">
        <v>296</v>
      </c>
    </row>
    <row r="32" spans="1:12" ht="30.6" customHeight="1" x14ac:dyDescent="0.3">
      <c r="A32" s="97"/>
      <c r="B32" s="97"/>
      <c r="C32" s="97"/>
      <c r="D32" s="100"/>
      <c r="E32" s="138"/>
      <c r="F32" s="97"/>
      <c r="G32" s="97"/>
      <c r="H32" s="100"/>
      <c r="I32" s="145"/>
      <c r="J32" s="97"/>
      <c r="K32" s="71" t="e" cm="1">
        <f t="array" ref="K32">LARGE(IF('Raw Data'!$C$3:$C$13="ΜΕΛΕΤΗ",'Raw Data'!$E$3:$E$13),2)</f>
        <v>#NUM!</v>
      </c>
      <c r="L32" s="138"/>
    </row>
    <row r="33" spans="1:12" ht="30.6" customHeight="1" x14ac:dyDescent="0.3">
      <c r="A33" s="97"/>
      <c r="B33" s="97"/>
      <c r="C33" s="97"/>
      <c r="D33" s="100"/>
      <c r="E33" s="124"/>
      <c r="F33" s="118"/>
      <c r="G33" s="118"/>
      <c r="H33" s="127"/>
      <c r="I33" s="146"/>
      <c r="J33" s="118"/>
      <c r="K33" s="71" t="e" cm="1">
        <f t="array" ref="K33">LARGE(IF('Raw Data'!$C$3:$C$13="ΜΕΛΕΤΗ",'Raw Data'!$E$3:$E$13),3)</f>
        <v>#NUM!</v>
      </c>
      <c r="L33" s="124"/>
    </row>
    <row r="34" spans="1:12" ht="30.6" customHeight="1" x14ac:dyDescent="0.3">
      <c r="A34" s="97"/>
      <c r="B34" s="97"/>
      <c r="C34" s="97"/>
      <c r="D34" s="100"/>
      <c r="E34" s="76" t="s">
        <v>200</v>
      </c>
      <c r="F34" s="56" t="s">
        <v>239</v>
      </c>
      <c r="G34" s="29" t="s">
        <v>276</v>
      </c>
      <c r="H34" s="68" t="s">
        <v>141</v>
      </c>
      <c r="I34" s="36" t="s">
        <v>276</v>
      </c>
      <c r="J34" s="30" t="s">
        <v>56</v>
      </c>
      <c r="K34" s="71">
        <f>SUMIF('Raw Data'!C3:C13,"ΜΕΛΕΤΗ",'Raw Data'!Q3:Q13)</f>
        <v>25000</v>
      </c>
      <c r="L34" s="57"/>
    </row>
    <row r="35" spans="1:12" ht="30.6" customHeight="1" x14ac:dyDescent="0.3">
      <c r="A35" s="97"/>
      <c r="B35" s="97"/>
      <c r="C35" s="97"/>
      <c r="D35" s="100"/>
      <c r="E35" s="137" t="s">
        <v>277</v>
      </c>
      <c r="F35" s="141" t="s">
        <v>149</v>
      </c>
      <c r="G35" s="141" t="s">
        <v>278</v>
      </c>
      <c r="H35" s="143" t="s">
        <v>143</v>
      </c>
      <c r="I35" s="26" t="s">
        <v>279</v>
      </c>
      <c r="J35" s="29" t="s">
        <v>149</v>
      </c>
      <c r="K35" s="49">
        <f>SUMIF('Raw Data'!C3:C13,"ΜΕΛΕΤΗ",'Raw Data'!R3:R13)</f>
        <v>0</v>
      </c>
      <c r="L35" s="57"/>
    </row>
    <row r="36" spans="1:12" ht="30.6" customHeight="1" thickBot="1" x14ac:dyDescent="0.35">
      <c r="A36" s="97"/>
      <c r="B36" s="97"/>
      <c r="C36" s="118"/>
      <c r="D36" s="100"/>
      <c r="E36" s="139"/>
      <c r="F36" s="98"/>
      <c r="G36" s="98"/>
      <c r="H36" s="101"/>
      <c r="I36" s="78" t="s">
        <v>280</v>
      </c>
      <c r="J36" s="74" t="s">
        <v>152</v>
      </c>
      <c r="K36" s="73">
        <f>K35</f>
        <v>0</v>
      </c>
      <c r="L36" s="62"/>
    </row>
    <row r="37" spans="1:12" ht="28.8" x14ac:dyDescent="0.3">
      <c r="A37" s="97"/>
      <c r="B37" s="97"/>
      <c r="C37" s="96" t="s">
        <v>181</v>
      </c>
      <c r="D37" s="100"/>
      <c r="E37" s="140" t="s">
        <v>156</v>
      </c>
      <c r="F37" s="142" t="s">
        <v>319</v>
      </c>
      <c r="G37" s="118" t="s">
        <v>285</v>
      </c>
      <c r="H37" s="103" t="s">
        <v>134</v>
      </c>
      <c r="I37" s="36" t="s">
        <v>290</v>
      </c>
      <c r="J37" s="30" t="s">
        <v>281</v>
      </c>
      <c r="K37" s="65">
        <f>'Widget Γενική Επισκόπηση'!G20</f>
        <v>4</v>
      </c>
      <c r="L37" s="58"/>
    </row>
    <row r="38" spans="1:12" x14ac:dyDescent="0.3">
      <c r="A38" s="97"/>
      <c r="B38" s="97"/>
      <c r="C38" s="97"/>
      <c r="D38" s="100"/>
      <c r="E38" s="124"/>
      <c r="F38" s="118"/>
      <c r="G38" s="128"/>
      <c r="H38" s="127"/>
      <c r="I38" s="36" t="s">
        <v>291</v>
      </c>
      <c r="J38" s="30" t="s">
        <v>257</v>
      </c>
      <c r="K38" s="70">
        <f>(K37-COUNTIF('Raw Data'!C14:C23,"ΕΡΓΟ"))/COUNTIF('Raw Data'!C14:C23,"ΕΡΓΟ")</f>
        <v>-0.2</v>
      </c>
      <c r="L38" s="58"/>
    </row>
    <row r="39" spans="1:12" x14ac:dyDescent="0.3">
      <c r="A39" s="97"/>
      <c r="B39" s="97"/>
      <c r="C39" s="97"/>
      <c r="D39" s="100"/>
      <c r="E39" s="137" t="s">
        <v>174</v>
      </c>
      <c r="F39" s="141" t="s">
        <v>318</v>
      </c>
      <c r="G39" s="118" t="s">
        <v>286</v>
      </c>
      <c r="H39" s="100" t="s">
        <v>134</v>
      </c>
      <c r="I39" s="36" t="s">
        <v>292</v>
      </c>
      <c r="J39" s="30" t="s">
        <v>282</v>
      </c>
      <c r="K39" s="71">
        <f>SUMIF('Raw Data'!C3:C13,"ΕΡΓΟ",'Raw Data'!E3:E13)</f>
        <v>1928129.5924</v>
      </c>
      <c r="L39" s="58"/>
    </row>
    <row r="40" spans="1:12" x14ac:dyDescent="0.3">
      <c r="A40" s="97"/>
      <c r="B40" s="97"/>
      <c r="C40" s="97"/>
      <c r="D40" s="100"/>
      <c r="E40" s="124"/>
      <c r="F40" s="118"/>
      <c r="G40" s="128"/>
      <c r="H40" s="127"/>
      <c r="I40" s="36" t="s">
        <v>293</v>
      </c>
      <c r="J40" s="29" t="s">
        <v>257</v>
      </c>
      <c r="K40" s="70">
        <f>(K39-(SUMIF('Raw Data'!C14:C23,"ΕΡΓΟ",'Raw Data'!E14:E23)))/SUMIF('Raw Data'!C14:C23,"ΕΡΓΟ",'Raw Data'!E14:E23)</f>
        <v>1.9802405900281914</v>
      </c>
      <c r="L40" s="58"/>
    </row>
    <row r="41" spans="1:12" x14ac:dyDescent="0.3">
      <c r="A41" s="97"/>
      <c r="B41" s="97"/>
      <c r="C41" s="97"/>
      <c r="D41" s="100"/>
      <c r="E41" s="137" t="s">
        <v>201</v>
      </c>
      <c r="F41" s="141" t="s">
        <v>317</v>
      </c>
      <c r="G41" s="96" t="s">
        <v>287</v>
      </c>
      <c r="H41" s="99" t="s">
        <v>275</v>
      </c>
      <c r="I41" s="144" t="s">
        <v>287</v>
      </c>
      <c r="J41" s="96" t="s">
        <v>283</v>
      </c>
      <c r="K41" s="71" cm="1">
        <f t="array" ref="K41">LARGE(IF('Raw Data'!$C$3:$C$13="ΕΡΓΟ",'Raw Data'!$E$3:$E$13),1)</f>
        <v>1733446.2324000001</v>
      </c>
      <c r="L41" s="137" t="s">
        <v>296</v>
      </c>
    </row>
    <row r="42" spans="1:12" x14ac:dyDescent="0.3">
      <c r="A42" s="97"/>
      <c r="B42" s="97"/>
      <c r="C42" s="97"/>
      <c r="D42" s="100"/>
      <c r="E42" s="138"/>
      <c r="F42" s="97"/>
      <c r="G42" s="97"/>
      <c r="H42" s="100"/>
      <c r="I42" s="145"/>
      <c r="J42" s="97"/>
      <c r="K42" s="71" cm="1">
        <f t="array" ref="K42">LARGE(IF('Raw Data'!$C$3:$C$13="ΕΡΓΟ",'Raw Data'!$E$3:$E$13),2)</f>
        <v>106399.44</v>
      </c>
      <c r="L42" s="138"/>
    </row>
    <row r="43" spans="1:12" x14ac:dyDescent="0.3">
      <c r="A43" s="97"/>
      <c r="B43" s="97"/>
      <c r="C43" s="97"/>
      <c r="D43" s="100"/>
      <c r="E43" s="124"/>
      <c r="F43" s="118"/>
      <c r="G43" s="118"/>
      <c r="H43" s="127"/>
      <c r="I43" s="146"/>
      <c r="J43" s="118"/>
      <c r="K43" s="71" cm="1">
        <f t="array" ref="K43">LARGE(IF('Raw Data'!$C$3:$C$13="ΕΡΓΟ",'Raw Data'!$E$3:$E$13),3)</f>
        <v>58365.52</v>
      </c>
      <c r="L43" s="124"/>
    </row>
    <row r="44" spans="1:12" ht="43.2" x14ac:dyDescent="0.3">
      <c r="A44" s="97"/>
      <c r="B44" s="97"/>
      <c r="C44" s="97"/>
      <c r="D44" s="100"/>
      <c r="E44" s="76" t="s">
        <v>200</v>
      </c>
      <c r="F44" s="56" t="s">
        <v>239</v>
      </c>
      <c r="G44" s="29" t="s">
        <v>288</v>
      </c>
      <c r="H44" s="68" t="s">
        <v>141</v>
      </c>
      <c r="I44" s="36" t="s">
        <v>288</v>
      </c>
      <c r="J44" s="30" t="s">
        <v>56</v>
      </c>
      <c r="K44" s="71">
        <f>SUMIF('Raw Data'!C3:C13,"ΕΡΓΟ",'Raw Data'!Q3:Q13)</f>
        <v>53812.09</v>
      </c>
      <c r="L44" s="58"/>
    </row>
    <row r="45" spans="1:12" x14ac:dyDescent="0.3">
      <c r="A45" s="97"/>
      <c r="B45" s="97"/>
      <c r="C45" s="97"/>
      <c r="D45" s="100"/>
      <c r="E45" s="137" t="s">
        <v>277</v>
      </c>
      <c r="F45" s="141" t="s">
        <v>149</v>
      </c>
      <c r="G45" s="141" t="s">
        <v>289</v>
      </c>
      <c r="H45" s="143" t="s">
        <v>143</v>
      </c>
      <c r="I45" s="36" t="s">
        <v>294</v>
      </c>
      <c r="J45" s="29" t="s">
        <v>149</v>
      </c>
      <c r="K45" s="71">
        <f>SUMIF('Raw Data'!C3:C13,"ΕΡΓΟ",'Raw Data'!R3:R13)</f>
        <v>1874317.5024000001</v>
      </c>
      <c r="L45" s="58"/>
    </row>
    <row r="46" spans="1:12" ht="29.4" thickBot="1" x14ac:dyDescent="0.35">
      <c r="A46" s="97"/>
      <c r="B46" s="97"/>
      <c r="C46" s="118"/>
      <c r="D46" s="100"/>
      <c r="E46" s="139"/>
      <c r="F46" s="98"/>
      <c r="G46" s="98"/>
      <c r="H46" s="101"/>
      <c r="I46" s="78" t="s">
        <v>295</v>
      </c>
      <c r="J46" s="74" t="s">
        <v>152</v>
      </c>
      <c r="K46" s="50">
        <f>SUMIFS('Raw Data'!R3:R13,'Raw Data'!K3:K13,"2022",'Raw Data'!M3:M13,"ΕΝ ΕΞΕΛΙΞΕΙ",'Raw Data'!C3:C13,"ΕΡΓΟ")</f>
        <v>194683.36</v>
      </c>
      <c r="L46" s="62"/>
    </row>
    <row r="47" spans="1:12" ht="28.8" x14ac:dyDescent="0.3">
      <c r="A47" s="97"/>
      <c r="B47" s="97"/>
      <c r="C47" s="96" t="s">
        <v>231</v>
      </c>
      <c r="D47" s="100"/>
      <c r="E47" s="140" t="s">
        <v>156</v>
      </c>
      <c r="F47" s="142" t="s">
        <v>311</v>
      </c>
      <c r="G47" s="118" t="s">
        <v>297</v>
      </c>
      <c r="H47" s="103" t="s">
        <v>134</v>
      </c>
      <c r="I47" s="36" t="s">
        <v>302</v>
      </c>
      <c r="J47" s="30" t="s">
        <v>308</v>
      </c>
      <c r="K47" s="65">
        <f>'Widget Γενική Επισκόπηση'!G18</f>
        <v>1</v>
      </c>
      <c r="L47" s="58"/>
    </row>
    <row r="48" spans="1:12" x14ac:dyDescent="0.3">
      <c r="A48" s="97"/>
      <c r="B48" s="97"/>
      <c r="C48" s="97"/>
      <c r="D48" s="100"/>
      <c r="E48" s="124"/>
      <c r="F48" s="118"/>
      <c r="G48" s="128"/>
      <c r="H48" s="127"/>
      <c r="I48" s="36" t="s">
        <v>303</v>
      </c>
      <c r="J48" s="30" t="s">
        <v>257</v>
      </c>
      <c r="K48" s="70">
        <f>(K47-COUNTIF('Raw Data'!C14:C23,"ΤΕΧΝΙΚΗ / ΕΠΙΣΤΗΜΟΝΙΚΗ ΥΠΗΡΕΣΙΑ"))/COUNTIF('Raw Data'!C14:C23,"ΤΕΧΝΙΚΗ / ΕΠΙΣΤΗΜΟΝΙΚΗ ΥΠΗΡΕΣΙΑ")</f>
        <v>0</v>
      </c>
      <c r="L48" s="57"/>
    </row>
    <row r="49" spans="1:12" ht="28.8" x14ac:dyDescent="0.3">
      <c r="A49" s="97"/>
      <c r="B49" s="97"/>
      <c r="C49" s="97"/>
      <c r="D49" s="100"/>
      <c r="E49" s="137" t="s">
        <v>174</v>
      </c>
      <c r="F49" s="141" t="s">
        <v>312</v>
      </c>
      <c r="G49" s="118" t="s">
        <v>298</v>
      </c>
      <c r="H49" s="100" t="s">
        <v>134</v>
      </c>
      <c r="I49" s="36" t="s">
        <v>304</v>
      </c>
      <c r="J49" s="30" t="s">
        <v>309</v>
      </c>
      <c r="K49" s="49">
        <f>SUMIF('Raw Data'!C3:C13,"ΤΕΧΝΙΚΗ / ΕΠΙΣΤΗΜΟΝΙΚΗ ΥΠΗΡΕΣΙΑ",'Raw Data'!E3:E13)</f>
        <v>37200</v>
      </c>
      <c r="L49" s="57"/>
    </row>
    <row r="50" spans="1:12" x14ac:dyDescent="0.3">
      <c r="A50" s="97"/>
      <c r="B50" s="97"/>
      <c r="C50" s="97"/>
      <c r="D50" s="100"/>
      <c r="E50" s="124"/>
      <c r="F50" s="118"/>
      <c r="G50" s="128"/>
      <c r="H50" s="127"/>
      <c r="I50" s="36" t="s">
        <v>305</v>
      </c>
      <c r="J50" s="29" t="s">
        <v>257</v>
      </c>
      <c r="K50" s="70">
        <f>(K49-(SUMIF('Raw Data'!C14:C23,"ΤΕΧΝΙΚΗ / ΕΠΙΣΤΗΜΟΝΙΚΗ ΥΠΗΡΕΣΙΑ",'Raw Data'!E14:E23)))/SUMIF('Raw Data'!C14:C23,"ΤΕΧΝΙΚΗ / ΕΠΙΣΤΗΜΟΝΙΚΗ ΥΠΗΡΕΣΙΑ",'Raw Data'!E14:E23)</f>
        <v>-4.3367346938775544E-2</v>
      </c>
      <c r="L50" s="57"/>
    </row>
    <row r="51" spans="1:12" x14ac:dyDescent="0.3">
      <c r="A51" s="97"/>
      <c r="B51" s="97"/>
      <c r="C51" s="97"/>
      <c r="D51" s="100"/>
      <c r="E51" s="137" t="s">
        <v>201</v>
      </c>
      <c r="F51" s="141" t="s">
        <v>313</v>
      </c>
      <c r="G51" s="96" t="s">
        <v>299</v>
      </c>
      <c r="H51" s="99" t="s">
        <v>275</v>
      </c>
      <c r="I51" s="144" t="s">
        <v>299</v>
      </c>
      <c r="J51" s="96" t="s">
        <v>310</v>
      </c>
      <c r="K51" s="49" cm="1">
        <f t="array" ref="K51">LARGE(IF('Raw Data'!$C$3:$C$13="ΤΕΧΝΙΚΗ / ΕΠΙΣΤΗΜΟΝΙΚΗ ΥΠΗΡΕΣΙΑ",'Raw Data'!$E$3:$E$13),1)</f>
        <v>37200</v>
      </c>
      <c r="L51" s="137" t="s">
        <v>296</v>
      </c>
    </row>
    <row r="52" spans="1:12" x14ac:dyDescent="0.3">
      <c r="A52" s="97"/>
      <c r="B52" s="97"/>
      <c r="C52" s="97"/>
      <c r="D52" s="100"/>
      <c r="E52" s="138"/>
      <c r="F52" s="97"/>
      <c r="G52" s="97"/>
      <c r="H52" s="100"/>
      <c r="I52" s="145"/>
      <c r="J52" s="97"/>
      <c r="K52" s="49" t="e" cm="1">
        <f t="array" ref="K52">LARGE(IF('Raw Data'!$C$3:$C$13="ΤΕΧΝΙΚΗ / ΕΠΙΣΤΗΜΟΝΙΚΗ ΥΠΗΡΕΣΙΑ",'Raw Data'!$E$3:$E$13),2)</f>
        <v>#NUM!</v>
      </c>
      <c r="L52" s="138"/>
    </row>
    <row r="53" spans="1:12" x14ac:dyDescent="0.3">
      <c r="A53" s="97"/>
      <c r="B53" s="97"/>
      <c r="C53" s="97"/>
      <c r="D53" s="100"/>
      <c r="E53" s="124"/>
      <c r="F53" s="118"/>
      <c r="G53" s="118"/>
      <c r="H53" s="127"/>
      <c r="I53" s="146"/>
      <c r="J53" s="118"/>
      <c r="K53" s="49" t="e" cm="1">
        <f t="array" ref="K53">LARGE(IF('Raw Data'!$C$3:$C$13="ΤΕΧΝΙΚΗ / ΕΠΙΣΤΗΜΟΝΙΚΗ ΥΠΗΡΕΣΙΑ",'Raw Data'!$E$3:$E$13),3)</f>
        <v>#NUM!</v>
      </c>
      <c r="L53" s="124"/>
    </row>
    <row r="54" spans="1:12" ht="43.2" x14ac:dyDescent="0.3">
      <c r="A54" s="97"/>
      <c r="B54" s="97"/>
      <c r="C54" s="97"/>
      <c r="D54" s="100"/>
      <c r="E54" s="76" t="s">
        <v>200</v>
      </c>
      <c r="F54" s="56" t="s">
        <v>239</v>
      </c>
      <c r="G54" s="29" t="s">
        <v>300</v>
      </c>
      <c r="H54" s="68" t="s">
        <v>141</v>
      </c>
      <c r="I54" s="36" t="s">
        <v>300</v>
      </c>
      <c r="J54" s="30" t="s">
        <v>56</v>
      </c>
      <c r="K54" s="49">
        <f>SUMIF('Raw Data'!C3:C13,"ΤΕΧΝΙΚΗ / ΕΠΙΣΤΗΜΟΝΙΚΗ ΥΠΗΡΕΣΙΑ",'Raw Data'!Q3:Q13)</f>
        <v>0</v>
      </c>
      <c r="L54" s="57"/>
    </row>
    <row r="55" spans="1:12" x14ac:dyDescent="0.3">
      <c r="A55" s="97"/>
      <c r="B55" s="97"/>
      <c r="C55" s="97"/>
      <c r="D55" s="100"/>
      <c r="E55" s="137" t="s">
        <v>277</v>
      </c>
      <c r="F55" s="141" t="s">
        <v>149</v>
      </c>
      <c r="G55" s="141" t="s">
        <v>301</v>
      </c>
      <c r="H55" s="143" t="s">
        <v>143</v>
      </c>
      <c r="I55" s="36" t="s">
        <v>306</v>
      </c>
      <c r="J55" s="29" t="s">
        <v>149</v>
      </c>
      <c r="K55" s="49">
        <f>SUMIF('Raw Data'!C3:C13,"ΤΕΧΝΙΚΗ / ΕΠΙΣΤΗΜΟΝΙΚΗ ΥΠΗΡΕΣΙΑ",'Raw Data'!R3:R13)</f>
        <v>37200</v>
      </c>
      <c r="L55" s="57"/>
    </row>
    <row r="56" spans="1:12" ht="29.4" thickBot="1" x14ac:dyDescent="0.35">
      <c r="A56" s="97"/>
      <c r="B56" s="97"/>
      <c r="C56" s="118"/>
      <c r="D56" s="100"/>
      <c r="E56" s="139"/>
      <c r="F56" s="98"/>
      <c r="G56" s="98"/>
      <c r="H56" s="101"/>
      <c r="I56" s="78" t="s">
        <v>307</v>
      </c>
      <c r="J56" s="74" t="s">
        <v>152</v>
      </c>
      <c r="K56" s="50">
        <f>SUMIFS('Raw Data'!R13:R23,'Raw Data'!K13:K23,"2022",'Raw Data'!M13:M23,"ΕΝ ΕΞΕΛΙΞΕΙ",'Raw Data'!C13:C23,"ΤΕΧΝΙΚΗ / ΕΠΙΣΤΗΜΟΝΙΚΗ ΥΠΗΡΕΣΙΑ")</f>
        <v>0</v>
      </c>
      <c r="L56" s="79"/>
    </row>
    <row r="57" spans="1:12" ht="28.8" x14ac:dyDescent="0.3">
      <c r="A57" s="97"/>
      <c r="B57" s="97"/>
      <c r="C57" s="96" t="s">
        <v>232</v>
      </c>
      <c r="D57" s="100"/>
      <c r="E57" s="140" t="s">
        <v>156</v>
      </c>
      <c r="F57" s="142" t="s">
        <v>314</v>
      </c>
      <c r="G57" s="118" t="s">
        <v>322</v>
      </c>
      <c r="H57" s="103" t="s">
        <v>134</v>
      </c>
      <c r="I57" s="36" t="s">
        <v>327</v>
      </c>
      <c r="J57" s="30" t="s">
        <v>320</v>
      </c>
      <c r="K57" s="65">
        <f>'Widget Γενική Επισκόπηση'!G19</f>
        <v>2</v>
      </c>
      <c r="L57" s="58"/>
    </row>
    <row r="58" spans="1:12" x14ac:dyDescent="0.3">
      <c r="A58" s="97"/>
      <c r="B58" s="97"/>
      <c r="C58" s="97"/>
      <c r="D58" s="100"/>
      <c r="E58" s="124"/>
      <c r="F58" s="118"/>
      <c r="G58" s="128"/>
      <c r="H58" s="127"/>
      <c r="I58" s="36" t="s">
        <v>328</v>
      </c>
      <c r="J58" s="30" t="s">
        <v>257</v>
      </c>
      <c r="K58" s="70">
        <f>(K57-COUNTIF('Raw Data'!C14:C23,"ΓΕΝΙΚΗ ΥΠΗΡΕΣΙΑ"))/COUNTIF('Raw Data'!C14:C23,"ΓΕΝΙΚΗ ΥΠΗΡΕΣΙΑ")</f>
        <v>0</v>
      </c>
      <c r="L58" s="58"/>
    </row>
    <row r="59" spans="1:12" ht="28.8" x14ac:dyDescent="0.3">
      <c r="A59" s="97"/>
      <c r="B59" s="97"/>
      <c r="C59" s="97"/>
      <c r="D59" s="100"/>
      <c r="E59" s="137" t="s">
        <v>174</v>
      </c>
      <c r="F59" s="141" t="s">
        <v>315</v>
      </c>
      <c r="G59" s="118" t="s">
        <v>323</v>
      </c>
      <c r="H59" s="100" t="s">
        <v>134</v>
      </c>
      <c r="I59" s="36" t="s">
        <v>329</v>
      </c>
      <c r="J59" s="30" t="s">
        <v>321</v>
      </c>
      <c r="K59" s="49">
        <f>SUMIF('Raw Data'!C3:C13,"ΓΕΝΙΚΗ ΥΠΗΡΕΣΙΑ",'Raw Data'!E3:E13)</f>
        <v>17955.2</v>
      </c>
      <c r="L59" s="58"/>
    </row>
    <row r="60" spans="1:12" x14ac:dyDescent="0.3">
      <c r="A60" s="97"/>
      <c r="B60" s="97"/>
      <c r="C60" s="97"/>
      <c r="D60" s="100"/>
      <c r="E60" s="124"/>
      <c r="F60" s="118"/>
      <c r="G60" s="128"/>
      <c r="H60" s="127"/>
      <c r="I60" s="36" t="s">
        <v>330</v>
      </c>
      <c r="J60" s="29" t="s">
        <v>257</v>
      </c>
      <c r="K60" s="70">
        <f>(K59-(SUMIF('Raw Data'!C14:C23,"ΓΕΝΙΚΗ ΥΠΗΡΕΣΙΑ",'Raw Data'!E14:E23)))/SUMIF('Raw Data'!C14:C23,"ΓΕΝΙΚΗ ΥΠΗΡΕΣΙΑ",'Raw Data'!E14:E23)</f>
        <v>-0.23386243386243383</v>
      </c>
      <c r="L60" s="58"/>
    </row>
    <row r="61" spans="1:12" x14ac:dyDescent="0.3">
      <c r="A61" s="97"/>
      <c r="B61" s="97"/>
      <c r="C61" s="97"/>
      <c r="D61" s="100"/>
      <c r="E61" s="137" t="s">
        <v>201</v>
      </c>
      <c r="F61" s="141" t="s">
        <v>316</v>
      </c>
      <c r="G61" s="96" t="s">
        <v>324</v>
      </c>
      <c r="H61" s="99" t="s">
        <v>275</v>
      </c>
      <c r="I61" s="144" t="s">
        <v>324</v>
      </c>
      <c r="J61" s="96" t="s">
        <v>339</v>
      </c>
      <c r="K61" s="49" cm="1">
        <f t="array" ref="K61">LARGE(IF('Raw Data'!$C$3:$C$13="ΓΕΝΙΚΗ ΥΠΗΡΕΣΙΑ",'Raw Data'!$E$3:$E$13),1)</f>
        <v>12003.2</v>
      </c>
      <c r="L61" s="137" t="s">
        <v>296</v>
      </c>
    </row>
    <row r="62" spans="1:12" x14ac:dyDescent="0.3">
      <c r="A62" s="97"/>
      <c r="B62" s="97"/>
      <c r="C62" s="97"/>
      <c r="D62" s="100"/>
      <c r="E62" s="138"/>
      <c r="F62" s="97"/>
      <c r="G62" s="97"/>
      <c r="H62" s="100"/>
      <c r="I62" s="145"/>
      <c r="J62" s="97"/>
      <c r="K62" s="49" cm="1">
        <f t="array" ref="K62">LARGE(IF('Raw Data'!$C$3:$C$13="ΓΕΝΙΚΗ ΥΠΗΡΕΣΙΑ",'Raw Data'!$E$3:$E$13),2)</f>
        <v>5952</v>
      </c>
      <c r="L62" s="138"/>
    </row>
    <row r="63" spans="1:12" x14ac:dyDescent="0.3">
      <c r="A63" s="97"/>
      <c r="B63" s="97"/>
      <c r="C63" s="97"/>
      <c r="D63" s="100"/>
      <c r="E63" s="124"/>
      <c r="F63" s="118"/>
      <c r="G63" s="118"/>
      <c r="H63" s="127"/>
      <c r="I63" s="146"/>
      <c r="J63" s="118"/>
      <c r="K63" s="49" t="e" cm="1">
        <f t="array" ref="K63">LARGE(IF('Raw Data'!$C$3:$C$13="ΓΕΝΙΚΗ ΥΠΗΡΕΣΙΑ",'Raw Data'!$E$3:$E$13),3)</f>
        <v>#NUM!</v>
      </c>
      <c r="L63" s="124"/>
    </row>
    <row r="64" spans="1:12" ht="43.2" x14ac:dyDescent="0.3">
      <c r="A64" s="97"/>
      <c r="B64" s="97"/>
      <c r="C64" s="97"/>
      <c r="D64" s="100"/>
      <c r="E64" s="76" t="s">
        <v>200</v>
      </c>
      <c r="F64" s="56" t="s">
        <v>239</v>
      </c>
      <c r="G64" s="29" t="s">
        <v>325</v>
      </c>
      <c r="H64" s="68" t="s">
        <v>141</v>
      </c>
      <c r="I64" s="36" t="s">
        <v>325</v>
      </c>
      <c r="J64" s="30" t="s">
        <v>56</v>
      </c>
      <c r="K64" s="49">
        <f>SUMIF('Raw Data'!C3:C13,"ΓΕΝΙΚΗ ΥΠΗΡΕΣΙΑ",'Raw Data'!Q3:Q13)</f>
        <v>12003.2</v>
      </c>
      <c r="L64" s="58"/>
    </row>
    <row r="65" spans="1:12" x14ac:dyDescent="0.3">
      <c r="A65" s="97"/>
      <c r="B65" s="97"/>
      <c r="C65" s="97"/>
      <c r="D65" s="100"/>
      <c r="E65" s="137" t="s">
        <v>277</v>
      </c>
      <c r="F65" s="141" t="s">
        <v>149</v>
      </c>
      <c r="G65" s="141" t="s">
        <v>326</v>
      </c>
      <c r="H65" s="143" t="s">
        <v>143</v>
      </c>
      <c r="I65" s="36" t="s">
        <v>331</v>
      </c>
      <c r="J65" s="29" t="s">
        <v>149</v>
      </c>
      <c r="K65" s="49">
        <f>SUMIF('Raw Data'!C3:C13,"ΓΕΝΙΚΗ ΥΠΗΡΕΣΙΑ",'Raw Data'!R3:R13)</f>
        <v>5952</v>
      </c>
      <c r="L65" s="58"/>
    </row>
    <row r="66" spans="1:12" ht="29.4" thickBot="1" x14ac:dyDescent="0.35">
      <c r="A66" s="97"/>
      <c r="B66" s="97"/>
      <c r="C66" s="118"/>
      <c r="D66" s="100"/>
      <c r="E66" s="139"/>
      <c r="F66" s="98"/>
      <c r="G66" s="98"/>
      <c r="H66" s="101"/>
      <c r="I66" s="78" t="s">
        <v>332</v>
      </c>
      <c r="J66" s="74" t="s">
        <v>152</v>
      </c>
      <c r="K66" s="50">
        <f>SUMIFS('Raw Data'!R13:R23,'Raw Data'!K13:K23,"2022",'Raw Data'!M13:M23,"ΕΝ ΕΞΕΛΙΞΕΙ",'Raw Data'!C13:C23,"ΓΕΝΙΚΗ ΥΠΗΡΕΣΙΑ")</f>
        <v>0</v>
      </c>
      <c r="L66" s="62"/>
    </row>
    <row r="67" spans="1:12" ht="28.8" x14ac:dyDescent="0.3">
      <c r="A67" s="97"/>
      <c r="B67" s="97"/>
      <c r="C67" s="96" t="s">
        <v>182</v>
      </c>
      <c r="D67" s="100"/>
      <c r="E67" s="140" t="s">
        <v>156</v>
      </c>
      <c r="F67" s="142" t="s">
        <v>333</v>
      </c>
      <c r="G67" s="118" t="s">
        <v>340</v>
      </c>
      <c r="H67" s="103" t="s">
        <v>134</v>
      </c>
      <c r="I67" s="36" t="s">
        <v>345</v>
      </c>
      <c r="J67" s="30" t="s">
        <v>336</v>
      </c>
      <c r="K67" s="65">
        <f>'Widget Γενική Επισκόπηση'!G21</f>
        <v>3</v>
      </c>
      <c r="L67" s="58"/>
    </row>
    <row r="68" spans="1:12" x14ac:dyDescent="0.3">
      <c r="A68" s="97"/>
      <c r="B68" s="97"/>
      <c r="C68" s="97"/>
      <c r="D68" s="100"/>
      <c r="E68" s="124"/>
      <c r="F68" s="118"/>
      <c r="G68" s="128"/>
      <c r="H68" s="127"/>
      <c r="I68" s="36" t="s">
        <v>346</v>
      </c>
      <c r="J68" s="30" t="s">
        <v>257</v>
      </c>
      <c r="K68" s="70">
        <f>(K67-COUNTIF('Raw Data'!C14:C23,"ΠΡΟΜΗΘΕΙΑ"))/COUNTIF('Raw Data'!C14:C23,"ΠΡΟΜΗΘΕΙΑ")</f>
        <v>0.5</v>
      </c>
      <c r="L68" s="58"/>
    </row>
    <row r="69" spans="1:12" ht="28.8" x14ac:dyDescent="0.3">
      <c r="A69" s="97"/>
      <c r="B69" s="97"/>
      <c r="C69" s="97"/>
      <c r="D69" s="100"/>
      <c r="E69" s="137" t="s">
        <v>174</v>
      </c>
      <c r="F69" s="141" t="s">
        <v>334</v>
      </c>
      <c r="G69" s="118" t="s">
        <v>341</v>
      </c>
      <c r="H69" s="100" t="s">
        <v>134</v>
      </c>
      <c r="I69" s="36" t="s">
        <v>347</v>
      </c>
      <c r="J69" s="30" t="s">
        <v>337</v>
      </c>
      <c r="K69" s="71">
        <f>SUMIF('Raw Data'!C3:C13,"ΠΡΟΜΗΘΕΙΑ",'Raw Data'!E3:E13)</f>
        <v>30965.99</v>
      </c>
      <c r="L69" s="58"/>
    </row>
    <row r="70" spans="1:12" x14ac:dyDescent="0.3">
      <c r="A70" s="97"/>
      <c r="B70" s="97"/>
      <c r="C70" s="97"/>
      <c r="D70" s="100"/>
      <c r="E70" s="124"/>
      <c r="F70" s="118"/>
      <c r="G70" s="128"/>
      <c r="H70" s="127"/>
      <c r="I70" s="36" t="s">
        <v>348</v>
      </c>
      <c r="J70" s="29" t="s">
        <v>257</v>
      </c>
      <c r="K70" s="70">
        <f>(K69-(SUMIF('Raw Data'!C14:C23,"ΠΡΟΜΗΘΕΙΑ",'Raw Data'!E14:E23)))/SUMIF('Raw Data'!C14:C23,"ΠΡΟΜΗΘΕΙΑ",'Raw Data'!E14:E23)</f>
        <v>-0.82804811278217205</v>
      </c>
      <c r="L70" s="58"/>
    </row>
    <row r="71" spans="1:12" x14ac:dyDescent="0.3">
      <c r="A71" s="97"/>
      <c r="B71" s="97"/>
      <c r="C71" s="97"/>
      <c r="D71" s="100"/>
      <c r="E71" s="137" t="s">
        <v>201</v>
      </c>
      <c r="F71" s="141" t="s">
        <v>335</v>
      </c>
      <c r="G71" s="96" t="s">
        <v>342</v>
      </c>
      <c r="H71" s="99" t="s">
        <v>275</v>
      </c>
      <c r="I71" s="144" t="s">
        <v>342</v>
      </c>
      <c r="J71" s="96" t="s">
        <v>338</v>
      </c>
      <c r="K71" s="71" cm="1">
        <f t="array" ref="K71">LARGE(IF('Raw Data'!$C$3:$C$13="ΠΡΟΜΗΘΕΙΑ",'Raw Data'!$E$3:$E$13),1)</f>
        <v>16963.2</v>
      </c>
      <c r="L71" s="137" t="s">
        <v>296</v>
      </c>
    </row>
    <row r="72" spans="1:12" x14ac:dyDescent="0.3">
      <c r="A72" s="97"/>
      <c r="B72" s="97"/>
      <c r="C72" s="97"/>
      <c r="D72" s="100"/>
      <c r="E72" s="138"/>
      <c r="F72" s="97"/>
      <c r="G72" s="97"/>
      <c r="H72" s="100"/>
      <c r="I72" s="145"/>
      <c r="J72" s="97"/>
      <c r="K72" s="71" cm="1">
        <f t="array" ref="K72">LARGE(IF('Raw Data'!$C$3:$C$13="ΠΡΟΜΗΘΕΙΑ",'Raw Data'!$E$3:$E$13),2)</f>
        <v>11104.82</v>
      </c>
      <c r="L72" s="138"/>
    </row>
    <row r="73" spans="1:12" x14ac:dyDescent="0.3">
      <c r="A73" s="97"/>
      <c r="B73" s="97"/>
      <c r="C73" s="97"/>
      <c r="D73" s="100"/>
      <c r="E73" s="124"/>
      <c r="F73" s="118"/>
      <c r="G73" s="118"/>
      <c r="H73" s="127"/>
      <c r="I73" s="146"/>
      <c r="J73" s="118"/>
      <c r="K73" s="71" cm="1">
        <f t="array" ref="K73">LARGE(IF('Raw Data'!$C$3:$C$13="ΠΡΟΜΗΘΕΙΑ",'Raw Data'!$E$3:$E$13),3)</f>
        <v>2897.97</v>
      </c>
      <c r="L73" s="124"/>
    </row>
    <row r="74" spans="1:12" ht="43.2" x14ac:dyDescent="0.3">
      <c r="A74" s="97"/>
      <c r="B74" s="97"/>
      <c r="C74" s="97"/>
      <c r="D74" s="100"/>
      <c r="E74" s="76" t="s">
        <v>200</v>
      </c>
      <c r="F74" s="56" t="s">
        <v>239</v>
      </c>
      <c r="G74" s="29" t="s">
        <v>343</v>
      </c>
      <c r="H74" s="68" t="s">
        <v>141</v>
      </c>
      <c r="I74" s="36" t="s">
        <v>343</v>
      </c>
      <c r="J74" s="30" t="s">
        <v>56</v>
      </c>
      <c r="K74" s="71">
        <f>SUMIF('Raw Data'!C3:C13,"ΠΡΟΜΗΘΕΙΑ",'Raw Data'!Q3:Q13)</f>
        <v>2897.97</v>
      </c>
      <c r="L74" s="58"/>
    </row>
    <row r="75" spans="1:12" x14ac:dyDescent="0.3">
      <c r="A75" s="97"/>
      <c r="B75" s="97"/>
      <c r="C75" s="97"/>
      <c r="D75" s="100"/>
      <c r="E75" s="137" t="s">
        <v>277</v>
      </c>
      <c r="F75" s="141" t="s">
        <v>149</v>
      </c>
      <c r="G75" s="141" t="s">
        <v>344</v>
      </c>
      <c r="H75" s="143" t="s">
        <v>143</v>
      </c>
      <c r="I75" s="36" t="s">
        <v>349</v>
      </c>
      <c r="J75" s="29" t="s">
        <v>149</v>
      </c>
      <c r="K75" s="71">
        <f>SUMIF('Raw Data'!C3:C13,"ΠΡΟΜΗΘΕΙΑ",'Raw Data'!R3:R13)</f>
        <v>28068.02</v>
      </c>
      <c r="L75" s="58"/>
    </row>
    <row r="76" spans="1:12" ht="29.4" thickBot="1" x14ac:dyDescent="0.35">
      <c r="A76" s="97"/>
      <c r="B76" s="97"/>
      <c r="C76" s="118"/>
      <c r="D76" s="100"/>
      <c r="E76" s="139"/>
      <c r="F76" s="98"/>
      <c r="G76" s="98"/>
      <c r="H76" s="101"/>
      <c r="I76" s="78" t="s">
        <v>350</v>
      </c>
      <c r="J76" s="74" t="s">
        <v>152</v>
      </c>
      <c r="K76" s="50">
        <f>SUMIFS('Raw Data'!R13:R23,'Raw Data'!K13:K23,"2022",'Raw Data'!M13:M23,"ΕΝ ΕΞΕΛΙΞΕΙ",'Raw Data'!C13:C23,"ΠΡΟΜΗΘΕΙΑ")</f>
        <v>11104.82</v>
      </c>
      <c r="L76" s="62"/>
    </row>
    <row r="77" spans="1:12" ht="29.4" thickBot="1" x14ac:dyDescent="0.35">
      <c r="A77" s="118"/>
      <c r="B77" s="98"/>
      <c r="C77" s="38" t="s">
        <v>210</v>
      </c>
      <c r="D77" s="101"/>
      <c r="E77" s="166" t="s">
        <v>352</v>
      </c>
      <c r="F77" s="167"/>
      <c r="G77" s="167"/>
      <c r="H77" s="167"/>
      <c r="I77" s="167"/>
      <c r="J77" s="167"/>
      <c r="K77" s="168"/>
      <c r="L77" s="62" t="s">
        <v>351</v>
      </c>
    </row>
    <row r="78" spans="1:12" ht="25.2" customHeight="1" x14ac:dyDescent="0.3">
      <c r="A78" s="96" t="s">
        <v>211</v>
      </c>
      <c r="B78" s="109" t="s">
        <v>183</v>
      </c>
      <c r="C78" s="33" t="s">
        <v>184</v>
      </c>
      <c r="D78" s="100"/>
      <c r="E78" s="169" t="s">
        <v>353</v>
      </c>
      <c r="F78" s="170"/>
      <c r="G78" s="170"/>
      <c r="H78" s="170"/>
      <c r="I78" s="170"/>
      <c r="J78" s="171"/>
      <c r="K78" s="71"/>
      <c r="L78" s="122" t="s">
        <v>186</v>
      </c>
    </row>
    <row r="79" spans="1:12" ht="25.2" customHeight="1" x14ac:dyDescent="0.3">
      <c r="A79" s="97"/>
      <c r="B79" s="109"/>
      <c r="C79" s="32" t="s">
        <v>185</v>
      </c>
      <c r="D79" s="100"/>
      <c r="E79" s="172"/>
      <c r="F79" s="173"/>
      <c r="G79" s="173"/>
      <c r="H79" s="173"/>
      <c r="I79" s="173"/>
      <c r="J79" s="174"/>
      <c r="K79" s="49"/>
      <c r="L79" s="122"/>
    </row>
    <row r="80" spans="1:12" ht="21" customHeight="1" x14ac:dyDescent="0.3">
      <c r="A80" s="97"/>
      <c r="B80" s="126"/>
      <c r="C80" s="32" t="s">
        <v>210</v>
      </c>
      <c r="D80" s="127"/>
      <c r="E80" s="175"/>
      <c r="F80" s="176"/>
      <c r="G80" s="176"/>
      <c r="H80" s="176"/>
      <c r="I80" s="176"/>
      <c r="J80" s="177"/>
      <c r="K80" s="49"/>
      <c r="L80" s="123"/>
    </row>
    <row r="81" spans="1:12" x14ac:dyDescent="0.3">
      <c r="A81" s="136" t="s">
        <v>212</v>
      </c>
      <c r="B81" s="96" t="s">
        <v>207</v>
      </c>
      <c r="C81" s="29" t="s">
        <v>187</v>
      </c>
      <c r="D81" s="133"/>
      <c r="E81" s="178" t="s">
        <v>353</v>
      </c>
      <c r="F81" s="179"/>
      <c r="G81" s="179"/>
      <c r="H81" s="179"/>
      <c r="I81" s="179"/>
      <c r="J81" s="180"/>
      <c r="K81" s="46"/>
      <c r="L81" s="57"/>
    </row>
    <row r="82" spans="1:12" x14ac:dyDescent="0.3">
      <c r="A82" s="107"/>
      <c r="B82" s="97"/>
      <c r="C82" s="29" t="s">
        <v>188</v>
      </c>
      <c r="D82" s="134"/>
      <c r="E82" s="172"/>
      <c r="F82" s="173"/>
      <c r="G82" s="173"/>
      <c r="H82" s="173"/>
      <c r="I82" s="173"/>
      <c r="J82" s="174"/>
      <c r="K82" s="46"/>
      <c r="L82" s="57"/>
    </row>
    <row r="83" spans="1:12" x14ac:dyDescent="0.3">
      <c r="A83" s="107"/>
      <c r="B83" s="97"/>
      <c r="C83" s="29" t="s">
        <v>189</v>
      </c>
      <c r="D83" s="134"/>
      <c r="E83" s="172"/>
      <c r="F83" s="173"/>
      <c r="G83" s="173"/>
      <c r="H83" s="173"/>
      <c r="I83" s="173"/>
      <c r="J83" s="174"/>
      <c r="K83" s="46"/>
      <c r="L83" s="57"/>
    </row>
    <row r="84" spans="1:12" x14ac:dyDescent="0.3">
      <c r="A84" s="107"/>
      <c r="B84" s="118"/>
      <c r="C84" s="29" t="s">
        <v>210</v>
      </c>
      <c r="D84" s="135"/>
      <c r="E84" s="175"/>
      <c r="F84" s="176"/>
      <c r="G84" s="176"/>
      <c r="H84" s="176"/>
      <c r="I84" s="176"/>
      <c r="J84" s="177"/>
      <c r="K84" s="52"/>
      <c r="L84" s="57"/>
    </row>
    <row r="85" spans="1:12" ht="28.8" x14ac:dyDescent="0.3">
      <c r="A85" s="54" t="s">
        <v>126</v>
      </c>
      <c r="B85" s="29" t="s">
        <v>60</v>
      </c>
      <c r="C85" s="29" t="s">
        <v>190</v>
      </c>
      <c r="D85" s="60" t="s">
        <v>178</v>
      </c>
      <c r="E85" s="150" t="s">
        <v>353</v>
      </c>
      <c r="F85" s="93"/>
      <c r="G85" s="93"/>
      <c r="H85" s="93"/>
      <c r="I85" s="93"/>
      <c r="J85" s="130"/>
      <c r="K85" s="46"/>
      <c r="L85" s="69" t="s">
        <v>218</v>
      </c>
    </row>
    <row r="86" spans="1:12" ht="28.8" x14ac:dyDescent="0.3">
      <c r="A86" s="54" t="s">
        <v>202</v>
      </c>
      <c r="B86" s="29" t="s">
        <v>192</v>
      </c>
      <c r="C86" s="29" t="s">
        <v>193</v>
      </c>
      <c r="D86" s="61" t="s">
        <v>178</v>
      </c>
      <c r="E86" s="150" t="s">
        <v>353</v>
      </c>
      <c r="F86" s="93"/>
      <c r="G86" s="93"/>
      <c r="H86" s="93"/>
      <c r="I86" s="93"/>
      <c r="J86" s="130"/>
      <c r="K86" s="46"/>
      <c r="L86" s="69" t="s">
        <v>191</v>
      </c>
    </row>
    <row r="87" spans="1:12" ht="42.6" customHeight="1" x14ac:dyDescent="0.3">
      <c r="A87" s="3" t="s">
        <v>159</v>
      </c>
      <c r="B87" s="3" t="s">
        <v>195</v>
      </c>
      <c r="C87" s="29" t="s">
        <v>196</v>
      </c>
      <c r="D87" s="60" t="s">
        <v>178</v>
      </c>
      <c r="E87" s="150" t="s">
        <v>353</v>
      </c>
      <c r="F87" s="93"/>
      <c r="G87" s="93"/>
      <c r="H87" s="93"/>
      <c r="I87" s="93"/>
      <c r="J87" s="130"/>
      <c r="K87" s="46"/>
      <c r="L87" s="69" t="s">
        <v>219</v>
      </c>
    </row>
    <row r="88" spans="1:12" ht="63" customHeight="1" x14ac:dyDescent="0.3">
      <c r="A88" s="3" t="s">
        <v>213</v>
      </c>
      <c r="B88" s="3" t="s">
        <v>197</v>
      </c>
      <c r="C88" s="29" t="s">
        <v>198</v>
      </c>
      <c r="D88" s="60" t="s">
        <v>178</v>
      </c>
      <c r="E88" s="150" t="s">
        <v>353</v>
      </c>
      <c r="F88" s="93"/>
      <c r="G88" s="93"/>
      <c r="H88" s="93"/>
      <c r="I88" s="93"/>
      <c r="J88" s="130"/>
      <c r="K88" s="46"/>
      <c r="L88" s="69" t="s">
        <v>220</v>
      </c>
    </row>
  </sheetData>
  <mergeCells count="159">
    <mergeCell ref="L4:L12"/>
    <mergeCell ref="E85:J85"/>
    <mergeCell ref="E86:J86"/>
    <mergeCell ref="E87:J87"/>
    <mergeCell ref="E88:J88"/>
    <mergeCell ref="A4:A12"/>
    <mergeCell ref="B4:B12"/>
    <mergeCell ref="C4:C12"/>
    <mergeCell ref="D4:D12"/>
    <mergeCell ref="E4:E12"/>
    <mergeCell ref="H4:H12"/>
    <mergeCell ref="L51:L53"/>
    <mergeCell ref="L61:L63"/>
    <mergeCell ref="L71:L73"/>
    <mergeCell ref="E77:K77"/>
    <mergeCell ref="E78:J80"/>
    <mergeCell ref="E81:J84"/>
    <mergeCell ref="E75:E76"/>
    <mergeCell ref="F75:F76"/>
    <mergeCell ref="G75:G76"/>
    <mergeCell ref="H75:H76"/>
    <mergeCell ref="C67:C76"/>
    <mergeCell ref="C57:C66"/>
    <mergeCell ref="E71:E73"/>
    <mergeCell ref="G71:G73"/>
    <mergeCell ref="H71:H73"/>
    <mergeCell ref="I71:I73"/>
    <mergeCell ref="J71:J73"/>
    <mergeCell ref="E67:E68"/>
    <mergeCell ref="F67:F68"/>
    <mergeCell ref="G67:G68"/>
    <mergeCell ref="H67:H68"/>
    <mergeCell ref="E69:E70"/>
    <mergeCell ref="F69:F70"/>
    <mergeCell ref="G69:G70"/>
    <mergeCell ref="H69:H70"/>
    <mergeCell ref="I61:I63"/>
    <mergeCell ref="J61:J63"/>
    <mergeCell ref="E65:E66"/>
    <mergeCell ref="F65:F66"/>
    <mergeCell ref="G65:G66"/>
    <mergeCell ref="H65:H66"/>
    <mergeCell ref="E59:E60"/>
    <mergeCell ref="F59:F60"/>
    <mergeCell ref="G59:G60"/>
    <mergeCell ref="H59:H60"/>
    <mergeCell ref="E61:E63"/>
    <mergeCell ref="F61:F63"/>
    <mergeCell ref="G61:G63"/>
    <mergeCell ref="H61:H63"/>
    <mergeCell ref="G55:G56"/>
    <mergeCell ref="H55:H56"/>
    <mergeCell ref="I51:I53"/>
    <mergeCell ref="J51:J53"/>
    <mergeCell ref="C47:C56"/>
    <mergeCell ref="E57:E58"/>
    <mergeCell ref="F57:F58"/>
    <mergeCell ref="G57:G58"/>
    <mergeCell ref="H57:H58"/>
    <mergeCell ref="E51:E53"/>
    <mergeCell ref="F51:F53"/>
    <mergeCell ref="E55:E56"/>
    <mergeCell ref="F55:F56"/>
    <mergeCell ref="G47:G48"/>
    <mergeCell ref="H47:H48"/>
    <mergeCell ref="G49:G50"/>
    <mergeCell ref="H49:H50"/>
    <mergeCell ref="G51:G53"/>
    <mergeCell ref="H51:H53"/>
    <mergeCell ref="L41:L43"/>
    <mergeCell ref="L31:L33"/>
    <mergeCell ref="E47:E48"/>
    <mergeCell ref="F47:F48"/>
    <mergeCell ref="E49:E50"/>
    <mergeCell ref="F49:F50"/>
    <mergeCell ref="G37:G38"/>
    <mergeCell ref="G39:G40"/>
    <mergeCell ref="G41:G43"/>
    <mergeCell ref="G45:G46"/>
    <mergeCell ref="H37:H38"/>
    <mergeCell ref="H39:H40"/>
    <mergeCell ref="H41:H43"/>
    <mergeCell ref="H45:H46"/>
    <mergeCell ref="E41:E43"/>
    <mergeCell ref="F41:F43"/>
    <mergeCell ref="E45:E46"/>
    <mergeCell ref="F45:F46"/>
    <mergeCell ref="G35:G36"/>
    <mergeCell ref="H35:H36"/>
    <mergeCell ref="J41:J43"/>
    <mergeCell ref="E37:E38"/>
    <mergeCell ref="F37:F38"/>
    <mergeCell ref="E39:E40"/>
    <mergeCell ref="F39:F40"/>
    <mergeCell ref="J31:J33"/>
    <mergeCell ref="I31:I33"/>
    <mergeCell ref="H31:H33"/>
    <mergeCell ref="G31:G33"/>
    <mergeCell ref="F31:F33"/>
    <mergeCell ref="E31:E33"/>
    <mergeCell ref="I41:I43"/>
    <mergeCell ref="H29:H30"/>
    <mergeCell ref="F27:F28"/>
    <mergeCell ref="E15:E16"/>
    <mergeCell ref="E17:E19"/>
    <mergeCell ref="E20:E21"/>
    <mergeCell ref="E22:E23"/>
    <mergeCell ref="F22:F23"/>
    <mergeCell ref="G22:G23"/>
    <mergeCell ref="H22:H23"/>
    <mergeCell ref="F25:F26"/>
    <mergeCell ref="G25:G26"/>
    <mergeCell ref="H25:H26"/>
    <mergeCell ref="F18:F19"/>
    <mergeCell ref="G18:G19"/>
    <mergeCell ref="H18:H19"/>
    <mergeCell ref="F20:F21"/>
    <mergeCell ref="G20:G21"/>
    <mergeCell ref="H20:H21"/>
    <mergeCell ref="E29:E30"/>
    <mergeCell ref="B81:B84"/>
    <mergeCell ref="D13:D26"/>
    <mergeCell ref="D27:D77"/>
    <mergeCell ref="D78:D80"/>
    <mergeCell ref="D81:D84"/>
    <mergeCell ref="F15:F16"/>
    <mergeCell ref="A81:A84"/>
    <mergeCell ref="E24:E26"/>
    <mergeCell ref="E27:E28"/>
    <mergeCell ref="F29:F30"/>
    <mergeCell ref="C37:C46"/>
    <mergeCell ref="F35:F36"/>
    <mergeCell ref="E35:E36"/>
    <mergeCell ref="C27:C36"/>
    <mergeCell ref="F71:F73"/>
    <mergeCell ref="I2:K2"/>
    <mergeCell ref="A13:A26"/>
    <mergeCell ref="B13:B26"/>
    <mergeCell ref="A1:L1"/>
    <mergeCell ref="L2:L3"/>
    <mergeCell ref="L13:L26"/>
    <mergeCell ref="E13:E14"/>
    <mergeCell ref="B27:B77"/>
    <mergeCell ref="B78:B80"/>
    <mergeCell ref="L78:L80"/>
    <mergeCell ref="H13:H14"/>
    <mergeCell ref="H15:H16"/>
    <mergeCell ref="G15:G16"/>
    <mergeCell ref="A27:A77"/>
    <mergeCell ref="A78:A80"/>
    <mergeCell ref="A2:D2"/>
    <mergeCell ref="C13:C19"/>
    <mergeCell ref="C20:C26"/>
    <mergeCell ref="E2:H2"/>
    <mergeCell ref="F13:F14"/>
    <mergeCell ref="G13:G14"/>
    <mergeCell ref="H27:H28"/>
    <mergeCell ref="G27:G28"/>
    <mergeCell ref="G29:G30"/>
  </mergeCells>
  <phoneticPr fontId="7" type="noConversion"/>
  <conditionalFormatting sqref="K38">
    <cfRule type="cellIs" dxfId="7" priority="9" operator="lessThan">
      <formula>0</formula>
    </cfRule>
  </conditionalFormatting>
  <conditionalFormatting sqref="K40">
    <cfRule type="cellIs" dxfId="6" priority="8" operator="lessThan">
      <formula>0</formula>
    </cfRule>
  </conditionalFormatting>
  <conditionalFormatting sqref="K48">
    <cfRule type="cellIs" dxfId="5" priority="7" operator="lessThan">
      <formula>0</formula>
    </cfRule>
  </conditionalFormatting>
  <conditionalFormatting sqref="K58">
    <cfRule type="cellIs" dxfId="4" priority="5" operator="lessThan">
      <formula>0</formula>
    </cfRule>
  </conditionalFormatting>
  <conditionalFormatting sqref="K60">
    <cfRule type="cellIs" dxfId="3" priority="4" operator="lessThan">
      <formula>0</formula>
    </cfRule>
  </conditionalFormatting>
  <conditionalFormatting sqref="K68">
    <cfRule type="cellIs" dxfId="2" priority="3" operator="lessThan">
      <formula>0</formula>
    </cfRule>
  </conditionalFormatting>
  <conditionalFormatting sqref="K70">
    <cfRule type="cellIs" dxfId="1" priority="2" operator="lessThan">
      <formula>0</formula>
    </cfRule>
  </conditionalFormatting>
  <conditionalFormatting sqref="K50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A260-ED56-44FD-BA64-CA5B9DB9D9A3}">
  <sheetPr>
    <tabColor theme="0" tint="-0.34998626667073579"/>
  </sheetPr>
  <dimension ref="A1:E5"/>
  <sheetViews>
    <sheetView workbookViewId="0">
      <selection sqref="A1:A5"/>
    </sheetView>
  </sheetViews>
  <sheetFormatPr defaultRowHeight="14.4" x14ac:dyDescent="0.3"/>
  <cols>
    <col min="1" max="1" width="13" customWidth="1"/>
    <col min="2" max="2" width="15.33203125" customWidth="1"/>
  </cols>
  <sheetData>
    <row r="1" spans="1:5" x14ac:dyDescent="0.3">
      <c r="A1" t="s">
        <v>11</v>
      </c>
      <c r="B1" t="s">
        <v>14</v>
      </c>
      <c r="C1" t="s">
        <v>16</v>
      </c>
      <c r="E1" t="s">
        <v>39</v>
      </c>
    </row>
    <row r="2" spans="1:5" x14ac:dyDescent="0.3">
      <c r="A2" t="s">
        <v>12</v>
      </c>
      <c r="B2" t="s">
        <v>15</v>
      </c>
      <c r="C2" t="s">
        <v>75</v>
      </c>
      <c r="E2" t="s">
        <v>40</v>
      </c>
    </row>
    <row r="3" spans="1:5" x14ac:dyDescent="0.3">
      <c r="A3" t="s">
        <v>223</v>
      </c>
      <c r="C3" t="s">
        <v>20</v>
      </c>
    </row>
    <row r="4" spans="1:5" x14ac:dyDescent="0.3">
      <c r="A4" t="s">
        <v>222</v>
      </c>
    </row>
    <row r="5" spans="1:5" x14ac:dyDescent="0.3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Καθορισμένες περιοχές</vt:lpstr>
      </vt:variant>
      <vt:variant>
        <vt:i4>6</vt:i4>
      </vt:variant>
    </vt:vector>
  </HeadingPairs>
  <TitlesOfParts>
    <vt:vector size="10" baseType="lpstr">
      <vt:lpstr>Raw Data</vt:lpstr>
      <vt:lpstr>Widget Γενική Επισκόπηση</vt:lpstr>
      <vt:lpstr>Widget Συμβάσεις</vt:lpstr>
      <vt:lpstr>Λίστα</vt:lpstr>
      <vt:lpstr>ΕΙΔΙΚΕΣ</vt:lpstr>
      <vt:lpstr>ΕΙΔΙΚΕΣ\</vt:lpstr>
      <vt:lpstr>ΕΙΔΙΚΗ</vt:lpstr>
      <vt:lpstr>ΚΑΤΑΣΤΑΣΗ</vt:lpstr>
      <vt:lpstr>ΚΑΤΗΓΟΡΙΑ</vt:lpstr>
      <vt:lpstr>ΜΕΤΑΦΟΡΑ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Γιάννης Λιωνής</dc:creator>
  <cp:lastModifiedBy>Γιάννης Λιωνής</cp:lastModifiedBy>
  <dcterms:created xsi:type="dcterms:W3CDTF">2022-10-17T13:42:32Z</dcterms:created>
  <dcterms:modified xsi:type="dcterms:W3CDTF">2022-10-25T11:58:18Z</dcterms:modified>
</cp:coreProperties>
</file>