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001198.TWLIFE\Documents\Leo\04Leo_Personal\投資\"/>
    </mc:Choice>
  </mc:AlternateContent>
  <bookViews>
    <workbookView xWindow="480" yWindow="135" windowWidth="18315" windowHeight="11655" activeTab="2"/>
  </bookViews>
  <sheets>
    <sheet name="交易明細" sheetId="3" r:id="rId1"/>
    <sheet name="交易NET" sheetId="5" r:id="rId2"/>
    <sheet name="交易NET-HST" sheetId="10" r:id="rId3"/>
    <sheet name="曆史交易明細" sheetId="4" r:id="rId4"/>
    <sheet name="貸款" sheetId="14" r:id="rId5"/>
    <sheet name="台股手續費試算" sheetId="2" r:id="rId6"/>
    <sheet name="美股手續費試算" sheetId="13" r:id="rId7"/>
    <sheet name="SAMPLE" sheetId="1" r:id="rId8"/>
    <sheet name="選配息好股" sheetId="11" r:id="rId9"/>
    <sheet name="債券" sheetId="12" r:id="rId10"/>
  </sheets>
  <calcPr calcId="162913" iterate="1" iterateCount="20"/>
</workbook>
</file>

<file path=xl/calcChain.xml><?xml version="1.0" encoding="utf-8"?>
<calcChain xmlns="http://schemas.openxmlformats.org/spreadsheetml/2006/main">
  <c r="M7" i="3" l="1"/>
  <c r="F7" i="3"/>
  <c r="G7" i="3" l="1"/>
  <c r="H7" i="3" s="1"/>
  <c r="R7" i="3" s="1"/>
  <c r="O7" i="3"/>
  <c r="N7" i="3"/>
  <c r="M5" i="3"/>
  <c r="O5" i="3" s="1"/>
  <c r="F5" i="3"/>
  <c r="G5" i="3" s="1"/>
  <c r="H5" i="3" s="1"/>
  <c r="P7" i="3" l="1"/>
  <c r="Q7" i="3"/>
  <c r="N5" i="3"/>
  <c r="P5" i="3" s="1"/>
  <c r="R5" i="3"/>
  <c r="O153" i="4"/>
  <c r="N153" i="4"/>
  <c r="P153" i="4" s="1"/>
  <c r="M153" i="4"/>
  <c r="F153" i="4"/>
  <c r="F154" i="4"/>
  <c r="G154" i="4"/>
  <c r="M154" i="4"/>
  <c r="N154" i="4" s="1"/>
  <c r="F155" i="4"/>
  <c r="G155" i="4" s="1"/>
  <c r="M155" i="4"/>
  <c r="N155" i="4"/>
  <c r="Q5" i="3" l="1"/>
  <c r="G153" i="4"/>
  <c r="H153" i="4" s="1"/>
  <c r="H154" i="4"/>
  <c r="R154" i="4" s="1"/>
  <c r="O154" i="4"/>
  <c r="P154" i="4" s="1"/>
  <c r="P155" i="4"/>
  <c r="H155" i="4"/>
  <c r="R155" i="4" s="1"/>
  <c r="Q154" i="4"/>
  <c r="O155" i="4"/>
  <c r="M6" i="3"/>
  <c r="O6" i="3" s="1"/>
  <c r="F6" i="3"/>
  <c r="G6" i="3" s="1"/>
  <c r="H6" i="3" s="1"/>
  <c r="R153" i="4" l="1"/>
  <c r="Q153" i="4"/>
  <c r="Q155" i="4"/>
  <c r="N6" i="3"/>
  <c r="P6" i="3" s="1"/>
  <c r="R6" i="3"/>
  <c r="G13" i="5"/>
  <c r="E8" i="14"/>
  <c r="F8" i="14" s="1"/>
  <c r="E7" i="14"/>
  <c r="F7" i="14" s="1"/>
  <c r="K175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Q6" i="3" l="1"/>
  <c r="F9" i="14"/>
  <c r="B174" i="10"/>
  <c r="M4" i="3"/>
  <c r="O4" i="3" s="1"/>
  <c r="F4" i="3"/>
  <c r="G4" i="3" s="1"/>
  <c r="H4" i="3" s="1"/>
  <c r="N4" i="3" l="1"/>
  <c r="P4" i="3" s="1"/>
  <c r="R4" i="3"/>
  <c r="M3" i="3"/>
  <c r="O3" i="3" s="1"/>
  <c r="F3" i="3"/>
  <c r="G3" i="3" s="1"/>
  <c r="H3" i="3" s="1"/>
  <c r="Q4" i="3" l="1"/>
  <c r="R3" i="3"/>
  <c r="N3" i="3"/>
  <c r="P3" i="3" s="1"/>
  <c r="M152" i="4"/>
  <c r="F152" i="4"/>
  <c r="F151" i="4"/>
  <c r="G151" i="4"/>
  <c r="H151" i="4"/>
  <c r="M151" i="4"/>
  <c r="N151" i="4" s="1"/>
  <c r="R152" i="4" l="1"/>
  <c r="R151" i="4"/>
  <c r="Q3" i="3"/>
  <c r="G152" i="4"/>
  <c r="H152" i="4" s="1"/>
  <c r="O152" i="4"/>
  <c r="N152" i="4"/>
  <c r="O151" i="4"/>
  <c r="Q151" i="4" s="1"/>
  <c r="M8" i="3"/>
  <c r="F8" i="3"/>
  <c r="P152" i="4" l="1"/>
  <c r="Q152" i="4"/>
  <c r="P151" i="4"/>
  <c r="N8" i="3"/>
  <c r="G8" i="3"/>
  <c r="H8" i="3" s="1"/>
  <c r="R8" i="3" s="1"/>
  <c r="O8" i="3"/>
  <c r="Q8" i="3" l="1"/>
  <c r="P8" i="3"/>
  <c r="M150" i="4"/>
  <c r="F150" i="4"/>
  <c r="N150" i="4" l="1"/>
  <c r="Q150" i="4" s="1"/>
  <c r="G150" i="4"/>
  <c r="H150" i="4" s="1"/>
  <c r="R150" i="4" s="1"/>
  <c r="O150" i="4"/>
  <c r="F4" i="14"/>
  <c r="E3" i="14"/>
  <c r="F3" i="14" s="1"/>
  <c r="E2" i="14"/>
  <c r="F2" i="14" s="1"/>
  <c r="P150" i="4" l="1"/>
  <c r="F149" i="4" l="1"/>
  <c r="G149" i="4" s="1"/>
  <c r="M149" i="4"/>
  <c r="N149" i="4" s="1"/>
  <c r="H149" i="4" l="1"/>
  <c r="O149" i="4"/>
  <c r="Q149" i="4" s="1"/>
  <c r="R149" i="4"/>
  <c r="P149" i="4" l="1"/>
  <c r="M147" i="4" l="1"/>
  <c r="O147" i="4" s="1"/>
  <c r="F147" i="4"/>
  <c r="M148" i="4"/>
  <c r="F148" i="4"/>
  <c r="F145" i="4"/>
  <c r="G145" i="4"/>
  <c r="M145" i="4"/>
  <c r="O145" i="4" s="1"/>
  <c r="F146" i="4"/>
  <c r="G146" i="4" s="1"/>
  <c r="M146" i="4"/>
  <c r="O146" i="4" s="1"/>
  <c r="H145" i="4" l="1"/>
  <c r="R145" i="4" s="1"/>
  <c r="N146" i="4"/>
  <c r="P146" i="4" s="1"/>
  <c r="N145" i="4"/>
  <c r="Q145" i="4" s="1"/>
  <c r="N147" i="4"/>
  <c r="P147" i="4" s="1"/>
  <c r="G147" i="4"/>
  <c r="H147" i="4" s="1"/>
  <c r="R147" i="4" s="1"/>
  <c r="N148" i="4"/>
  <c r="G148" i="4"/>
  <c r="H148" i="4" s="1"/>
  <c r="R148" i="4" s="1"/>
  <c r="O148" i="4"/>
  <c r="H146" i="4"/>
  <c r="R146" i="4" s="1"/>
  <c r="M144" i="4"/>
  <c r="F144" i="4"/>
  <c r="G144" i="4" s="1"/>
  <c r="H144" i="4" s="1"/>
  <c r="R144" i="4" l="1"/>
  <c r="P145" i="4"/>
  <c r="Q148" i="4"/>
  <c r="Q147" i="4"/>
  <c r="P148" i="4"/>
  <c r="Q146" i="4"/>
  <c r="O144" i="4"/>
  <c r="N144" i="4"/>
  <c r="Q144" i="4" l="1"/>
  <c r="P144" i="4"/>
  <c r="M143" i="4" l="1"/>
  <c r="F143" i="4"/>
  <c r="G143" i="4" s="1"/>
  <c r="H143" i="4" s="1"/>
  <c r="M142" i="4"/>
  <c r="F142" i="4"/>
  <c r="M141" i="4"/>
  <c r="O141" i="4" s="1"/>
  <c r="F141" i="4"/>
  <c r="M140" i="4"/>
  <c r="F140" i="4"/>
  <c r="G140" i="4" s="1"/>
  <c r="H140" i="4" s="1"/>
  <c r="R140" i="4" s="1"/>
  <c r="R143" i="4" l="1"/>
  <c r="N141" i="4"/>
  <c r="P141" i="4" s="1"/>
  <c r="O140" i="4"/>
  <c r="N142" i="4"/>
  <c r="G142" i="4"/>
  <c r="H142" i="4" s="1"/>
  <c r="R142" i="4" s="1"/>
  <c r="O142" i="4"/>
  <c r="N143" i="4"/>
  <c r="N140" i="4"/>
  <c r="O143" i="4"/>
  <c r="G141" i="4"/>
  <c r="H141" i="4" s="1"/>
  <c r="R141" i="4" s="1"/>
  <c r="M139" i="4"/>
  <c r="O139" i="4" s="1"/>
  <c r="F139" i="4"/>
  <c r="G139" i="4" s="1"/>
  <c r="H139" i="4" s="1"/>
  <c r="F138" i="4"/>
  <c r="G138" i="4" s="1"/>
  <c r="H138" i="4" s="1"/>
  <c r="M138" i="4"/>
  <c r="R138" i="4" s="1"/>
  <c r="O138" i="4"/>
  <c r="N138" i="4" l="1"/>
  <c r="P142" i="4"/>
  <c r="P140" i="4"/>
  <c r="Q142" i="4"/>
  <c r="Q143" i="4"/>
  <c r="P143" i="4"/>
  <c r="Q141" i="4"/>
  <c r="Q140" i="4"/>
  <c r="R139" i="4"/>
  <c r="N139" i="4"/>
  <c r="P139" i="4" s="1"/>
  <c r="P138" i="4"/>
  <c r="Q138" i="4"/>
  <c r="Q139" i="4" l="1"/>
  <c r="F8" i="5"/>
  <c r="M137" i="4" l="1"/>
  <c r="F137" i="4"/>
  <c r="M136" i="4"/>
  <c r="F136" i="4"/>
  <c r="G136" i="4" s="1"/>
  <c r="H136" i="4" s="1"/>
  <c r="R136" i="4" l="1"/>
  <c r="N137" i="4"/>
  <c r="G137" i="4"/>
  <c r="H137" i="4" s="1"/>
  <c r="R137" i="4" s="1"/>
  <c r="O137" i="4"/>
  <c r="O136" i="4"/>
  <c r="N136" i="4"/>
  <c r="M135" i="4"/>
  <c r="O135" i="4" s="1"/>
  <c r="F135" i="4"/>
  <c r="F132" i="4"/>
  <c r="G132" i="4" s="1"/>
  <c r="M132" i="4"/>
  <c r="N132" i="4" s="1"/>
  <c r="F133" i="4"/>
  <c r="G133" i="4" s="1"/>
  <c r="H133" i="4" s="1"/>
  <c r="M133" i="4"/>
  <c r="N133" i="4" s="1"/>
  <c r="F134" i="4"/>
  <c r="G134" i="4" s="1"/>
  <c r="H134" i="4" s="1"/>
  <c r="M134" i="4"/>
  <c r="N134" i="4" s="1"/>
  <c r="O134" i="4"/>
  <c r="P137" i="4" l="1"/>
  <c r="R133" i="4"/>
  <c r="N135" i="4"/>
  <c r="P135" i="4" s="1"/>
  <c r="R134" i="4"/>
  <c r="Q137" i="4"/>
  <c r="Q136" i="4"/>
  <c r="P136" i="4"/>
  <c r="G135" i="4"/>
  <c r="H135" i="4" s="1"/>
  <c r="R135" i="4" s="1"/>
  <c r="P134" i="4"/>
  <c r="Q134" i="4"/>
  <c r="O133" i="4"/>
  <c r="H132" i="4"/>
  <c r="R132" i="4" s="1"/>
  <c r="O132" i="4"/>
  <c r="M131" i="4"/>
  <c r="N131" i="4" s="1"/>
  <c r="F131" i="4"/>
  <c r="M130" i="4"/>
  <c r="N130" i="4" s="1"/>
  <c r="F130" i="4"/>
  <c r="G130" i="4" s="1"/>
  <c r="H130" i="4" s="1"/>
  <c r="M129" i="4"/>
  <c r="O129" i="4" s="1"/>
  <c r="F129" i="4"/>
  <c r="G129" i="4" s="1"/>
  <c r="O130" i="4"/>
  <c r="M128" i="4"/>
  <c r="F128" i="4"/>
  <c r="O128" i="4"/>
  <c r="M127" i="4"/>
  <c r="N127" i="4" s="1"/>
  <c r="F127" i="4"/>
  <c r="G127" i="4" s="1"/>
  <c r="H127" i="4" s="1"/>
  <c r="F124" i="4"/>
  <c r="G124" i="4" s="1"/>
  <c r="M124" i="4"/>
  <c r="N124" i="4" s="1"/>
  <c r="F125" i="4"/>
  <c r="G125" i="4" s="1"/>
  <c r="H125" i="4" s="1"/>
  <c r="M125" i="4"/>
  <c r="N125" i="4" s="1"/>
  <c r="F126" i="4"/>
  <c r="G126" i="4" s="1"/>
  <c r="M126" i="4"/>
  <c r="F5" i="13"/>
  <c r="D6" i="13"/>
  <c r="D5" i="13"/>
  <c r="F6" i="13"/>
  <c r="B6" i="13"/>
  <c r="B5" i="13"/>
  <c r="M123" i="4"/>
  <c r="N123" i="4" s="1"/>
  <c r="F123" i="4"/>
  <c r="F122" i="4"/>
  <c r="G122" i="4" s="1"/>
  <c r="H122" i="4" s="1"/>
  <c r="M122" i="4"/>
  <c r="O122" i="4" s="1"/>
  <c r="B14" i="2"/>
  <c r="B16" i="2" s="1"/>
  <c r="M121" i="4"/>
  <c r="O121" i="4" s="1"/>
  <c r="F121" i="4"/>
  <c r="G121" i="4" s="1"/>
  <c r="H121" i="4" s="1"/>
  <c r="M120" i="4"/>
  <c r="N120" i="4" s="1"/>
  <c r="F120" i="4"/>
  <c r="G120" i="4" s="1"/>
  <c r="M119" i="4"/>
  <c r="O119" i="4" s="1"/>
  <c r="F119" i="4"/>
  <c r="G119" i="4" s="1"/>
  <c r="H119" i="4" s="1"/>
  <c r="F117" i="4"/>
  <c r="G117" i="4" s="1"/>
  <c r="M117" i="4"/>
  <c r="O117" i="4" s="1"/>
  <c r="F118" i="4"/>
  <c r="G118" i="4" s="1"/>
  <c r="M118" i="4"/>
  <c r="B135" i="10"/>
  <c r="F116" i="4"/>
  <c r="M116" i="4"/>
  <c r="O116" i="4" s="1"/>
  <c r="F115" i="4"/>
  <c r="M115" i="4"/>
  <c r="N115" i="4" s="1"/>
  <c r="M135" i="10"/>
  <c r="L135" i="10"/>
  <c r="K135" i="10"/>
  <c r="J135" i="10"/>
  <c r="I135" i="10"/>
  <c r="H135" i="10"/>
  <c r="G135" i="10"/>
  <c r="F135" i="10"/>
  <c r="E135" i="10"/>
  <c r="D135" i="10"/>
  <c r="C135" i="10"/>
  <c r="O115" i="4"/>
  <c r="M114" i="4"/>
  <c r="N114" i="4" s="1"/>
  <c r="F114" i="4"/>
  <c r="G114" i="4" s="1"/>
  <c r="M113" i="4"/>
  <c r="N113" i="4" s="1"/>
  <c r="F113" i="4"/>
  <c r="G113" i="4" s="1"/>
  <c r="M112" i="4"/>
  <c r="F112" i="4"/>
  <c r="G112" i="4" s="1"/>
  <c r="M111" i="4"/>
  <c r="F111" i="4"/>
  <c r="G111" i="4" s="1"/>
  <c r="M110" i="4"/>
  <c r="N110" i="4" s="1"/>
  <c r="F110" i="4"/>
  <c r="G110" i="4" s="1"/>
  <c r="H110" i="4" s="1"/>
  <c r="M109" i="4"/>
  <c r="F109" i="4"/>
  <c r="G109" i="4" s="1"/>
  <c r="M108" i="4"/>
  <c r="F108" i="4"/>
  <c r="G108" i="4" s="1"/>
  <c r="H108" i="4" s="1"/>
  <c r="M107" i="4"/>
  <c r="O107" i="4" s="1"/>
  <c r="F107" i="4"/>
  <c r="M106" i="4"/>
  <c r="N106" i="4" s="1"/>
  <c r="F106" i="4"/>
  <c r="N107" i="4"/>
  <c r="M97" i="10"/>
  <c r="M105" i="4"/>
  <c r="O105" i="4" s="1"/>
  <c r="F105" i="4"/>
  <c r="M103" i="4"/>
  <c r="O103" i="4" s="1"/>
  <c r="F103" i="4"/>
  <c r="N103" i="4"/>
  <c r="M104" i="4"/>
  <c r="N104" i="4" s="1"/>
  <c r="F104" i="4"/>
  <c r="G104" i="4" s="1"/>
  <c r="M102" i="4"/>
  <c r="N102" i="4" s="1"/>
  <c r="F102" i="4"/>
  <c r="F100" i="4"/>
  <c r="G100" i="4" s="1"/>
  <c r="M100" i="4"/>
  <c r="O100" i="4" s="1"/>
  <c r="F101" i="4"/>
  <c r="G101" i="4" s="1"/>
  <c r="H101" i="4" s="1"/>
  <c r="M101" i="4"/>
  <c r="N101" i="4" s="1"/>
  <c r="M99" i="4"/>
  <c r="F99" i="4"/>
  <c r="G99" i="4" s="1"/>
  <c r="H99" i="4" s="1"/>
  <c r="M98" i="4"/>
  <c r="O98" i="4" s="1"/>
  <c r="F98" i="4"/>
  <c r="M97" i="4"/>
  <c r="O97" i="4" s="1"/>
  <c r="F97" i="4"/>
  <c r="N98" i="4"/>
  <c r="M96" i="4"/>
  <c r="N96" i="4" s="1"/>
  <c r="F96" i="4"/>
  <c r="G96" i="4" s="1"/>
  <c r="H96" i="4" s="1"/>
  <c r="M95" i="4"/>
  <c r="O95" i="4" s="1"/>
  <c r="F95" i="4"/>
  <c r="G95" i="4" s="1"/>
  <c r="M94" i="4"/>
  <c r="F94" i="4"/>
  <c r="G94" i="4" s="1"/>
  <c r="H94" i="4" s="1"/>
  <c r="M93" i="4"/>
  <c r="O93" i="4" s="1"/>
  <c r="F93" i="4"/>
  <c r="O96" i="4"/>
  <c r="F92" i="4"/>
  <c r="M92" i="4"/>
  <c r="O92" i="4" s="1"/>
  <c r="M91" i="4"/>
  <c r="O91" i="4" s="1"/>
  <c r="F91" i="4"/>
  <c r="M90" i="4"/>
  <c r="O90" i="4" s="1"/>
  <c r="F90" i="4"/>
  <c r="G90" i="4" s="1"/>
  <c r="M89" i="4"/>
  <c r="N89" i="4" s="1"/>
  <c r="F89" i="4"/>
  <c r="G91" i="4"/>
  <c r="H91" i="4" s="1"/>
  <c r="F88" i="4"/>
  <c r="M88" i="4"/>
  <c r="O88" i="4" s="1"/>
  <c r="M87" i="4"/>
  <c r="F87" i="4"/>
  <c r="G87" i="4" s="1"/>
  <c r="M86" i="4"/>
  <c r="N86" i="4" s="1"/>
  <c r="F86" i="4"/>
  <c r="M85" i="4"/>
  <c r="N85" i="4" s="1"/>
  <c r="F85" i="4"/>
  <c r="M84" i="4"/>
  <c r="F84" i="4"/>
  <c r="G84" i="4" s="1"/>
  <c r="H84" i="4" s="1"/>
  <c r="F9" i="5"/>
  <c r="M83" i="4"/>
  <c r="N83" i="4" s="1"/>
  <c r="F83" i="4"/>
  <c r="G83" i="4" s="1"/>
  <c r="M82" i="4"/>
  <c r="F82" i="4"/>
  <c r="G82" i="4" s="1"/>
  <c r="M81" i="4"/>
  <c r="N81" i="4" s="1"/>
  <c r="F81" i="4"/>
  <c r="M80" i="4"/>
  <c r="O80" i="4" s="1"/>
  <c r="F80" i="4"/>
  <c r="G80" i="4" s="1"/>
  <c r="M79" i="4"/>
  <c r="F79" i="4"/>
  <c r="G79" i="4" s="1"/>
  <c r="M78" i="4"/>
  <c r="O78" i="4" s="1"/>
  <c r="F78" i="4"/>
  <c r="G78" i="4" s="1"/>
  <c r="M77" i="4"/>
  <c r="O77" i="4" s="1"/>
  <c r="F77" i="4"/>
  <c r="G77" i="4"/>
  <c r="M76" i="4"/>
  <c r="F76" i="4"/>
  <c r="G76" i="4" s="1"/>
  <c r="M75" i="4"/>
  <c r="N75" i="4" s="1"/>
  <c r="F75" i="4"/>
  <c r="G75" i="4" s="1"/>
  <c r="F72" i="4"/>
  <c r="G72" i="4" s="1"/>
  <c r="M72" i="4"/>
  <c r="O72" i="4" s="1"/>
  <c r="F73" i="4"/>
  <c r="M73" i="4"/>
  <c r="N73" i="4" s="1"/>
  <c r="F74" i="4"/>
  <c r="G74" i="4" s="1"/>
  <c r="M74" i="4"/>
  <c r="O73" i="4"/>
  <c r="F69" i="4"/>
  <c r="G69" i="4" s="1"/>
  <c r="M69" i="4"/>
  <c r="N69" i="4" s="1"/>
  <c r="F70" i="4"/>
  <c r="G70" i="4" s="1"/>
  <c r="M70" i="4"/>
  <c r="O70" i="4" s="1"/>
  <c r="F71" i="4"/>
  <c r="G71" i="4" s="1"/>
  <c r="M71" i="4"/>
  <c r="O71" i="4"/>
  <c r="F66" i="4"/>
  <c r="G66" i="4" s="1"/>
  <c r="M66" i="4"/>
  <c r="N66" i="4" s="1"/>
  <c r="F67" i="4"/>
  <c r="M67" i="4"/>
  <c r="N67" i="4"/>
  <c r="F68" i="4"/>
  <c r="M68" i="4"/>
  <c r="N68" i="4" s="1"/>
  <c r="M65" i="4"/>
  <c r="F65" i="4"/>
  <c r="G65" i="4" s="1"/>
  <c r="L97" i="10"/>
  <c r="K97" i="10"/>
  <c r="J97" i="10"/>
  <c r="I97" i="10"/>
  <c r="H97" i="10"/>
  <c r="G97" i="10"/>
  <c r="F97" i="10"/>
  <c r="E97" i="10"/>
  <c r="D97" i="10"/>
  <c r="C97" i="10"/>
  <c r="B97" i="10"/>
  <c r="B98" i="10"/>
  <c r="F64" i="4"/>
  <c r="M64" i="4"/>
  <c r="N64" i="4" s="1"/>
  <c r="F63" i="4"/>
  <c r="M63" i="4"/>
  <c r="M62" i="4"/>
  <c r="O62" i="4" s="1"/>
  <c r="F62" i="4"/>
  <c r="G62" i="4" s="1"/>
  <c r="M61" i="4"/>
  <c r="O61" i="4" s="1"/>
  <c r="F61" i="4"/>
  <c r="F60" i="4"/>
  <c r="G60" i="4" s="1"/>
  <c r="H60" i="4" s="1"/>
  <c r="M60" i="4"/>
  <c r="O60" i="4" s="1"/>
  <c r="M59" i="4"/>
  <c r="O59" i="4" s="1"/>
  <c r="F59" i="4"/>
  <c r="M60" i="10"/>
  <c r="F57" i="4"/>
  <c r="M57" i="4"/>
  <c r="F58" i="4"/>
  <c r="G58" i="4" s="1"/>
  <c r="H58" i="4" s="1"/>
  <c r="M58" i="4"/>
  <c r="O58" i="4" s="1"/>
  <c r="G57" i="4"/>
  <c r="M56" i="4"/>
  <c r="O56" i="4" s="1"/>
  <c r="F56" i="4"/>
  <c r="G56" i="4" s="1"/>
  <c r="M55" i="4"/>
  <c r="F55" i="4"/>
  <c r="G55" i="4" s="1"/>
  <c r="M54" i="4"/>
  <c r="O54" i="4" s="1"/>
  <c r="F54" i="4"/>
  <c r="F53" i="4"/>
  <c r="G53" i="4" s="1"/>
  <c r="M53" i="4"/>
  <c r="N53" i="4" s="1"/>
  <c r="L60" i="10"/>
  <c r="M52" i="4"/>
  <c r="O52" i="4" s="1"/>
  <c r="F52" i="4"/>
  <c r="G52" i="4" s="1"/>
  <c r="M51" i="4"/>
  <c r="N51" i="4" s="1"/>
  <c r="F51" i="4"/>
  <c r="M50" i="4"/>
  <c r="F50" i="4"/>
  <c r="M49" i="4"/>
  <c r="O49" i="4" s="1"/>
  <c r="F49" i="4"/>
  <c r="F47" i="4"/>
  <c r="M47" i="4"/>
  <c r="F48" i="4"/>
  <c r="G48" i="4" s="1"/>
  <c r="H48" i="4" s="1"/>
  <c r="M48" i="4"/>
  <c r="O48" i="4" s="1"/>
  <c r="K60" i="10"/>
  <c r="J60" i="10"/>
  <c r="I60" i="10"/>
  <c r="H60" i="10"/>
  <c r="G60" i="10"/>
  <c r="F60" i="10"/>
  <c r="E60" i="10"/>
  <c r="D60" i="10"/>
  <c r="C60" i="10"/>
  <c r="B60" i="10"/>
  <c r="B61" i="10"/>
  <c r="F44" i="4"/>
  <c r="M44" i="4"/>
  <c r="N44" i="4" s="1"/>
  <c r="F45" i="4"/>
  <c r="G45" i="4" s="1"/>
  <c r="M45" i="4"/>
  <c r="O45" i="4" s="1"/>
  <c r="F46" i="4"/>
  <c r="G46" i="4" s="1"/>
  <c r="M46" i="4"/>
  <c r="O46" i="4" s="1"/>
  <c r="F43" i="4"/>
  <c r="G43" i="4" s="1"/>
  <c r="M43" i="4"/>
  <c r="F42" i="4"/>
  <c r="G42" i="4" s="1"/>
  <c r="M42" i="4"/>
  <c r="F37" i="4"/>
  <c r="M37" i="4"/>
  <c r="F38" i="4"/>
  <c r="G38" i="4" s="1"/>
  <c r="H38" i="4" s="1"/>
  <c r="M38" i="4"/>
  <c r="F39" i="4"/>
  <c r="G39" i="4" s="1"/>
  <c r="M39" i="4"/>
  <c r="F40" i="4"/>
  <c r="G40" i="4" s="1"/>
  <c r="M40" i="4"/>
  <c r="N40" i="4" s="1"/>
  <c r="F41" i="4"/>
  <c r="M41" i="4"/>
  <c r="O41" i="4" s="1"/>
  <c r="N38" i="4"/>
  <c r="F33" i="4"/>
  <c r="G33" i="4" s="1"/>
  <c r="M33" i="4"/>
  <c r="O33" i="4" s="1"/>
  <c r="F34" i="4"/>
  <c r="G34" i="4" s="1"/>
  <c r="M34" i="4"/>
  <c r="O34" i="4" s="1"/>
  <c r="F35" i="4"/>
  <c r="G35" i="4" s="1"/>
  <c r="H35" i="4" s="1"/>
  <c r="M35" i="4"/>
  <c r="N35" i="4" s="1"/>
  <c r="F36" i="4"/>
  <c r="M36" i="4"/>
  <c r="O36" i="4" s="1"/>
  <c r="N33" i="4"/>
  <c r="P33" i="4" s="1"/>
  <c r="F32" i="4"/>
  <c r="M32" i="4"/>
  <c r="N32" i="4" s="1"/>
  <c r="M10" i="4"/>
  <c r="F10" i="4"/>
  <c r="M11" i="4"/>
  <c r="O11" i="4" s="1"/>
  <c r="F11" i="4"/>
  <c r="M16" i="4"/>
  <c r="N16" i="4" s="1"/>
  <c r="F16" i="4"/>
  <c r="G16" i="4" s="1"/>
  <c r="M18" i="4"/>
  <c r="F18" i="4"/>
  <c r="G18" i="4" s="1"/>
  <c r="M19" i="4"/>
  <c r="F19" i="4"/>
  <c r="G19" i="4" s="1"/>
  <c r="M20" i="4"/>
  <c r="N20" i="4" s="1"/>
  <c r="F20" i="4"/>
  <c r="M21" i="4"/>
  <c r="N21" i="4" s="1"/>
  <c r="F21" i="4"/>
  <c r="G21" i="4" s="1"/>
  <c r="M26" i="4"/>
  <c r="N26" i="4" s="1"/>
  <c r="F26" i="4"/>
  <c r="G26" i="4" s="1"/>
  <c r="M27" i="4"/>
  <c r="F27" i="4"/>
  <c r="G27" i="4" s="1"/>
  <c r="M28" i="4"/>
  <c r="O28" i="4" s="1"/>
  <c r="F28" i="4"/>
  <c r="G28" i="4"/>
  <c r="H28" i="4" s="1"/>
  <c r="M29" i="4"/>
  <c r="F29" i="4"/>
  <c r="G29" i="4" s="1"/>
  <c r="H29" i="4" s="1"/>
  <c r="M30" i="4"/>
  <c r="F30" i="4"/>
  <c r="G30" i="4" s="1"/>
  <c r="M31" i="4"/>
  <c r="O31" i="4" s="1"/>
  <c r="F31" i="4"/>
  <c r="F7" i="5"/>
  <c r="F9" i="3"/>
  <c r="G9" i="3" s="1"/>
  <c r="F5" i="5"/>
  <c r="F6" i="5"/>
  <c r="M3" i="4"/>
  <c r="N3" i="4" s="1"/>
  <c r="F3" i="4"/>
  <c r="G3" i="4" s="1"/>
  <c r="M4" i="4"/>
  <c r="F4" i="4"/>
  <c r="G4" i="4"/>
  <c r="M5" i="4"/>
  <c r="O5" i="4" s="1"/>
  <c r="F5" i="4"/>
  <c r="G5" i="4" s="1"/>
  <c r="M6" i="4"/>
  <c r="F6" i="4"/>
  <c r="M7" i="4"/>
  <c r="N7" i="4" s="1"/>
  <c r="F7" i="4"/>
  <c r="M8" i="4"/>
  <c r="N8" i="4"/>
  <c r="F8" i="4"/>
  <c r="G8" i="4" s="1"/>
  <c r="M9" i="4"/>
  <c r="F9" i="4"/>
  <c r="G9" i="4" s="1"/>
  <c r="M12" i="4"/>
  <c r="F12" i="4"/>
  <c r="G12" i="4" s="1"/>
  <c r="M13" i="4"/>
  <c r="F13" i="4"/>
  <c r="G13" i="4"/>
  <c r="M14" i="4"/>
  <c r="O14" i="4" s="1"/>
  <c r="F14" i="4"/>
  <c r="G14" i="4" s="1"/>
  <c r="M15" i="4"/>
  <c r="F15" i="4"/>
  <c r="G15" i="4" s="1"/>
  <c r="M17" i="4"/>
  <c r="N17" i="4" s="1"/>
  <c r="F17" i="4"/>
  <c r="M22" i="4"/>
  <c r="F22" i="4"/>
  <c r="G22" i="4" s="1"/>
  <c r="M23" i="4"/>
  <c r="O23" i="4" s="1"/>
  <c r="F23" i="4"/>
  <c r="G23" i="4" s="1"/>
  <c r="M24" i="4"/>
  <c r="O24" i="4" s="1"/>
  <c r="F24" i="4"/>
  <c r="G24" i="4" s="1"/>
  <c r="M25" i="4"/>
  <c r="N25" i="4" s="1"/>
  <c r="F25" i="4"/>
  <c r="G25" i="4" s="1"/>
  <c r="M156" i="4"/>
  <c r="F156" i="4"/>
  <c r="G156" i="4" s="1"/>
  <c r="H156" i="4" s="1"/>
  <c r="M157" i="4"/>
  <c r="O157" i="4" s="1"/>
  <c r="F157" i="4"/>
  <c r="G157" i="4" s="1"/>
  <c r="M9" i="3"/>
  <c r="F4" i="5"/>
  <c r="F3" i="5"/>
  <c r="F6" i="2"/>
  <c r="D5" i="2"/>
  <c r="D6" i="2"/>
  <c r="B6" i="2"/>
  <c r="B5" i="2"/>
  <c r="O22" i="4"/>
  <c r="H30" i="4"/>
  <c r="H26" i="4"/>
  <c r="N15" i="4"/>
  <c r="N6" i="4"/>
  <c r="O6" i="4"/>
  <c r="N24" i="4"/>
  <c r="O89" i="4" l="1"/>
  <c r="O104" i="4"/>
  <c r="O21" i="4"/>
  <c r="P21" i="4" s="1"/>
  <c r="O86" i="4"/>
  <c r="P86" i="4" s="1"/>
  <c r="O16" i="4"/>
  <c r="N61" i="4"/>
  <c r="P61" i="4" s="1"/>
  <c r="N77" i="4"/>
  <c r="P77" i="4" s="1"/>
  <c r="O67" i="4"/>
  <c r="P67" i="4" s="1"/>
  <c r="H8" i="4"/>
  <c r="N60" i="4"/>
  <c r="P60" i="4" s="1"/>
  <c r="N11" i="4"/>
  <c r="P11" i="4" s="1"/>
  <c r="O40" i="4"/>
  <c r="H71" i="4"/>
  <c r="O69" i="4"/>
  <c r="P69" i="4" s="1"/>
  <c r="N92" i="4"/>
  <c r="P92" i="4" s="1"/>
  <c r="G6" i="13"/>
  <c r="F4" i="13"/>
  <c r="G7" i="13"/>
  <c r="G8" i="13" s="1"/>
  <c r="G5" i="13"/>
  <c r="O51" i="4"/>
  <c r="P51" i="4" s="1"/>
  <c r="H62" i="4"/>
  <c r="N93" i="4"/>
  <c r="P93" i="4" s="1"/>
  <c r="N100" i="4"/>
  <c r="O113" i="4"/>
  <c r="N95" i="4"/>
  <c r="O25" i="4"/>
  <c r="P25" i="4" s="1"/>
  <c r="P40" i="4"/>
  <c r="H75" i="4"/>
  <c r="N80" i="4"/>
  <c r="N97" i="4"/>
  <c r="P97" i="4" s="1"/>
  <c r="H3" i="4"/>
  <c r="N34" i="4"/>
  <c r="N45" i="4"/>
  <c r="P45" i="4" s="1"/>
  <c r="O20" i="4"/>
  <c r="P20" i="4" s="1"/>
  <c r="H22" i="4"/>
  <c r="R40" i="4"/>
  <c r="O75" i="4"/>
  <c r="Q75" i="4" s="1"/>
  <c r="N105" i="4"/>
  <c r="P105" i="4" s="1"/>
  <c r="H126" i="4"/>
  <c r="N129" i="4"/>
  <c r="R16" i="4"/>
  <c r="P96" i="4"/>
  <c r="R104" i="4"/>
  <c r="P115" i="4"/>
  <c r="N157" i="4"/>
  <c r="P157" i="4" s="1"/>
  <c r="R24" i="4"/>
  <c r="N36" i="4"/>
  <c r="P36" i="4" s="1"/>
  <c r="O66" i="4"/>
  <c r="R66" i="4" s="1"/>
  <c r="P73" i="4"/>
  <c r="H80" i="4"/>
  <c r="Q80" i="4" s="1"/>
  <c r="H87" i="4"/>
  <c r="O101" i="4"/>
  <c r="P101" i="4" s="1"/>
  <c r="H114" i="4"/>
  <c r="O124" i="4"/>
  <c r="P124" i="4" s="1"/>
  <c r="O131" i="4"/>
  <c r="N59" i="4"/>
  <c r="P59" i="4" s="1"/>
  <c r="O64" i="4"/>
  <c r="P64" i="4" s="1"/>
  <c r="O68" i="4"/>
  <c r="P68" i="4" s="1"/>
  <c r="N90" i="4"/>
  <c r="H120" i="4"/>
  <c r="N121" i="4"/>
  <c r="R121" i="4" s="1"/>
  <c r="O32" i="4"/>
  <c r="P32" i="4" s="1"/>
  <c r="N28" i="4"/>
  <c r="Q28" i="4" s="1"/>
  <c r="N41" i="4"/>
  <c r="P41" i="4" s="1"/>
  <c r="N49" i="4"/>
  <c r="P49" i="4" s="1"/>
  <c r="N52" i="4"/>
  <c r="O53" i="4"/>
  <c r="P53" i="4" s="1"/>
  <c r="N56" i="4"/>
  <c r="P56" i="4" s="1"/>
  <c r="H76" i="4"/>
  <c r="O81" i="4"/>
  <c r="O85" i="4"/>
  <c r="P85" i="4" s="1"/>
  <c r="H90" i="4"/>
  <c r="Q90" i="4" s="1"/>
  <c r="O102" i="4"/>
  <c r="H104" i="4"/>
  <c r="Q104" i="4" s="1"/>
  <c r="H109" i="4"/>
  <c r="H117" i="4"/>
  <c r="R122" i="4"/>
  <c r="H124" i="4"/>
  <c r="Q132" i="4"/>
  <c r="O9" i="4"/>
  <c r="N9" i="4"/>
  <c r="N39" i="4"/>
  <c r="O39" i="4"/>
  <c r="O42" i="4"/>
  <c r="P42" i="4" s="1"/>
  <c r="N42" i="4"/>
  <c r="O50" i="4"/>
  <c r="N50" i="4"/>
  <c r="O55" i="4"/>
  <c r="P55" i="4" s="1"/>
  <c r="N55" i="4"/>
  <c r="N112" i="4"/>
  <c r="G123" i="4"/>
  <c r="H123" i="4" s="1"/>
  <c r="R123" i="4" s="1"/>
  <c r="H19" i="4"/>
  <c r="G31" i="4"/>
  <c r="H31" i="4" s="1"/>
  <c r="N19" i="4"/>
  <c r="O19" i="4"/>
  <c r="G51" i="4"/>
  <c r="H51" i="4" s="1"/>
  <c r="Q51" i="4" s="1"/>
  <c r="N62" i="4"/>
  <c r="P62" i="4" s="1"/>
  <c r="O74" i="4"/>
  <c r="N74" i="4"/>
  <c r="O87" i="4"/>
  <c r="N87" i="4"/>
  <c r="O112" i="4"/>
  <c r="R112" i="4" s="1"/>
  <c r="H24" i="4"/>
  <c r="Q24" i="4" s="1"/>
  <c r="O10" i="4"/>
  <c r="N12" i="4"/>
  <c r="O12" i="4"/>
  <c r="G32" i="4"/>
  <c r="R33" i="4"/>
  <c r="G37" i="4"/>
  <c r="H37" i="4" s="1"/>
  <c r="O43" i="4"/>
  <c r="N43" i="4"/>
  <c r="N76" i="4"/>
  <c r="O76" i="4"/>
  <c r="O120" i="4"/>
  <c r="R120" i="4" s="1"/>
  <c r="O123" i="4"/>
  <c r="P123" i="4" s="1"/>
  <c r="N4" i="4"/>
  <c r="O4" i="4"/>
  <c r="H5" i="4"/>
  <c r="N22" i="4"/>
  <c r="R22" i="4" s="1"/>
  <c r="H16" i="4"/>
  <c r="Q16" i="4" s="1"/>
  <c r="N23" i="4"/>
  <c r="P23" i="4" s="1"/>
  <c r="G17" i="4"/>
  <c r="H17" i="4" s="1"/>
  <c r="O15" i="4"/>
  <c r="R15" i="4" s="1"/>
  <c r="H13" i="4"/>
  <c r="O29" i="4"/>
  <c r="N29" i="4"/>
  <c r="O18" i="4"/>
  <c r="N18" i="4"/>
  <c r="G11" i="4"/>
  <c r="H11" i="4" s="1"/>
  <c r="Q11" i="4" s="1"/>
  <c r="N10" i="4"/>
  <c r="P34" i="4"/>
  <c r="G36" i="4"/>
  <c r="R36" i="4" s="1"/>
  <c r="R34" i="4"/>
  <c r="H42" i="4"/>
  <c r="G47" i="4"/>
  <c r="H47" i="4" s="1"/>
  <c r="N72" i="4"/>
  <c r="P72" i="4" s="1"/>
  <c r="R80" i="4"/>
  <c r="P80" i="4"/>
  <c r="H95" i="4"/>
  <c r="Q95" i="4" s="1"/>
  <c r="R95" i="4"/>
  <c r="N99" i="4"/>
  <c r="O99" i="4"/>
  <c r="O110" i="4"/>
  <c r="R110" i="4" s="1"/>
  <c r="N116" i="4"/>
  <c r="P116" i="4" s="1"/>
  <c r="P120" i="4"/>
  <c r="R130" i="4"/>
  <c r="N88" i="4"/>
  <c r="P88" i="4" s="1"/>
  <c r="R100" i="4"/>
  <c r="P6" i="4"/>
  <c r="H4" i="4"/>
  <c r="H53" i="4"/>
  <c r="P104" i="4"/>
  <c r="R125" i="4"/>
  <c r="R124" i="4"/>
  <c r="G6" i="2"/>
  <c r="G7" i="2"/>
  <c r="F4" i="2"/>
  <c r="G5" i="2"/>
  <c r="Q135" i="4"/>
  <c r="O9" i="3"/>
  <c r="N9" i="3"/>
  <c r="H25" i="4"/>
  <c r="H14" i="4"/>
  <c r="O13" i="4"/>
  <c r="N13" i="4"/>
  <c r="O27" i="4"/>
  <c r="N27" i="4"/>
  <c r="G85" i="4"/>
  <c r="H85" i="4" s="1"/>
  <c r="Q85" i="4" s="1"/>
  <c r="G89" i="4"/>
  <c r="R89" i="4" s="1"/>
  <c r="G105" i="4"/>
  <c r="H9" i="4"/>
  <c r="H21" i="4"/>
  <c r="R52" i="4"/>
  <c r="H52" i="4"/>
  <c r="Q52" i="4" s="1"/>
  <c r="G128" i="4"/>
  <c r="H128" i="4" s="1"/>
  <c r="R128" i="4" s="1"/>
  <c r="O7" i="4"/>
  <c r="P7" i="4" s="1"/>
  <c r="H12" i="4"/>
  <c r="G7" i="4"/>
  <c r="H7" i="4" s="1"/>
  <c r="O30" i="4"/>
  <c r="N30" i="4"/>
  <c r="P28" i="4"/>
  <c r="G10" i="4"/>
  <c r="H34" i="4"/>
  <c r="Q34" i="4" s="1"/>
  <c r="H40" i="4"/>
  <c r="Q40" i="4" s="1"/>
  <c r="H43" i="4"/>
  <c r="N47" i="4"/>
  <c r="O47" i="4"/>
  <c r="G88" i="4"/>
  <c r="G98" i="4"/>
  <c r="R98" i="4" s="1"/>
  <c r="P113" i="4"/>
  <c r="N5" i="4"/>
  <c r="R5" i="4" s="1"/>
  <c r="M158" i="4"/>
  <c r="H39" i="4"/>
  <c r="N37" i="4"/>
  <c r="O37" i="4"/>
  <c r="G44" i="4"/>
  <c r="H44" i="4" s="1"/>
  <c r="G49" i="4"/>
  <c r="G63" i="4"/>
  <c r="G67" i="4"/>
  <c r="R67" i="4" s="1"/>
  <c r="H70" i="4"/>
  <c r="N14" i="4"/>
  <c r="P14" i="4" s="1"/>
  <c r="G6" i="4"/>
  <c r="R6" i="4" s="1"/>
  <c r="P16" i="4"/>
  <c r="O35" i="4"/>
  <c r="P35" i="4" s="1"/>
  <c r="H33" i="4"/>
  <c r="Q33" i="4" s="1"/>
  <c r="O38" i="4"/>
  <c r="R38" i="4" s="1"/>
  <c r="R45" i="4"/>
  <c r="H78" i="4"/>
  <c r="N79" i="4"/>
  <c r="O79" i="4"/>
  <c r="P81" i="4"/>
  <c r="H23" i="4"/>
  <c r="Q23" i="4" s="1"/>
  <c r="H18" i="4"/>
  <c r="N31" i="4"/>
  <c r="R31" i="4" s="1"/>
  <c r="R156" i="4"/>
  <c r="N156" i="4"/>
  <c r="H46" i="4"/>
  <c r="H157" i="4"/>
  <c r="O17" i="4"/>
  <c r="P24" i="4"/>
  <c r="H15" i="4"/>
  <c r="O8" i="4"/>
  <c r="R8" i="4" s="1"/>
  <c r="O156" i="4"/>
  <c r="H9" i="3"/>
  <c r="O3" i="4"/>
  <c r="R3" i="4" s="1"/>
  <c r="R28" i="4"/>
  <c r="H27" i="4"/>
  <c r="G20" i="4"/>
  <c r="G41" i="4"/>
  <c r="H45" i="4"/>
  <c r="Q45" i="4" s="1"/>
  <c r="N48" i="4"/>
  <c r="P48" i="4" s="1"/>
  <c r="G50" i="4"/>
  <c r="G54" i="4"/>
  <c r="H54" i="4" s="1"/>
  <c r="G73" i="4"/>
  <c r="R73" i="4" s="1"/>
  <c r="H79" i="4"/>
  <c r="H83" i="4"/>
  <c r="G92" i="4"/>
  <c r="O109" i="4"/>
  <c r="N109" i="4"/>
  <c r="P52" i="4"/>
  <c r="O57" i="4"/>
  <c r="N57" i="4"/>
  <c r="G68" i="4"/>
  <c r="R68" i="4" s="1"/>
  <c r="H74" i="4"/>
  <c r="H77" i="4"/>
  <c r="R77" i="4"/>
  <c r="O83" i="4"/>
  <c r="R83" i="4" s="1"/>
  <c r="G93" i="4"/>
  <c r="G97" i="4"/>
  <c r="P100" i="4"/>
  <c r="G107" i="4"/>
  <c r="R107" i="4" s="1"/>
  <c r="O108" i="4"/>
  <c r="N108" i="4"/>
  <c r="H112" i="4"/>
  <c r="R126" i="4"/>
  <c r="O126" i="4"/>
  <c r="N126" i="4"/>
  <c r="P130" i="4"/>
  <c r="Q130" i="4"/>
  <c r="O26" i="4"/>
  <c r="R26" i="4" s="1"/>
  <c r="O44" i="4"/>
  <c r="H56" i="4"/>
  <c r="Q56" i="4" s="1"/>
  <c r="N58" i="4"/>
  <c r="H57" i="4"/>
  <c r="G59" i="4"/>
  <c r="R59" i="4" s="1"/>
  <c r="N65" i="4"/>
  <c r="H66" i="4"/>
  <c r="Q66" i="4" s="1"/>
  <c r="P66" i="4"/>
  <c r="H82" i="4"/>
  <c r="R90" i="4"/>
  <c r="Q96" i="4"/>
  <c r="H111" i="4"/>
  <c r="H113" i="4"/>
  <c r="Q113" i="4" s="1"/>
  <c r="G116" i="4"/>
  <c r="O118" i="4"/>
  <c r="O160" i="4" s="1"/>
  <c r="N118" i="4"/>
  <c r="N46" i="4"/>
  <c r="Q46" i="4" s="1"/>
  <c r="R51" i="4"/>
  <c r="H55" i="4"/>
  <c r="R60" i="4"/>
  <c r="G61" i="4"/>
  <c r="R61" i="4" s="1"/>
  <c r="N63" i="4"/>
  <c r="O63" i="4"/>
  <c r="G64" i="4"/>
  <c r="R64" i="4" s="1"/>
  <c r="O65" i="4"/>
  <c r="R65" i="4" s="1"/>
  <c r="N71" i="4"/>
  <c r="P71" i="4" s="1"/>
  <c r="N70" i="4"/>
  <c r="R70" i="4" s="1"/>
  <c r="H72" i="4"/>
  <c r="G81" i="4"/>
  <c r="R81" i="4" s="1"/>
  <c r="O82" i="4"/>
  <c r="N82" i="4"/>
  <c r="O84" i="4"/>
  <c r="N84" i="4"/>
  <c r="P90" i="4"/>
  <c r="H100" i="4"/>
  <c r="Q100" i="4" s="1"/>
  <c r="P107" i="4"/>
  <c r="R113" i="4"/>
  <c r="G115" i="4"/>
  <c r="R115" i="4" s="1"/>
  <c r="H118" i="4"/>
  <c r="Q124" i="4"/>
  <c r="N54" i="4"/>
  <c r="H65" i="4"/>
  <c r="H69" i="4"/>
  <c r="N78" i="4"/>
  <c r="R78" i="4" s="1"/>
  <c r="N91" i="4"/>
  <c r="Q91" i="4" s="1"/>
  <c r="G102" i="4"/>
  <c r="H102" i="4"/>
  <c r="G103" i="4"/>
  <c r="R103" i="4" s="1"/>
  <c r="G106" i="4"/>
  <c r="H106" i="4" s="1"/>
  <c r="O111" i="4"/>
  <c r="N111" i="4"/>
  <c r="O127" i="4"/>
  <c r="P127" i="4" s="1"/>
  <c r="R127" i="4"/>
  <c r="H129" i="4"/>
  <c r="R129" i="4" s="1"/>
  <c r="P131" i="4"/>
  <c r="P132" i="4"/>
  <c r="G86" i="4"/>
  <c r="P89" i="4"/>
  <c r="R96" i="4"/>
  <c r="P95" i="4"/>
  <c r="O94" i="4"/>
  <c r="N94" i="4"/>
  <c r="P98" i="4"/>
  <c r="P103" i="4"/>
  <c r="O106" i="4"/>
  <c r="P106" i="4" s="1"/>
  <c r="O114" i="4"/>
  <c r="P114" i="4" s="1"/>
  <c r="N117" i="4"/>
  <c r="N119" i="4"/>
  <c r="R119" i="4" s="1"/>
  <c r="P121" i="4"/>
  <c r="N122" i="4"/>
  <c r="P122" i="4" s="1"/>
  <c r="O125" i="4"/>
  <c r="P125" i="4" s="1"/>
  <c r="P129" i="4"/>
  <c r="G131" i="4"/>
  <c r="H131" i="4" s="1"/>
  <c r="Q133" i="4"/>
  <c r="P133" i="4"/>
  <c r="N128" i="4"/>
  <c r="B136" i="10"/>
  <c r="M10" i="3"/>
  <c r="G10" i="3"/>
  <c r="R49" i="4" l="1"/>
  <c r="R62" i="4"/>
  <c r="P19" i="4"/>
  <c r="Q121" i="4"/>
  <c r="R86" i="4"/>
  <c r="Q77" i="4"/>
  <c r="P57" i="4"/>
  <c r="R92" i="4"/>
  <c r="R75" i="4"/>
  <c r="R88" i="4"/>
  <c r="Q13" i="4"/>
  <c r="Q42" i="4"/>
  <c r="P74" i="4"/>
  <c r="R105" i="4"/>
  <c r="R116" i="4"/>
  <c r="R160" i="4" s="1"/>
  <c r="Q18" i="4"/>
  <c r="Q21" i="4"/>
  <c r="R21" i="4"/>
  <c r="P10" i="4"/>
  <c r="R118" i="4"/>
  <c r="Q60" i="4"/>
  <c r="R41" i="4"/>
  <c r="R25" i="4"/>
  <c r="Q69" i="4"/>
  <c r="R50" i="4"/>
  <c r="R4" i="4"/>
  <c r="Q117" i="4"/>
  <c r="R69" i="4"/>
  <c r="R37" i="4"/>
  <c r="P47" i="4"/>
  <c r="R99" i="4"/>
  <c r="R56" i="4"/>
  <c r="R87" i="4"/>
  <c r="R9" i="4"/>
  <c r="Q102" i="4"/>
  <c r="Q122" i="4"/>
  <c r="R102" i="4"/>
  <c r="Q15" i="4"/>
  <c r="H67" i="4"/>
  <c r="Q67" i="4" s="1"/>
  <c r="P75" i="4"/>
  <c r="Q17" i="4"/>
  <c r="P22" i="4"/>
  <c r="Q22" i="4"/>
  <c r="P102" i="4"/>
  <c r="Q106" i="4"/>
  <c r="Q99" i="4"/>
  <c r="P84" i="4"/>
  <c r="R97" i="4"/>
  <c r="R20" i="4"/>
  <c r="Q157" i="4"/>
  <c r="R27" i="4"/>
  <c r="P29" i="4"/>
  <c r="R101" i="4"/>
  <c r="P112" i="4"/>
  <c r="P39" i="4"/>
  <c r="R157" i="4"/>
  <c r="Q120" i="4"/>
  <c r="Q125" i="4"/>
  <c r="P99" i="4"/>
  <c r="Q101" i="4"/>
  <c r="R93" i="4"/>
  <c r="P79" i="4"/>
  <c r="P87" i="4"/>
  <c r="P30" i="4"/>
  <c r="Q25" i="4"/>
  <c r="P18" i="4"/>
  <c r="R32" i="4"/>
  <c r="R55" i="4"/>
  <c r="R42" i="4"/>
  <c r="P117" i="4"/>
  <c r="P111" i="4"/>
  <c r="P83" i="4"/>
  <c r="R44" i="4"/>
  <c r="R47" i="4"/>
  <c r="R85" i="4"/>
  <c r="R43" i="4"/>
  <c r="H36" i="4"/>
  <c r="Q36" i="4" s="1"/>
  <c r="P12" i="4"/>
  <c r="Q3" i="4"/>
  <c r="Q8" i="4"/>
  <c r="R13" i="4"/>
  <c r="P15" i="4"/>
  <c r="R53" i="4"/>
  <c r="H32" i="4"/>
  <c r="Q32" i="4" s="1"/>
  <c r="P50" i="4"/>
  <c r="P9" i="4"/>
  <c r="Q112" i="4"/>
  <c r="Q109" i="4"/>
  <c r="H61" i="4"/>
  <c r="Q61" i="4" s="1"/>
  <c r="Q53" i="4"/>
  <c r="Q126" i="4"/>
  <c r="Q108" i="4"/>
  <c r="R57" i="4"/>
  <c r="R11" i="4"/>
  <c r="H6" i="4"/>
  <c r="Q6" i="4" s="1"/>
  <c r="Q37" i="4"/>
  <c r="Q29" i="4"/>
  <c r="P76" i="4"/>
  <c r="Q87" i="4"/>
  <c r="R131" i="4"/>
  <c r="Q131" i="4"/>
  <c r="P118" i="4"/>
  <c r="Q30" i="4"/>
  <c r="Q79" i="4"/>
  <c r="R30" i="4"/>
  <c r="R18" i="4"/>
  <c r="P70" i="4"/>
  <c r="Q12" i="4"/>
  <c r="R12" i="4"/>
  <c r="Q9" i="4"/>
  <c r="Q76" i="4"/>
  <c r="R94" i="4"/>
  <c r="Q110" i="4"/>
  <c r="H103" i="4"/>
  <c r="Q103" i="4" s="1"/>
  <c r="Q72" i="4"/>
  <c r="H64" i="4"/>
  <c r="Q64" i="4" s="1"/>
  <c r="Q118" i="4"/>
  <c r="Q65" i="4"/>
  <c r="H59" i="4"/>
  <c r="Q59" i="4" s="1"/>
  <c r="Q83" i="4"/>
  <c r="R76" i="4"/>
  <c r="Q31" i="4"/>
  <c r="R39" i="4"/>
  <c r="Q47" i="4"/>
  <c r="R10" i="4"/>
  <c r="P9" i="3"/>
  <c r="R23" i="4"/>
  <c r="P4" i="4"/>
  <c r="R74" i="4"/>
  <c r="R111" i="4"/>
  <c r="Q55" i="4"/>
  <c r="P13" i="4"/>
  <c r="Q114" i="4"/>
  <c r="Q111" i="4"/>
  <c r="P110" i="4"/>
  <c r="Q74" i="4"/>
  <c r="H115" i="4"/>
  <c r="Q115" i="4" s="1"/>
  <c r="R82" i="4"/>
  <c r="P46" i="4"/>
  <c r="R114" i="4"/>
  <c r="P108" i="4"/>
  <c r="H93" i="4"/>
  <c r="Q93" i="4" s="1"/>
  <c r="H41" i="4"/>
  <c r="Q41" i="4" s="1"/>
  <c r="R17" i="4"/>
  <c r="Q19" i="4"/>
  <c r="Q27" i="4"/>
  <c r="R79" i="4"/>
  <c r="Q38" i="4"/>
  <c r="Q70" i="4"/>
  <c r="H49" i="4"/>
  <c r="Q49" i="4" s="1"/>
  <c r="Q39" i="4"/>
  <c r="H88" i="4"/>
  <c r="Q88" i="4" s="1"/>
  <c r="Q43" i="4"/>
  <c r="R29" i="4"/>
  <c r="P17" i="4"/>
  <c r="R72" i="4"/>
  <c r="Q4" i="4"/>
  <c r="P43" i="4"/>
  <c r="Q62" i="4"/>
  <c r="R19" i="4"/>
  <c r="Q123" i="4"/>
  <c r="H10" i="3"/>
  <c r="B10" i="3" s="1"/>
  <c r="Q9" i="3"/>
  <c r="N158" i="4"/>
  <c r="Q119" i="4"/>
  <c r="H98" i="4"/>
  <c r="Q98" i="4" s="1"/>
  <c r="R7" i="4"/>
  <c r="R14" i="4"/>
  <c r="Q57" i="4"/>
  <c r="Q129" i="4"/>
  <c r="Q84" i="4"/>
  <c r="P63" i="4"/>
  <c r="H50" i="4"/>
  <c r="Q50" i="4" s="1"/>
  <c r="P38" i="4"/>
  <c r="Q14" i="4"/>
  <c r="P37" i="4"/>
  <c r="Q5" i="4"/>
  <c r="Q94" i="4"/>
  <c r="R35" i="4"/>
  <c r="P8" i="4"/>
  <c r="H105" i="4"/>
  <c r="Q105" i="4" s="1"/>
  <c r="R9" i="3"/>
  <c r="R10" i="3" s="1"/>
  <c r="G12" i="5" s="1"/>
  <c r="P156" i="4"/>
  <c r="Q156" i="4"/>
  <c r="R63" i="4"/>
  <c r="G158" i="4"/>
  <c r="R84" i="4"/>
  <c r="R109" i="4"/>
  <c r="Q78" i="4"/>
  <c r="P78" i="4"/>
  <c r="Q82" i="4"/>
  <c r="H116" i="4"/>
  <c r="Q116" i="4" s="1"/>
  <c r="P65" i="4"/>
  <c r="Q48" i="4"/>
  <c r="O158" i="4"/>
  <c r="R46" i="4"/>
  <c r="Q7" i="4"/>
  <c r="H63" i="4"/>
  <c r="Q63" i="4" s="1"/>
  <c r="P128" i="4"/>
  <c r="Q128" i="4"/>
  <c r="P119" i="4"/>
  <c r="P54" i="4"/>
  <c r="Q54" i="4"/>
  <c r="Q71" i="4"/>
  <c r="R71" i="4"/>
  <c r="Q127" i="4"/>
  <c r="Q58" i="4"/>
  <c r="R58" i="4"/>
  <c r="Q44" i="4"/>
  <c r="P126" i="4"/>
  <c r="P94" i="4"/>
  <c r="H86" i="4"/>
  <c r="Q86" i="4" s="1"/>
  <c r="R106" i="4"/>
  <c r="P91" i="4"/>
  <c r="R91" i="4"/>
  <c r="P82" i="4"/>
  <c r="H81" i="4"/>
  <c r="Q81" i="4" s="1"/>
  <c r="R48" i="4"/>
  <c r="R117" i="4"/>
  <c r="P58" i="4"/>
  <c r="P44" i="4"/>
  <c r="Q26" i="4"/>
  <c r="P26" i="4"/>
  <c r="R108" i="4"/>
  <c r="H107" i="4"/>
  <c r="Q107" i="4" s="1"/>
  <c r="H97" i="4"/>
  <c r="Q97" i="4" s="1"/>
  <c r="H68" i="4"/>
  <c r="Q68" i="4" s="1"/>
  <c r="P109" i="4"/>
  <c r="H92" i="4"/>
  <c r="Q92" i="4" s="1"/>
  <c r="H73" i="4"/>
  <c r="Q73" i="4" s="1"/>
  <c r="R54" i="4"/>
  <c r="P31" i="4"/>
  <c r="P3" i="4"/>
  <c r="Q35" i="4"/>
  <c r="P5" i="4"/>
  <c r="H10" i="4"/>
  <c r="Q10" i="4" s="1"/>
  <c r="P27" i="4"/>
  <c r="H89" i="4"/>
  <c r="Q89" i="4" s="1"/>
  <c r="H20" i="4"/>
  <c r="Q20" i="4" s="1"/>
  <c r="O10" i="3"/>
  <c r="N10" i="3"/>
  <c r="R158" i="4" l="1"/>
  <c r="Q10" i="3"/>
  <c r="O159" i="4"/>
  <c r="Q158" i="4"/>
  <c r="H158" i="4"/>
  <c r="G11" i="5" l="1"/>
  <c r="G14" i="5" s="1"/>
</calcChain>
</file>

<file path=xl/sharedStrings.xml><?xml version="1.0" encoding="utf-8"?>
<sst xmlns="http://schemas.openxmlformats.org/spreadsheetml/2006/main" count="445" uniqueCount="136">
  <si>
    <t>張數</t>
    <phoneticPr fontId="2" type="noConversion"/>
  </si>
  <si>
    <t>買入成交價</t>
    <phoneticPr fontId="2" type="noConversion"/>
  </si>
  <si>
    <t>賣出成交價</t>
    <phoneticPr fontId="2" type="noConversion"/>
  </si>
  <si>
    <t>手續費</t>
  </si>
  <si>
    <t>買入股票金額</t>
    <phoneticPr fontId="2" type="noConversion"/>
  </si>
  <si>
    <t>賣出股票金額</t>
    <phoneticPr fontId="2" type="noConversion"/>
  </si>
  <si>
    <t>手續費折扣</t>
    <phoneticPr fontId="2" type="noConversion"/>
  </si>
  <si>
    <t>費用合計</t>
    <phoneticPr fontId="2" type="noConversion"/>
  </si>
  <si>
    <t>NET</t>
    <phoneticPr fontId="2" type="noConversion"/>
  </si>
  <si>
    <t>交易日</t>
    <phoneticPr fontId="2" type="noConversion"/>
  </si>
  <si>
    <t>成交價</t>
  </si>
  <si>
    <t>張數</t>
  </si>
  <si>
    <t>張數</t>
    <phoneticPr fontId="2" type="noConversion"/>
  </si>
  <si>
    <t>手續費折扣</t>
    <phoneticPr fontId="2" type="noConversion"/>
  </si>
  <si>
    <t>手續費</t>
    <phoneticPr fontId="2" type="noConversion"/>
  </si>
  <si>
    <t>買入</t>
    <phoneticPr fontId="2" type="noConversion"/>
  </si>
  <si>
    <t>賣出交易稅</t>
    <phoneticPr fontId="2" type="noConversion"/>
  </si>
  <si>
    <t>交易稅</t>
  </si>
  <si>
    <t>賣出</t>
    <phoneticPr fontId="2" type="noConversion"/>
  </si>
  <si>
    <t>股票交易
金額</t>
    <phoneticPr fontId="2" type="noConversion"/>
  </si>
  <si>
    <t>交易費用
總額</t>
    <phoneticPr fontId="2" type="noConversion"/>
  </si>
  <si>
    <t>交易費用
 總額</t>
    <phoneticPr fontId="2" type="noConversion"/>
  </si>
  <si>
    <t>手續費
折扣</t>
    <phoneticPr fontId="2" type="noConversion"/>
  </si>
  <si>
    <t>商品</t>
    <phoneticPr fontId="2" type="noConversion"/>
  </si>
  <si>
    <t>富邦金</t>
    <phoneticPr fontId="2" type="noConversion"/>
  </si>
  <si>
    <t>中信金</t>
    <phoneticPr fontId="2" type="noConversion"/>
  </si>
  <si>
    <t>成交NET</t>
    <phoneticPr fontId="2" type="noConversion"/>
  </si>
  <si>
    <t>現值NET</t>
    <phoneticPr fontId="2" type="noConversion"/>
  </si>
  <si>
    <t>NET</t>
    <phoneticPr fontId="2" type="noConversion"/>
  </si>
  <si>
    <t>未賣NET</t>
    <phoneticPr fontId="2" type="noConversion"/>
  </si>
  <si>
    <t>富邦金股利</t>
    <phoneticPr fontId="2" type="noConversion"/>
  </si>
  <si>
    <t>中信金股利</t>
    <phoneticPr fontId="2" type="noConversion"/>
  </si>
  <si>
    <t>成交記錄</t>
    <phoneticPr fontId="2" type="noConversion"/>
  </si>
  <si>
    <t>除息參考價</t>
    <phoneticPr fontId="2" type="noConversion"/>
  </si>
  <si>
    <t>已成交NET</t>
    <phoneticPr fontId="2" type="noConversion"/>
  </si>
  <si>
    <t>Total</t>
    <phoneticPr fontId="2" type="noConversion"/>
  </si>
  <si>
    <t>中壽</t>
    <phoneticPr fontId="2" type="noConversion"/>
  </si>
  <si>
    <t>本金</t>
    <phoneticPr fontId="2" type="noConversion"/>
  </si>
  <si>
    <t>中壽</t>
    <phoneticPr fontId="2" type="noConversion"/>
  </si>
  <si>
    <t>國泰金</t>
    <phoneticPr fontId="2" type="noConversion"/>
  </si>
  <si>
    <t>總扣除費用</t>
    <phoneticPr fontId="2" type="noConversion"/>
  </si>
  <si>
    <t>買賣支出</t>
    <phoneticPr fontId="2" type="noConversion"/>
  </si>
  <si>
    <t>智邦</t>
    <phoneticPr fontId="2" type="noConversion"/>
  </si>
  <si>
    <t>智邦</t>
    <phoneticPr fontId="2" type="noConversion"/>
  </si>
  <si>
    <t>富邦金</t>
    <phoneticPr fontId="2" type="noConversion"/>
  </si>
  <si>
    <t>total買賣手續費+交易稅</t>
    <phoneticPr fontId="2" type="noConversion"/>
  </si>
  <si>
    <t>智邦</t>
    <phoneticPr fontId="2" type="noConversion"/>
  </si>
  <si>
    <t>智邦</t>
    <phoneticPr fontId="2" type="noConversion"/>
  </si>
  <si>
    <t>華邦電</t>
    <phoneticPr fontId="2" type="noConversion"/>
  </si>
  <si>
    <t>賣出增加金額</t>
    <phoneticPr fontId="2" type="noConversion"/>
  </si>
  <si>
    <t>旺宏</t>
    <phoneticPr fontId="2" type="noConversion"/>
  </si>
  <si>
    <t>一月</t>
    <phoneticPr fontId="2" type="noConversion"/>
  </si>
  <si>
    <t>當日結餘</t>
    <phoneticPr fontId="2" type="noConversion"/>
  </si>
  <si>
    <t>2016年</t>
    <phoneticPr fontId="2" type="noConversion"/>
  </si>
  <si>
    <t>2017年</t>
    <phoneticPr fontId="2" type="noConversion"/>
  </si>
  <si>
    <t>月獲利</t>
    <phoneticPr fontId="2" type="noConversion"/>
  </si>
  <si>
    <t>年獲利</t>
    <phoneticPr fontId="2" type="noConversion"/>
  </si>
  <si>
    <t>十一月</t>
    <phoneticPr fontId="2" type="noConversion"/>
  </si>
  <si>
    <t>十二月</t>
    <phoneticPr fontId="2" type="noConversion"/>
  </si>
  <si>
    <t>Last Date</t>
    <phoneticPr fontId="2" type="noConversion"/>
  </si>
  <si>
    <t>交易日</t>
    <phoneticPr fontId="2" type="noConversion"/>
  </si>
  <si>
    <t>二月</t>
    <phoneticPr fontId="2" type="noConversion"/>
  </si>
  <si>
    <t>三月</t>
    <phoneticPr fontId="2" type="noConversion"/>
  </si>
  <si>
    <t>四月</t>
    <phoneticPr fontId="2" type="noConversion"/>
  </si>
  <si>
    <t>五月</t>
    <phoneticPr fontId="2" type="noConversion"/>
  </si>
  <si>
    <t>六月</t>
    <phoneticPr fontId="2" type="noConversion"/>
  </si>
  <si>
    <t>七月</t>
    <phoneticPr fontId="2" type="noConversion"/>
  </si>
  <si>
    <t>八月</t>
    <phoneticPr fontId="2" type="noConversion"/>
  </si>
  <si>
    <t>九月</t>
    <phoneticPr fontId="2" type="noConversion"/>
  </si>
  <si>
    <t>十月</t>
    <phoneticPr fontId="2" type="noConversion"/>
  </si>
  <si>
    <t>股票殖利率要怎麼計算呢?</t>
  </si>
  <si>
    <t>以台積電來說</t>
  </si>
  <si>
    <t>最近每年發放的現金股利都是3元</t>
  </si>
  <si>
    <t>如果你以100元買進的話</t>
  </si>
  <si>
    <r>
      <t>股票殖利率= [現金股利] 除以 [股價] =   3 ÷</t>
    </r>
    <r>
      <rPr>
        <b/>
        <sz val="20"/>
        <color rgb="FF444444"/>
        <rFont val="Arial"/>
        <family val="2"/>
      </rPr>
      <t> </t>
    </r>
    <r>
      <rPr>
        <b/>
        <sz val="20"/>
        <color rgb="FFCC0000"/>
        <rFont val="Arial"/>
        <family val="2"/>
      </rPr>
      <t>100 =  </t>
    </r>
    <r>
      <rPr>
        <b/>
        <u/>
        <sz val="20"/>
        <color rgb="FFCC0000"/>
        <rFont val="Arial"/>
        <family val="2"/>
      </rPr>
      <t>3%</t>
    </r>
  </si>
  <si>
    <t>威剛</t>
    <phoneticPr fontId="2" type="noConversion"/>
  </si>
  <si>
    <t>華邦電</t>
    <phoneticPr fontId="2" type="noConversion"/>
  </si>
  <si>
    <t>晶電</t>
    <phoneticPr fontId="2" type="noConversion"/>
  </si>
  <si>
    <t>南亞科</t>
    <phoneticPr fontId="2" type="noConversion"/>
  </si>
  <si>
    <t>2018年</t>
    <phoneticPr fontId="2" type="noConversion"/>
  </si>
  <si>
    <t>旺宏</t>
    <phoneticPr fontId="2" type="noConversion"/>
  </si>
  <si>
    <t>美琪瑪</t>
    <phoneticPr fontId="2" type="noConversion"/>
  </si>
  <si>
    <t>配2.4</t>
    <phoneticPr fontId="2" type="noConversion"/>
  </si>
  <si>
    <t>美琪瑪</t>
    <phoneticPr fontId="2" type="noConversion"/>
  </si>
  <si>
    <t>南亞科</t>
    <phoneticPr fontId="2" type="noConversion"/>
  </si>
  <si>
    <t>南亞科</t>
    <phoneticPr fontId="2" type="noConversion"/>
  </si>
  <si>
    <r>
      <t xml:space="preserve">當日結餘
</t>
    </r>
    <r>
      <rPr>
        <sz val="11"/>
        <color rgb="FFFF0000"/>
        <rFont val="新細明體"/>
        <family val="1"/>
        <charset val="136"/>
        <scheme val="minor"/>
      </rPr>
      <t>(電子股淡季)</t>
    </r>
    <phoneticPr fontId="2" type="noConversion"/>
  </si>
  <si>
    <t>篩選條件</t>
  </si>
  <si>
    <t>營收及EPS年成長持平或比前1年好</t>
  </si>
  <si>
    <t>現金股利發放率至少50％</t>
  </si>
  <si>
    <t>現金殖利率至少4％</t>
  </si>
  <si>
    <t>以台積電為例</t>
  </si>
  <si>
    <t>王昭弘這樣選配息好股</t>
    <phoneticPr fontId="2" type="noConversion"/>
  </si>
  <si>
    <t>股東權益報酬率ROE 15％以上</t>
    <phoneticPr fontId="2" type="noConversion"/>
  </si>
  <si>
    <t>環球晶</t>
    <phoneticPr fontId="2" type="noConversion"/>
  </si>
  <si>
    <t>2018/121/14</t>
    <phoneticPr fontId="2" type="noConversion"/>
  </si>
  <si>
    <t>2019年</t>
    <phoneticPr fontId="2" type="noConversion"/>
  </si>
  <si>
    <t>敦南</t>
    <phoneticPr fontId="2" type="noConversion"/>
  </si>
  <si>
    <t>新店</t>
    <phoneticPr fontId="2" type="noConversion"/>
  </si>
  <si>
    <t>弋果</t>
    <phoneticPr fontId="2" type="noConversion"/>
  </si>
  <si>
    <t>種籽</t>
    <phoneticPr fontId="2" type="noConversion"/>
  </si>
  <si>
    <t>再途</t>
    <phoneticPr fontId="2" type="noConversion"/>
  </si>
  <si>
    <t>智易</t>
    <phoneticPr fontId="2" type="noConversion"/>
  </si>
  <si>
    <t>現金total</t>
    <phoneticPr fontId="2" type="noConversion"/>
  </si>
  <si>
    <t>NET</t>
    <phoneticPr fontId="2" type="noConversion"/>
  </si>
  <si>
    <r>
      <t xml:space="preserve">影響債券價格的因素：（一） 
（１）市場利率。 
當市場利率上升時，用于債券投資的資金減少，於是債券價格下跌；當貨幣市場利率下降時，債券價格上漲。 
（２）經濟發展情況。當經濟發展處於上升趨勢時，生產對資金的需求量較大，投資需求上升，債券的發行量增加，市場利率上長，由此推動債券價格下降；當經濟不景氣時，債券價格反而會上升。 
（３）物價水準。 
物價水準上漲過快時，人們出於保值的需要，將資金投向房地產等其他可以保值的物品，債券供過於求，價格下降。 
（４）中央銀行的公開市場操作。 
作為調節貨幣供應量的重要手段，中央銀行在信用擴張時在市場上拋售債券，使債券價格下跌。而當信用萎縮時，中央銀行又從市場上買進債券，使債券價格上漲。 
（５）新債券的發行量。 
當新債券的發行量超過一定限度時，會破壞債券市場的供求平衡，促使債券價格下跌。 
（６）投機操縱。 
在債券交易中的人為操縱，會使債券價格出現較大的波動。 
（７）匯率。 
當某種外匯升值時，就會吸引投資者購買以該種外匯標值的債券，從而促使債券價格上漲；反之，當某種外匯貶值時，以這種貨幣標值的債券價格就會下跌。
</t>
    </r>
    <r>
      <rPr>
        <sz val="9"/>
        <color theme="1"/>
        <rFont val="新細明體"/>
        <family val="1"/>
        <charset val="136"/>
        <scheme val="minor"/>
      </rPr>
      <t xml:space="preserve">
最主要的是利率 
其次是債信評等 
再其次是到期日 
所謂「殖利率」則意指買入債券之後，一直持有至到期的實質年平均投資報酬率。「殖利率」會隨市場行情波動而有所漲跌，例如通貨膨脹變化或市場利率波動、供需面的影響，使債券的價格變動，投資人從不同時點買進債券時，則其實際的交易價格常與票面價格會有不同，但到期時，投資人仍收回等同於票面價格的價值，因此投資債券的實質報酬率，除了包含持有到期為止，定期可領到的利息收入外，還包括了潛在的資本盈虧。 
舉例來說，如果市場利率持續下滑的話，已發行且債息相對較高的債券顯得較吸引人，因此該債券價格就會節節攀高，甚至會高過債券的面值，這時新的投資者通常要以高於面額的價格，買入債券，而當這檔債券到期時，投資者僅會收到等同於債券面值的償還金額，所以當債券價格攀高時，新的投資者買入債券成本較高，使得其「殖利率」即實質投資報酬率較之前下降；反之亦然，所以就好像遊樂場上的翹翹板，債券價格在一端，殖利率在另一端，債券的價格向下，「殖利率」就會上升。 
例如，您在1996年花1,000元美金買下 30 年期，票面利率6%的美國政府公債，從此每年固定可以領取 60 元美金的利息，但是五年之後 
，也就是 2001年，經濟環境改變了- 通貨膨脹下滑、市場利率也降低到 4% 的水準，這時您手中配息較高 (6%) 的債券就變得很有吸引力，因此其他投資人願意花比 1,000 美金更高的價格來購買</t>
    </r>
    <phoneticPr fontId="2" type="noConversion"/>
  </si>
  <si>
    <t>台新2019/3/18</t>
    <phoneticPr fontId="2" type="noConversion"/>
  </si>
  <si>
    <r>
      <rPr>
        <sz val="14"/>
        <color rgb="FF000000"/>
        <rFont val="細明體"/>
        <family val="3"/>
        <charset val="136"/>
      </rPr>
      <t>股市阿水操作心法：
布林通道以</t>
    </r>
    <r>
      <rPr>
        <sz val="14"/>
        <color rgb="FF000000"/>
        <rFont val="Helvetica"/>
        <family val="2"/>
      </rPr>
      <t>20</t>
    </r>
    <r>
      <rPr>
        <sz val="14"/>
        <color rgb="FF000000"/>
        <rFont val="細明體"/>
        <family val="3"/>
        <charset val="136"/>
      </rPr>
      <t>日移動平均線（</t>
    </r>
    <r>
      <rPr>
        <sz val="14"/>
        <color rgb="FF000000"/>
        <rFont val="Helvetica"/>
        <family val="2"/>
      </rPr>
      <t>20MA</t>
    </r>
    <r>
      <rPr>
        <sz val="14"/>
        <color rgb="FF000000"/>
        <rFont val="細明體"/>
        <family val="3"/>
        <charset val="136"/>
      </rPr>
      <t>）為中線，上下加減</t>
    </r>
    <r>
      <rPr>
        <sz val="14"/>
        <color rgb="FF000000"/>
        <rFont val="Helvetica"/>
        <family val="2"/>
      </rPr>
      <t>2</t>
    </r>
    <r>
      <rPr>
        <sz val="14"/>
        <color rgb="FF000000"/>
        <rFont val="細明體"/>
        <family val="3"/>
        <charset val="136"/>
      </rPr>
      <t>個標準差為上通道及下通道，一般券商軟體大多設定</t>
    </r>
    <r>
      <rPr>
        <sz val="14"/>
        <color rgb="FF000000"/>
        <rFont val="Helvetica"/>
        <family val="2"/>
      </rPr>
      <t>2</t>
    </r>
    <r>
      <rPr>
        <sz val="14"/>
        <color rgb="FF000000"/>
        <rFont val="細明體"/>
        <family val="3"/>
        <charset val="136"/>
      </rPr>
      <t>個標準差，但股市阿水是採</t>
    </r>
    <r>
      <rPr>
        <sz val="14"/>
        <color rgb="FF000000"/>
        <rFont val="Helvetica"/>
        <family val="2"/>
      </rPr>
      <t>2.1</t>
    </r>
    <r>
      <rPr>
        <sz val="14"/>
        <color rgb="FF000000"/>
        <rFont val="細明體"/>
        <family val="3"/>
        <charset val="136"/>
      </rPr>
      <t>個標準差，避開可能太早出場的判斷。
「壓縮、帶量、紅</t>
    </r>
    <r>
      <rPr>
        <sz val="14"/>
        <color rgb="FF000000"/>
        <rFont val="Helvetica"/>
        <family val="2"/>
      </rPr>
      <t>K</t>
    </r>
    <r>
      <rPr>
        <sz val="14"/>
        <color rgb="FF000000"/>
        <rFont val="細明體"/>
        <family val="3"/>
        <charset val="136"/>
      </rPr>
      <t>突破上通道」是股市阿水做多的賺錢口訣，他心中的好股必須，股價壓縮至少</t>
    </r>
    <r>
      <rPr>
        <sz val="14"/>
        <color rgb="FF000000"/>
        <rFont val="Helvetica"/>
        <family val="2"/>
      </rPr>
      <t>10</t>
    </r>
    <r>
      <rPr>
        <sz val="14"/>
        <color rgb="FF000000"/>
        <rFont val="細明體"/>
        <family val="3"/>
        <charset val="136"/>
      </rPr>
      <t>個交易日、成交量出現過去</t>
    </r>
    <r>
      <rPr>
        <sz val="14"/>
        <color rgb="FF000000"/>
        <rFont val="Helvetica"/>
        <family val="2"/>
      </rPr>
      <t>5</t>
    </r>
    <r>
      <rPr>
        <sz val="14"/>
        <color rgb="FF000000"/>
        <rFont val="細明體"/>
        <family val="3"/>
        <charset val="136"/>
      </rPr>
      <t>日均量的</t>
    </r>
    <r>
      <rPr>
        <sz val="14"/>
        <color rgb="FF000000"/>
        <rFont val="Helvetica"/>
        <family val="2"/>
      </rPr>
      <t>2</t>
    </r>
    <r>
      <rPr>
        <sz val="14"/>
        <color rgb="FF000000"/>
        <rFont val="細明體"/>
        <family val="3"/>
        <charset val="136"/>
      </rPr>
      <t>～</t>
    </r>
    <r>
      <rPr>
        <sz val="14"/>
        <color rgb="FF000000"/>
        <rFont val="Helvetica"/>
        <family val="2"/>
      </rPr>
      <t>10</t>
    </r>
    <r>
      <rPr>
        <sz val="14"/>
        <color rgb="FF000000"/>
        <rFont val="細明體"/>
        <family val="3"/>
        <charset val="136"/>
      </rPr>
      <t>倍、當日收盤價突破上通道且收紅</t>
    </r>
    <r>
      <rPr>
        <sz val="14"/>
        <color rgb="FF000000"/>
        <rFont val="Helvetica"/>
        <family val="2"/>
      </rPr>
      <t>K</t>
    </r>
    <r>
      <rPr>
        <sz val="14"/>
        <color rgb="FF000000"/>
        <rFont val="細明體"/>
        <family val="3"/>
        <charset val="136"/>
      </rPr>
      <t>棒。「在操作上，壓縮和帶量是有妥協空間的，但是紅</t>
    </r>
    <r>
      <rPr>
        <sz val="14"/>
        <color rgb="FF000000"/>
        <rFont val="Helvetica"/>
        <family val="2"/>
      </rPr>
      <t>K</t>
    </r>
    <r>
      <rPr>
        <sz val="14"/>
        <color rgb="FF000000"/>
        <rFont val="細明體"/>
        <family val="3"/>
        <charset val="136"/>
      </rPr>
      <t>突破上通道一定要符合。」阿水解釋，壓縮會希望布林帶越窄越好，壓縮時間越長越好，但如果沒有壓縮達</t>
    </r>
    <r>
      <rPr>
        <sz val="14"/>
        <color rgb="FF000000"/>
        <rFont val="Helvetica"/>
        <family val="2"/>
      </rPr>
      <t>10</t>
    </r>
    <r>
      <rPr>
        <sz val="14"/>
        <color rgb="FF000000"/>
        <rFont val="細明體"/>
        <family val="3"/>
        <charset val="136"/>
      </rPr>
      <t>個交易日，至少一定要經過盤整，因為有的個股可能已經漲過，帶寬未必窄；帶量的妥協標準則是，低價股超過</t>
    </r>
    <r>
      <rPr>
        <sz val="14"/>
        <color rgb="FF000000"/>
        <rFont val="Helvetica"/>
        <family val="2"/>
      </rPr>
      <t>10</t>
    </r>
    <r>
      <rPr>
        <sz val="14"/>
        <color rgb="FF000000"/>
        <rFont val="細明體"/>
        <family val="3"/>
        <charset val="136"/>
      </rPr>
      <t>倍、高價股僅</t>
    </r>
    <r>
      <rPr>
        <sz val="14"/>
        <color rgb="FF000000"/>
        <rFont val="Helvetica"/>
        <family val="2"/>
      </rPr>
      <t>1.7</t>
    </r>
    <r>
      <rPr>
        <sz val="14"/>
        <color rgb="FF000000"/>
        <rFont val="細明體"/>
        <family val="3"/>
        <charset val="136"/>
      </rPr>
      <t>倍，是可接受範圍。
以型態或線型選股，高手可能不執著於基本面，但股市阿水堅持負債比率超過</t>
    </r>
    <r>
      <rPr>
        <sz val="14"/>
        <color rgb="FF000000"/>
        <rFont val="Helvetica"/>
        <family val="2"/>
      </rPr>
      <t>50%</t>
    </r>
    <r>
      <rPr>
        <sz val="14"/>
        <color rgb="FF000000"/>
        <rFont val="細明體"/>
        <family val="3"/>
        <charset val="136"/>
      </rPr>
      <t>的個股不碰，除此之外，日成交金額小於</t>
    </r>
    <r>
      <rPr>
        <sz val="14"/>
        <color rgb="FF000000"/>
        <rFont val="Helvetica"/>
        <family val="2"/>
      </rPr>
      <t>1,000</t>
    </r>
    <r>
      <rPr>
        <sz val="14"/>
        <color rgb="FF000000"/>
        <rFont val="細明體"/>
        <family val="3"/>
        <charset val="136"/>
      </rPr>
      <t>萬元（如股價</t>
    </r>
    <r>
      <rPr>
        <sz val="14"/>
        <color rgb="FF000000"/>
        <rFont val="Helvetica"/>
        <family val="2"/>
      </rPr>
      <t>10</t>
    </r>
    <r>
      <rPr>
        <sz val="14"/>
        <color rgb="FF000000"/>
        <rFont val="細明體"/>
        <family val="3"/>
        <charset val="136"/>
      </rPr>
      <t>元以下、</t>
    </r>
    <r>
      <rPr>
        <sz val="14"/>
        <color rgb="FF000000"/>
        <rFont val="Helvetica"/>
        <family val="2"/>
      </rPr>
      <t>5</t>
    </r>
    <r>
      <rPr>
        <sz val="14"/>
        <color rgb="FF000000"/>
        <rFont val="細明體"/>
        <family val="3"/>
        <charset val="136"/>
      </rPr>
      <t>日均量</t>
    </r>
    <r>
      <rPr>
        <sz val="14"/>
        <color rgb="FF000000"/>
        <rFont val="Helvetica"/>
        <family val="2"/>
      </rPr>
      <t>1,000</t>
    </r>
    <r>
      <rPr>
        <sz val="14"/>
        <color rgb="FF000000"/>
        <rFont val="細明體"/>
        <family val="3"/>
        <charset val="136"/>
      </rPr>
      <t>張以下）、大型牛皮股及上檔壓力大的個股，他也認為不適用此招。
阿水自認是「價差交易者」，而非「價值投資者」，因此他謹守停利停損原則，「買進之後，如果看錯、賠超過</t>
    </r>
    <r>
      <rPr>
        <sz val="14"/>
        <color rgb="FF000000"/>
        <rFont val="Helvetica"/>
        <family val="2"/>
      </rPr>
      <t>5%</t>
    </r>
    <r>
      <rPr>
        <sz val="14"/>
        <color rgb="FF000000"/>
        <rFont val="細明體"/>
        <family val="3"/>
        <charset val="136"/>
      </rPr>
      <t>，立刻停損出場；停利點則是跌破布林通道中線，或者大盤出現紅燈或不明訊號時，我也會收回資金。」過去</t>
    </r>
    <r>
      <rPr>
        <sz val="14"/>
        <color rgb="FF000000"/>
        <rFont val="Helvetica"/>
        <family val="2"/>
      </rPr>
      <t>10</t>
    </r>
    <r>
      <rPr>
        <sz val="14"/>
        <color rgb="FF000000"/>
        <rFont val="細明體"/>
        <family val="3"/>
        <charset val="136"/>
      </rPr>
      <t>年來，靈活進出讓他維持大賺小賠的成績，其中，玉晶光、國巨、華亞科、台表科都是近</t>
    </r>
    <r>
      <rPr>
        <sz val="14"/>
        <color rgb="FF000000"/>
        <rFont val="Helvetica"/>
        <family val="2"/>
      </rPr>
      <t>2</t>
    </r>
    <r>
      <rPr>
        <sz val="14"/>
        <color rgb="FF000000"/>
        <rFont val="細明體"/>
        <family val="3"/>
        <charset val="136"/>
      </rPr>
      <t>年每次出手有</t>
    </r>
    <r>
      <rPr>
        <sz val="14"/>
        <color rgb="FF000000"/>
        <rFont val="Helvetica"/>
        <family val="2"/>
      </rPr>
      <t>1</t>
    </r>
    <r>
      <rPr>
        <sz val="14"/>
        <color rgb="FF000000"/>
        <rFont val="細明體"/>
        <family val="3"/>
        <charset val="136"/>
      </rPr>
      <t>～</t>
    </r>
    <r>
      <rPr>
        <sz val="14"/>
        <color rgb="FF000000"/>
        <rFont val="Helvetica"/>
        <family val="2"/>
      </rPr>
      <t>5</t>
    </r>
    <r>
      <rPr>
        <sz val="14"/>
        <color rgb="FF000000"/>
        <rFont val="細明體"/>
        <family val="3"/>
        <charset val="136"/>
      </rPr>
      <t>成不等獲利的操作名單。</t>
    </r>
    <phoneticPr fontId="2" type="noConversion"/>
  </si>
  <si>
    <t>台股</t>
    <phoneticPr fontId="2" type="noConversion"/>
  </si>
  <si>
    <t>美股USD</t>
    <phoneticPr fontId="2" type="noConversion"/>
  </si>
  <si>
    <t>股數</t>
    <phoneticPr fontId="2" type="noConversion"/>
  </si>
  <si>
    <t>台幣*30</t>
    <phoneticPr fontId="2" type="noConversion"/>
  </si>
  <si>
    <t>賣出市場規費一</t>
    <phoneticPr fontId="2" type="noConversion"/>
  </si>
  <si>
    <t>賣出市場規費二</t>
    <phoneticPr fontId="2" type="noConversion"/>
  </si>
  <si>
    <t>手續+規費總計</t>
    <phoneticPr fontId="2" type="noConversion"/>
  </si>
  <si>
    <t>*** 配息前10天注意被急殺 ***</t>
    <phoneticPr fontId="2" type="noConversion"/>
  </si>
  <si>
    <t>股息入帳日</t>
    <phoneticPr fontId="2" type="noConversion"/>
  </si>
  <si>
    <t>玉晶光</t>
    <phoneticPr fontId="2" type="noConversion"/>
  </si>
  <si>
    <t>聯發科</t>
    <phoneticPr fontId="2" type="noConversion"/>
  </si>
  <si>
    <t>29019/10/31</t>
    <phoneticPr fontId="2" type="noConversion"/>
  </si>
  <si>
    <t>利息</t>
    <phoneticPr fontId="25" type="noConversion"/>
  </si>
  <si>
    <t>貨款金額</t>
    <phoneticPr fontId="25" type="noConversion"/>
  </si>
  <si>
    <t>貨款利率%</t>
    <phoneticPr fontId="25" type="noConversion"/>
  </si>
  <si>
    <t>截止日期</t>
    <phoneticPr fontId="25" type="noConversion"/>
  </si>
  <si>
    <t>起算日期</t>
    <phoneticPr fontId="25" type="noConversion"/>
  </si>
  <si>
    <t>日數</t>
    <phoneticPr fontId="25" type="noConversion"/>
  </si>
  <si>
    <t>TOTAL</t>
    <phoneticPr fontId="2" type="noConversion"/>
  </si>
  <si>
    <t>在途NET</t>
    <phoneticPr fontId="2" type="noConversion"/>
  </si>
  <si>
    <t>貸款</t>
    <phoneticPr fontId="2" type="noConversion"/>
  </si>
  <si>
    <r>
      <t xml:space="preserve">當日結餘
</t>
    </r>
    <r>
      <rPr>
        <sz val="10"/>
        <color rgb="FFFF0000"/>
        <rFont val="新細明體"/>
        <family val="1"/>
        <charset val="136"/>
        <scheme val="minor"/>
      </rPr>
      <t>(電子股淡季
2/10後加碼)</t>
    </r>
    <phoneticPr fontId="2" type="noConversion"/>
  </si>
  <si>
    <t>**增資必跌 **</t>
    <phoneticPr fontId="2" type="noConversion"/>
  </si>
  <si>
    <r>
      <t xml:space="preserve">當日結餘
</t>
    </r>
    <r>
      <rPr>
        <b/>
        <sz val="12"/>
        <color rgb="FFFF0000"/>
        <rFont val="新細明體"/>
        <family val="1"/>
        <charset val="136"/>
        <scheme val="minor"/>
      </rPr>
      <t>(5號後作帳行情)</t>
    </r>
    <phoneticPr fontId="2" type="noConversion"/>
  </si>
  <si>
    <r>
      <t xml:space="preserve">當日結餘
</t>
    </r>
    <r>
      <rPr>
        <b/>
        <sz val="11"/>
        <color rgb="FFFF0000"/>
        <rFont val="新細明體"/>
        <family val="1"/>
        <charset val="136"/>
        <scheme val="minor"/>
      </rPr>
      <t>(電子股淡季/不要持股</t>
    </r>
    <r>
      <rPr>
        <sz val="11"/>
        <color rgb="FFFF0000"/>
        <rFont val="新細明體"/>
        <family val="1"/>
        <charset val="136"/>
        <scheme val="minor"/>
      </rPr>
      <t>)</t>
    </r>
    <phoneticPr fontId="2" type="noConversion"/>
  </si>
  <si>
    <r>
      <t xml:space="preserve">當日結餘
</t>
    </r>
    <r>
      <rPr>
        <b/>
        <sz val="11"/>
        <color rgb="FFFF0000"/>
        <rFont val="新細明體"/>
        <family val="1"/>
        <charset val="136"/>
        <scheme val="minor"/>
      </rPr>
      <t>(電子股淡季
-5號後作帳行情)</t>
    </r>
    <phoneticPr fontId="2" type="noConversion"/>
  </si>
  <si>
    <r>
      <t xml:space="preserve">當日結餘
</t>
    </r>
    <r>
      <rPr>
        <sz val="11"/>
        <color rgb="FFFF0000"/>
        <rFont val="新細明體"/>
        <family val="1"/>
        <charset val="136"/>
        <scheme val="minor"/>
      </rPr>
      <t>(電子股淡季
不要持股))</t>
    </r>
    <phoneticPr fontId="2" type="noConversion"/>
  </si>
  <si>
    <t>2020年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</si>
</sst>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"/>
    <numFmt numFmtId="177" formatCode="0.00000_ "/>
    <numFmt numFmtId="178" formatCode="&quot;$&quot;#,##0.00000"/>
    <numFmt numFmtId="179" formatCode="[$-404]e&quot;年&quot;m&quot;月&quot;d&quot;日&quot;;@"/>
  </numFmts>
  <fonts count="2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7"/>
      <color rgb="FFFF6600"/>
      <name val="Arial"/>
      <family val="2"/>
    </font>
    <font>
      <sz val="14"/>
      <color rgb="FF000000"/>
      <name val="Arial"/>
      <family val="2"/>
    </font>
    <font>
      <b/>
      <sz val="20"/>
      <color rgb="FFCC0000"/>
      <name val="Arial"/>
      <family val="2"/>
    </font>
    <font>
      <b/>
      <sz val="20"/>
      <color rgb="FF444444"/>
      <name val="Arial"/>
      <family val="2"/>
    </font>
    <font>
      <b/>
      <u/>
      <sz val="20"/>
      <color rgb="FFCC0000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1"/>
      <color rgb="FFFF0000"/>
      <name val="新細明體"/>
      <family val="1"/>
      <charset val="136"/>
      <scheme val="minor"/>
    </font>
    <font>
      <b/>
      <sz val="16.8"/>
      <color theme="1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9"/>
      <color theme="1"/>
      <name val="新細明體"/>
      <family val="2"/>
      <charset val="136"/>
      <scheme val="minor"/>
    </font>
    <font>
      <sz val="9"/>
      <color theme="1"/>
      <name val="新細明體"/>
      <family val="1"/>
      <charset val="136"/>
      <scheme val="minor"/>
    </font>
    <font>
      <sz val="14"/>
      <color rgb="FF000000"/>
      <name val="Helvetica"/>
      <family val="2"/>
    </font>
    <font>
      <sz val="14"/>
      <color rgb="FF000000"/>
      <name val="細明體"/>
      <family val="3"/>
      <charset val="136"/>
    </font>
    <font>
      <b/>
      <sz val="16"/>
      <color rgb="FFFF0000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1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vertical="center"/>
    </xf>
    <xf numFmtId="176" fontId="0" fillId="2" borderId="1" xfId="0" applyNumberFormat="1" applyFill="1" applyBorder="1" applyAlignment="1">
      <alignment horizontal="right" vertical="center"/>
    </xf>
    <xf numFmtId="176" fontId="0" fillId="2" borderId="1" xfId="0" applyNumberForma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4" borderId="1" xfId="0" applyFill="1" applyBorder="1" applyAlignmen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7" borderId="1" xfId="0" applyFill="1" applyBorder="1" applyAlignment="1">
      <alignment vertical="center" wrapText="1"/>
    </xf>
    <xf numFmtId="14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3" borderId="1" xfId="0" applyFill="1" applyBorder="1" applyAlignment="1">
      <alignment vertical="center" wrapText="1"/>
    </xf>
    <xf numFmtId="0" fontId="0" fillId="8" borderId="1" xfId="0" applyFill="1" applyBorder="1">
      <alignment vertical="center"/>
    </xf>
    <xf numFmtId="176" fontId="0" fillId="8" borderId="1" xfId="0" applyNumberFormat="1" applyFill="1" applyBorder="1">
      <alignment vertical="center"/>
    </xf>
    <xf numFmtId="0" fontId="0" fillId="7" borderId="4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8" xfId="0" applyFill="1" applyBorder="1" applyAlignment="1">
      <alignment vertical="center" wrapText="1"/>
    </xf>
    <xf numFmtId="176" fontId="0" fillId="0" borderId="8" xfId="0" applyNumberFormat="1" applyFill="1" applyBorder="1">
      <alignment vertical="center"/>
    </xf>
    <xf numFmtId="0" fontId="0" fillId="0" borderId="0" xfId="0" applyFill="1" applyBorder="1" applyAlignment="1">
      <alignment vertical="center" wrapText="1"/>
    </xf>
    <xf numFmtId="176" fontId="0" fillId="0" borderId="0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176" fontId="1" fillId="0" borderId="0" xfId="0" applyNumberFormat="1" applyFont="1">
      <alignment vertical="center"/>
    </xf>
    <xf numFmtId="0" fontId="12" fillId="0" borderId="1" xfId="0" applyNumberFormat="1" applyFont="1" applyBorder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12" fillId="2" borderId="1" xfId="0" applyFont="1" applyFill="1" applyBorder="1">
      <alignment vertical="center"/>
    </xf>
    <xf numFmtId="176" fontId="12" fillId="2" borderId="1" xfId="0" applyNumberFormat="1" applyFont="1" applyFill="1" applyBorder="1">
      <alignment vertical="center"/>
    </xf>
    <xf numFmtId="176" fontId="12" fillId="2" borderId="7" xfId="0" applyNumberFormat="1" applyFont="1" applyFill="1" applyBorder="1" applyAlignment="1">
      <alignment horizontal="center" vertical="center"/>
    </xf>
    <xf numFmtId="176" fontId="0" fillId="9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10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176" fontId="15" fillId="5" borderId="1" xfId="0" applyNumberFormat="1" applyFont="1" applyFill="1" applyBorder="1">
      <alignment vertical="center"/>
    </xf>
    <xf numFmtId="0" fontId="16" fillId="5" borderId="1" xfId="0" applyFont="1" applyFill="1" applyBorder="1">
      <alignment vertical="center"/>
    </xf>
    <xf numFmtId="176" fontId="0" fillId="11" borderId="1" xfId="0" applyNumberFormat="1" applyFill="1" applyBorder="1">
      <alignment vertical="center"/>
    </xf>
    <xf numFmtId="0" fontId="0" fillId="11" borderId="1" xfId="0" applyFill="1" applyBorder="1">
      <alignment vertical="center"/>
    </xf>
    <xf numFmtId="176" fontId="1" fillId="11" borderId="1" xfId="0" applyNumberFormat="1" applyFont="1" applyFill="1" applyBorder="1">
      <alignment vertical="center"/>
    </xf>
    <xf numFmtId="0" fontId="18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3" borderId="1" xfId="0" applyFill="1" applyBorder="1" applyAlignment="1">
      <alignment horizontal="center" vertical="center"/>
    </xf>
    <xf numFmtId="176" fontId="1" fillId="2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176" fontId="0" fillId="6" borderId="1" xfId="0" applyNumberFormat="1" applyFill="1" applyBorder="1">
      <alignment vertical="center"/>
    </xf>
    <xf numFmtId="0" fontId="0" fillId="0" borderId="0" xfId="0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176" fontId="0" fillId="12" borderId="1" xfId="0" applyNumberFormat="1" applyFill="1" applyBorder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/>
    </xf>
    <xf numFmtId="176" fontId="0" fillId="13" borderId="1" xfId="0" applyNumberFormat="1" applyFill="1" applyBorder="1">
      <alignment vertical="center"/>
    </xf>
    <xf numFmtId="0" fontId="13" fillId="14" borderId="1" xfId="0" applyNumberFormat="1" applyFont="1" applyFill="1" applyBorder="1" applyAlignment="1">
      <alignment vertical="center" wrapText="1"/>
    </xf>
    <xf numFmtId="176" fontId="0" fillId="14" borderId="1" xfId="0" applyNumberFormat="1" applyFill="1" applyBorder="1">
      <alignment vertical="center"/>
    </xf>
    <xf numFmtId="17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0" fillId="3" borderId="0" xfId="0" applyFill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76" fontId="14" fillId="2" borderId="5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531877</xdr:colOff>
      <xdr:row>46</xdr:row>
      <xdr:rowOff>113082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7" cy="9752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17</xdr:col>
      <xdr:colOff>531877</xdr:colOff>
      <xdr:row>94</xdr:row>
      <xdr:rowOff>113082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58400"/>
          <a:ext cx="12190477" cy="9752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11</xdr:col>
      <xdr:colOff>76200</xdr:colOff>
      <xdr:row>21</xdr:row>
      <xdr:rowOff>47625</xdr:rowOff>
    </xdr:to>
    <xdr:pic>
      <xdr:nvPicPr>
        <xdr:cNvPr id="2" name="圖片 1" descr="　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76200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90" zoomScaleNormal="90" workbookViewId="0">
      <selection activeCell="L8" sqref="L8"/>
    </sheetView>
  </sheetViews>
  <sheetFormatPr defaultRowHeight="16.5" x14ac:dyDescent="0.25"/>
  <cols>
    <col min="2" max="2" width="11.625" customWidth="1"/>
    <col min="3" max="3" width="6.875" customWidth="1"/>
    <col min="4" max="4" width="6.625" customWidth="1"/>
    <col min="5" max="5" width="6.875" customWidth="1"/>
    <col min="6" max="6" width="11.125" customWidth="1"/>
    <col min="7" max="7" width="7.375" customWidth="1"/>
    <col min="8" max="8" width="10.75" customWidth="1"/>
    <col min="9" max="9" width="9.5" bestFit="1" customWidth="1"/>
    <col min="10" max="10" width="6.75" customWidth="1"/>
    <col min="11" max="11" width="5.75" customWidth="1"/>
    <col min="12" max="12" width="6.75" customWidth="1"/>
    <col min="13" max="13" width="11" customWidth="1"/>
    <col min="14" max="14" width="8.25" customWidth="1"/>
    <col min="15" max="15" width="8.375" customWidth="1"/>
    <col min="16" max="16" width="11.625" customWidth="1"/>
    <col min="17" max="17" width="12.125" customWidth="1"/>
    <col min="18" max="18" width="11.125" customWidth="1"/>
  </cols>
  <sheetData>
    <row r="1" spans="1:18" x14ac:dyDescent="0.25">
      <c r="A1" s="91" t="s">
        <v>23</v>
      </c>
      <c r="B1" s="90" t="s">
        <v>15</v>
      </c>
      <c r="C1" s="90"/>
      <c r="D1" s="90"/>
      <c r="E1" s="90"/>
      <c r="F1" s="90"/>
      <c r="G1" s="90"/>
      <c r="H1" s="90"/>
      <c r="I1" s="92" t="s">
        <v>18</v>
      </c>
      <c r="J1" s="92"/>
      <c r="K1" s="92"/>
      <c r="L1" s="92"/>
      <c r="M1" s="92"/>
      <c r="N1" s="92"/>
      <c r="O1" s="92"/>
      <c r="P1" s="92"/>
      <c r="Q1" s="92"/>
      <c r="R1" s="90" t="s">
        <v>29</v>
      </c>
    </row>
    <row r="2" spans="1:18" ht="33" x14ac:dyDescent="0.25">
      <c r="A2" s="91"/>
      <c r="B2" s="4" t="s">
        <v>9</v>
      </c>
      <c r="C2" s="4" t="s">
        <v>10</v>
      </c>
      <c r="D2" s="4" t="s">
        <v>11</v>
      </c>
      <c r="E2" s="9" t="s">
        <v>22</v>
      </c>
      <c r="F2" s="9" t="s">
        <v>19</v>
      </c>
      <c r="G2" s="9" t="s">
        <v>3</v>
      </c>
      <c r="H2" s="9" t="s">
        <v>20</v>
      </c>
      <c r="I2" s="15" t="s">
        <v>9</v>
      </c>
      <c r="J2" s="15" t="s">
        <v>10</v>
      </c>
      <c r="K2" s="15" t="s">
        <v>11</v>
      </c>
      <c r="L2" s="15" t="s">
        <v>22</v>
      </c>
      <c r="M2" s="15" t="s">
        <v>19</v>
      </c>
      <c r="N2" s="15" t="s">
        <v>3</v>
      </c>
      <c r="O2" s="15" t="s">
        <v>17</v>
      </c>
      <c r="P2" s="15" t="s">
        <v>21</v>
      </c>
      <c r="Q2" s="19" t="s">
        <v>28</v>
      </c>
      <c r="R2" s="90"/>
    </row>
    <row r="3" spans="1:18" x14ac:dyDescent="0.25">
      <c r="A3" s="11" t="s">
        <v>42</v>
      </c>
      <c r="B3" s="10">
        <v>43823</v>
      </c>
      <c r="C3" s="3">
        <v>163</v>
      </c>
      <c r="D3" s="3">
        <v>50</v>
      </c>
      <c r="E3" s="3">
        <v>0.4</v>
      </c>
      <c r="F3" s="7">
        <f t="shared" ref="F3:F8" si="0">C3*D3*1000</f>
        <v>8150000</v>
      </c>
      <c r="G3" s="7">
        <f t="shared" ref="G3:G8" si="1">ROUND(F3*0.001425*E3,0)</f>
        <v>4646</v>
      </c>
      <c r="H3" s="7">
        <f t="shared" ref="H3:H8" si="2">F3+G3</f>
        <v>8154646</v>
      </c>
      <c r="I3" s="27"/>
      <c r="J3" s="2">
        <v>183.5</v>
      </c>
      <c r="K3" s="2">
        <v>50</v>
      </c>
      <c r="L3" s="2">
        <v>0.4</v>
      </c>
      <c r="M3" s="16">
        <f t="shared" ref="M3:M8" si="3">J3*K3*1000</f>
        <v>9175000</v>
      </c>
      <c r="N3" s="16">
        <f t="shared" ref="N3:N8" si="4">ROUND(M3*0.001425*L3,0)</f>
        <v>5230</v>
      </c>
      <c r="O3" s="16">
        <f t="shared" ref="O3:O8" si="5">ROUND(M3*0.003,0)</f>
        <v>27525</v>
      </c>
      <c r="P3" s="16">
        <f t="shared" ref="P3:P8" si="6">M3+N3+O3</f>
        <v>9207755</v>
      </c>
      <c r="Q3" s="12">
        <f t="shared" ref="Q3:Q8" si="7">M3-N3-O3-H3</f>
        <v>987599</v>
      </c>
      <c r="R3" s="7">
        <f t="shared" ref="R3:R8" si="8">M3-H3</f>
        <v>1020354</v>
      </c>
    </row>
    <row r="4" spans="1:18" x14ac:dyDescent="0.25">
      <c r="A4" s="11" t="s">
        <v>42</v>
      </c>
      <c r="B4" s="10">
        <v>43823</v>
      </c>
      <c r="C4" s="3">
        <v>161</v>
      </c>
      <c r="D4" s="3">
        <v>90</v>
      </c>
      <c r="E4" s="3">
        <v>0.4</v>
      </c>
      <c r="F4" s="7">
        <f t="shared" si="0"/>
        <v>14490000</v>
      </c>
      <c r="G4" s="7">
        <f t="shared" si="1"/>
        <v>8259</v>
      </c>
      <c r="H4" s="7">
        <f t="shared" si="2"/>
        <v>14498259</v>
      </c>
      <c r="I4" s="27"/>
      <c r="J4" s="2">
        <v>183.5</v>
      </c>
      <c r="K4" s="2">
        <v>90</v>
      </c>
      <c r="L4" s="2">
        <v>0.4</v>
      </c>
      <c r="M4" s="16">
        <f t="shared" si="3"/>
        <v>16515000</v>
      </c>
      <c r="N4" s="16">
        <f t="shared" si="4"/>
        <v>9414</v>
      </c>
      <c r="O4" s="16">
        <f t="shared" si="5"/>
        <v>49545</v>
      </c>
      <c r="P4" s="16">
        <f t="shared" si="6"/>
        <v>16573959</v>
      </c>
      <c r="Q4" s="12">
        <f t="shared" si="7"/>
        <v>1957782</v>
      </c>
      <c r="R4" s="7">
        <f t="shared" si="8"/>
        <v>2016741</v>
      </c>
    </row>
    <row r="5" spans="1:18" x14ac:dyDescent="0.25">
      <c r="A5" s="11" t="s">
        <v>42</v>
      </c>
      <c r="B5" s="10">
        <v>43860</v>
      </c>
      <c r="C5" s="3">
        <v>164.5</v>
      </c>
      <c r="D5" s="3">
        <v>14</v>
      </c>
      <c r="E5" s="3">
        <v>0.4</v>
      </c>
      <c r="F5" s="7">
        <f t="shared" si="0"/>
        <v>2303000</v>
      </c>
      <c r="G5" s="7">
        <f t="shared" si="1"/>
        <v>1313</v>
      </c>
      <c r="H5" s="7">
        <f t="shared" si="2"/>
        <v>2304313</v>
      </c>
      <c r="I5" s="27"/>
      <c r="J5" s="2">
        <v>183.5</v>
      </c>
      <c r="K5" s="2">
        <v>14</v>
      </c>
      <c r="L5" s="2">
        <v>0.4</v>
      </c>
      <c r="M5" s="16">
        <f t="shared" si="3"/>
        <v>2569000</v>
      </c>
      <c r="N5" s="16">
        <f t="shared" si="4"/>
        <v>1464</v>
      </c>
      <c r="O5" s="16">
        <f t="shared" si="5"/>
        <v>7707</v>
      </c>
      <c r="P5" s="16">
        <f t="shared" si="6"/>
        <v>2578171</v>
      </c>
      <c r="Q5" s="12">
        <f t="shared" si="7"/>
        <v>255516</v>
      </c>
      <c r="R5" s="7">
        <f t="shared" si="8"/>
        <v>264687</v>
      </c>
    </row>
    <row r="6" spans="1:18" x14ac:dyDescent="0.25">
      <c r="A6" s="11" t="s">
        <v>42</v>
      </c>
      <c r="B6" s="10">
        <v>43872</v>
      </c>
      <c r="C6" s="3">
        <v>181.5</v>
      </c>
      <c r="D6" s="3">
        <v>46</v>
      </c>
      <c r="E6" s="3">
        <v>0.4</v>
      </c>
      <c r="F6" s="7">
        <f t="shared" si="0"/>
        <v>8349000</v>
      </c>
      <c r="G6" s="7">
        <f t="shared" si="1"/>
        <v>4759</v>
      </c>
      <c r="H6" s="7">
        <f t="shared" si="2"/>
        <v>8353759</v>
      </c>
      <c r="I6" s="27"/>
      <c r="J6" s="2">
        <v>183.5</v>
      </c>
      <c r="K6" s="2">
        <v>46</v>
      </c>
      <c r="L6" s="2">
        <v>0.4</v>
      </c>
      <c r="M6" s="16">
        <f t="shared" si="3"/>
        <v>8441000</v>
      </c>
      <c r="N6" s="16">
        <f t="shared" si="4"/>
        <v>4811</v>
      </c>
      <c r="O6" s="16">
        <f t="shared" si="5"/>
        <v>25323</v>
      </c>
      <c r="P6" s="16">
        <f t="shared" si="6"/>
        <v>8471134</v>
      </c>
      <c r="Q6" s="12">
        <f t="shared" si="7"/>
        <v>57107</v>
      </c>
      <c r="R6" s="7">
        <f t="shared" si="8"/>
        <v>87241</v>
      </c>
    </row>
    <row r="7" spans="1:18" x14ac:dyDescent="0.25">
      <c r="A7" s="11" t="s">
        <v>42</v>
      </c>
      <c r="B7" s="10">
        <v>43874</v>
      </c>
      <c r="C7" s="3">
        <v>180</v>
      </c>
      <c r="D7" s="3">
        <v>66</v>
      </c>
      <c r="E7" s="3">
        <v>0.4</v>
      </c>
      <c r="F7" s="7">
        <f t="shared" si="0"/>
        <v>11880000</v>
      </c>
      <c r="G7" s="7">
        <f t="shared" si="1"/>
        <v>6772</v>
      </c>
      <c r="H7" s="7">
        <f t="shared" si="2"/>
        <v>11886772</v>
      </c>
      <c r="I7" s="27"/>
      <c r="J7" s="2">
        <v>183.5</v>
      </c>
      <c r="K7" s="2">
        <v>66</v>
      </c>
      <c r="L7" s="2">
        <v>0.4</v>
      </c>
      <c r="M7" s="16">
        <f t="shared" si="3"/>
        <v>12111000</v>
      </c>
      <c r="N7" s="16">
        <f t="shared" si="4"/>
        <v>6903</v>
      </c>
      <c r="O7" s="16">
        <f t="shared" si="5"/>
        <v>36333</v>
      </c>
      <c r="P7" s="16">
        <f t="shared" si="6"/>
        <v>12154236</v>
      </c>
      <c r="Q7" s="12">
        <f t="shared" si="7"/>
        <v>180992</v>
      </c>
      <c r="R7" s="7">
        <f t="shared" si="8"/>
        <v>224228</v>
      </c>
    </row>
    <row r="8" spans="1:18" x14ac:dyDescent="0.25">
      <c r="A8" s="11" t="s">
        <v>117</v>
      </c>
      <c r="B8" s="10">
        <v>43789</v>
      </c>
      <c r="C8" s="3">
        <v>355</v>
      </c>
      <c r="D8" s="3">
        <v>0.96399999999999997</v>
      </c>
      <c r="E8" s="3">
        <v>0</v>
      </c>
      <c r="F8" s="7">
        <f t="shared" si="0"/>
        <v>342219.99999999994</v>
      </c>
      <c r="G8" s="7">
        <f t="shared" si="1"/>
        <v>0</v>
      </c>
      <c r="H8" s="7">
        <f t="shared" si="2"/>
        <v>342219.99999999994</v>
      </c>
      <c r="I8" s="27"/>
      <c r="J8" s="2">
        <v>547</v>
      </c>
      <c r="K8" s="2">
        <v>0.96399999999999997</v>
      </c>
      <c r="L8" s="2">
        <v>0.4</v>
      </c>
      <c r="M8" s="16">
        <f t="shared" si="3"/>
        <v>527308</v>
      </c>
      <c r="N8" s="16">
        <f t="shared" si="4"/>
        <v>301</v>
      </c>
      <c r="O8" s="16">
        <f t="shared" si="5"/>
        <v>1582</v>
      </c>
      <c r="P8" s="16">
        <f t="shared" si="6"/>
        <v>529191</v>
      </c>
      <c r="Q8" s="12">
        <f t="shared" si="7"/>
        <v>183205.00000000006</v>
      </c>
      <c r="R8" s="7">
        <f t="shared" si="8"/>
        <v>185088.00000000006</v>
      </c>
    </row>
    <row r="9" spans="1:18" x14ac:dyDescent="0.25">
      <c r="A9" s="11"/>
      <c r="B9" s="3"/>
      <c r="C9" s="3"/>
      <c r="D9" s="3"/>
      <c r="E9" s="3"/>
      <c r="F9" s="7">
        <f t="shared" ref="F9" si="9">C9*D9*1000</f>
        <v>0</v>
      </c>
      <c r="G9" s="7">
        <f t="shared" ref="G9" si="10">ROUND(F9*0.001425*E9,0)</f>
        <v>0</v>
      </c>
      <c r="H9" s="7">
        <f t="shared" ref="H9" si="11">F9+G9</f>
        <v>0</v>
      </c>
      <c r="I9" s="2"/>
      <c r="J9" s="2"/>
      <c r="K9" s="2"/>
      <c r="L9" s="2"/>
      <c r="M9" s="16">
        <f t="shared" ref="M9" si="12">J9*K9*1000</f>
        <v>0</v>
      </c>
      <c r="N9" s="16">
        <f t="shared" ref="N9" si="13">ROUND(M9*0.001425*L9,0)</f>
        <v>0</v>
      </c>
      <c r="O9" s="16">
        <f t="shared" ref="O9" si="14">ROUND(M9*0.003,0)</f>
        <v>0</v>
      </c>
      <c r="P9" s="16">
        <f t="shared" ref="P9" si="15">M9+N9+O9</f>
        <v>0</v>
      </c>
      <c r="Q9" s="12">
        <f t="shared" ref="Q9" si="16">M9-N9-O9-H9</f>
        <v>0</v>
      </c>
      <c r="R9" s="7">
        <f t="shared" ref="R9" si="17">M9-H9</f>
        <v>0</v>
      </c>
    </row>
    <row r="10" spans="1:18" x14ac:dyDescent="0.25">
      <c r="A10" s="18" t="s">
        <v>27</v>
      </c>
      <c r="B10" s="20">
        <f>M10-H10</f>
        <v>3798339</v>
      </c>
      <c r="G10" s="17">
        <f>SUM(G3:G9)</f>
        <v>25749</v>
      </c>
      <c r="H10" s="20">
        <f>SUM(H3:H9)</f>
        <v>45539969</v>
      </c>
      <c r="M10" s="21">
        <f>SUM(M3:M9)</f>
        <v>49338308</v>
      </c>
      <c r="N10" s="21">
        <f>SUM(N3:N9)</f>
        <v>28123</v>
      </c>
      <c r="O10" s="21">
        <f>SUM(O3:O9)</f>
        <v>148015</v>
      </c>
      <c r="P10" s="13" t="s">
        <v>26</v>
      </c>
      <c r="Q10" s="14">
        <f>SUM(Q3:Q9)</f>
        <v>3622201</v>
      </c>
      <c r="R10" s="7">
        <f>SUM(R3:R9)</f>
        <v>3798339</v>
      </c>
    </row>
    <row r="11" spans="1:18" x14ac:dyDescent="0.25">
      <c r="B11" s="17"/>
      <c r="G11" s="17"/>
    </row>
    <row r="12" spans="1:18" ht="21" x14ac:dyDescent="0.25">
      <c r="A12" s="93" t="s">
        <v>115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</row>
    <row r="13" spans="1:18" x14ac:dyDescent="0.25">
      <c r="H13" s="88" t="s">
        <v>130</v>
      </c>
    </row>
  </sheetData>
  <mergeCells count="5">
    <mergeCell ref="R1:R2"/>
    <mergeCell ref="B1:H1"/>
    <mergeCell ref="A1:A2"/>
    <mergeCell ref="I1:Q1"/>
    <mergeCell ref="A12:R1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25"/>
  <cols>
    <col min="1" max="1" width="180.625" customWidth="1"/>
  </cols>
  <sheetData>
    <row r="1" spans="1:1" ht="409.5" customHeight="1" x14ac:dyDescent="0.25">
      <c r="A1" s="69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6.5" x14ac:dyDescent="0.25"/>
  <cols>
    <col min="1" max="1" width="14.75" customWidth="1"/>
    <col min="2" max="2" width="12.5" customWidth="1"/>
    <col min="3" max="3" width="9.75" customWidth="1"/>
    <col min="4" max="4" width="8.75" customWidth="1"/>
    <col min="5" max="5" width="8.25" customWidth="1"/>
    <col min="6" max="6" width="13" customWidth="1"/>
    <col min="7" max="7" width="10.625" customWidth="1"/>
    <col min="8" max="9" width="10.5" bestFit="1" customWidth="1"/>
  </cols>
  <sheetData>
    <row r="1" spans="1:9" x14ac:dyDescent="0.25">
      <c r="A1" s="91" t="s">
        <v>23</v>
      </c>
      <c r="B1" s="94" t="s">
        <v>32</v>
      </c>
      <c r="C1" s="95"/>
      <c r="D1" s="95"/>
      <c r="E1" s="95"/>
      <c r="F1" s="95"/>
      <c r="G1" s="95"/>
      <c r="H1" s="96"/>
    </row>
    <row r="2" spans="1:9" ht="33" x14ac:dyDescent="0.25">
      <c r="A2" s="91"/>
      <c r="B2" s="78" t="s">
        <v>9</v>
      </c>
      <c r="C2" s="78" t="s">
        <v>33</v>
      </c>
      <c r="D2" s="78" t="s">
        <v>10</v>
      </c>
      <c r="E2" s="78" t="s">
        <v>11</v>
      </c>
      <c r="F2" s="78" t="s">
        <v>21</v>
      </c>
      <c r="G2" s="79" t="s">
        <v>8</v>
      </c>
      <c r="H2" s="77" t="s">
        <v>116</v>
      </c>
    </row>
    <row r="3" spans="1:9" x14ac:dyDescent="0.25">
      <c r="A3" s="22" t="s">
        <v>30</v>
      </c>
      <c r="B3" s="23">
        <v>42548</v>
      </c>
      <c r="C3" s="24">
        <v>36.200000000000003</v>
      </c>
      <c r="D3" s="24">
        <v>2</v>
      </c>
      <c r="E3" s="24">
        <v>228</v>
      </c>
      <c r="F3" s="25">
        <f t="shared" ref="F3:F9" si="0">D3*E3*1000</f>
        <v>456000</v>
      </c>
      <c r="G3" s="25">
        <v>446800</v>
      </c>
      <c r="H3" s="10"/>
    </row>
    <row r="4" spans="1:9" x14ac:dyDescent="0.25">
      <c r="A4" s="22" t="s">
        <v>31</v>
      </c>
      <c r="B4" s="23">
        <v>42580</v>
      </c>
      <c r="C4" s="24">
        <v>17.600000000000001</v>
      </c>
      <c r="D4" s="24">
        <v>0.81</v>
      </c>
      <c r="E4" s="24">
        <v>126</v>
      </c>
      <c r="F4" s="25">
        <f t="shared" si="0"/>
        <v>102060</v>
      </c>
      <c r="G4" s="25">
        <v>100784</v>
      </c>
      <c r="H4" s="10"/>
    </row>
    <row r="5" spans="1:9" x14ac:dyDescent="0.25">
      <c r="A5" s="22" t="s">
        <v>30</v>
      </c>
      <c r="B5" s="23">
        <v>42944</v>
      </c>
      <c r="C5" s="24">
        <v>46.45</v>
      </c>
      <c r="D5" s="24">
        <v>2</v>
      </c>
      <c r="E5" s="24">
        <v>188</v>
      </c>
      <c r="F5" s="25">
        <f t="shared" si="0"/>
        <v>376000</v>
      </c>
      <c r="G5" s="25">
        <v>376000</v>
      </c>
      <c r="H5" s="10"/>
    </row>
    <row r="6" spans="1:9" x14ac:dyDescent="0.25">
      <c r="A6" s="22" t="s">
        <v>39</v>
      </c>
      <c r="B6" s="23">
        <v>42947</v>
      </c>
      <c r="C6" s="24">
        <v>48.1</v>
      </c>
      <c r="D6" s="24">
        <v>2</v>
      </c>
      <c r="E6" s="24">
        <v>150</v>
      </c>
      <c r="F6" s="25">
        <f t="shared" si="0"/>
        <v>300000</v>
      </c>
      <c r="G6" s="25">
        <v>300000</v>
      </c>
      <c r="H6" s="10"/>
    </row>
    <row r="7" spans="1:9" x14ac:dyDescent="0.25">
      <c r="A7" s="22" t="s">
        <v>42</v>
      </c>
      <c r="B7" s="23">
        <v>42947</v>
      </c>
      <c r="C7" s="24">
        <v>72.7</v>
      </c>
      <c r="D7" s="24">
        <v>3.1</v>
      </c>
      <c r="E7" s="24">
        <v>17</v>
      </c>
      <c r="F7" s="25">
        <f t="shared" si="0"/>
        <v>52700</v>
      </c>
      <c r="G7" s="25">
        <v>52700</v>
      </c>
      <c r="H7" s="10"/>
    </row>
    <row r="8" spans="1:9" x14ac:dyDescent="0.25">
      <c r="A8" s="22" t="s">
        <v>42</v>
      </c>
      <c r="B8" s="23">
        <v>43292</v>
      </c>
      <c r="C8" s="24">
        <v>93.1</v>
      </c>
      <c r="D8" s="24">
        <v>4.13</v>
      </c>
      <c r="E8" s="24">
        <v>206</v>
      </c>
      <c r="F8" s="25">
        <f t="shared" ref="F8" si="1">D8*E8*1000</f>
        <v>850780</v>
      </c>
      <c r="G8" s="25">
        <v>850780</v>
      </c>
      <c r="H8" s="10"/>
    </row>
    <row r="9" spans="1:9" x14ac:dyDescent="0.25">
      <c r="A9" s="22" t="s">
        <v>42</v>
      </c>
      <c r="B9" s="23">
        <v>43657</v>
      </c>
      <c r="C9" s="24">
        <v>133</v>
      </c>
      <c r="D9" s="24">
        <v>4</v>
      </c>
      <c r="E9" s="24">
        <v>333</v>
      </c>
      <c r="F9" s="25">
        <f t="shared" si="0"/>
        <v>1332000</v>
      </c>
      <c r="G9" s="25">
        <v>1332000</v>
      </c>
      <c r="H9" s="10">
        <v>43677</v>
      </c>
    </row>
    <row r="10" spans="1:9" x14ac:dyDescent="0.25">
      <c r="A10" s="22"/>
      <c r="B10" s="23"/>
      <c r="C10" s="24"/>
      <c r="D10" s="24"/>
      <c r="E10" s="24"/>
      <c r="F10" s="25"/>
      <c r="G10" s="25"/>
    </row>
    <row r="11" spans="1:9" x14ac:dyDescent="0.25">
      <c r="A11" s="33" t="s">
        <v>37</v>
      </c>
      <c r="B11" s="16">
        <v>15550823</v>
      </c>
      <c r="C11" s="36"/>
      <c r="F11" s="21" t="s">
        <v>34</v>
      </c>
      <c r="G11" s="14">
        <f>SUM(G3:G10)+曆史交易明細!Q158</f>
        <v>25830650</v>
      </c>
    </row>
    <row r="12" spans="1:9" x14ac:dyDescent="0.25">
      <c r="A12" s="44"/>
      <c r="B12" s="45"/>
      <c r="F12" s="21" t="s">
        <v>127</v>
      </c>
      <c r="G12" s="20">
        <f>交易明細!R10</f>
        <v>3798339</v>
      </c>
    </row>
    <row r="13" spans="1:9" x14ac:dyDescent="0.25">
      <c r="A13" s="44"/>
      <c r="B13" s="45"/>
      <c r="F13" s="21" t="s">
        <v>128</v>
      </c>
      <c r="G13" s="20">
        <f>貸款!F4+貸款!F9</f>
        <v>514285</v>
      </c>
    </row>
    <row r="14" spans="1:9" x14ac:dyDescent="0.25">
      <c r="A14" s="46"/>
      <c r="B14" s="47"/>
      <c r="C14" s="32"/>
      <c r="F14" s="31" t="s">
        <v>35</v>
      </c>
      <c r="G14" s="30">
        <f>SUM(G11:G12)-G13</f>
        <v>29114704</v>
      </c>
    </row>
    <row r="15" spans="1:9" x14ac:dyDescent="0.25">
      <c r="A15" s="46"/>
      <c r="B15" s="47"/>
      <c r="H15" s="28"/>
      <c r="I15" s="17"/>
    </row>
  </sheetData>
  <mergeCells count="2">
    <mergeCell ref="A1:A2"/>
    <mergeCell ref="B1:H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="85" zoomScaleNormal="85" workbookViewId="0">
      <pane ySplit="3" topLeftCell="A141" activePane="bottomLeft" state="frozen"/>
      <selection pane="bottomLeft" activeCell="C162" sqref="C162"/>
    </sheetView>
  </sheetViews>
  <sheetFormatPr defaultRowHeight="16.5" x14ac:dyDescent="0.25"/>
  <cols>
    <col min="1" max="1" width="4.875" customWidth="1"/>
    <col min="2" max="2" width="12.375" customWidth="1"/>
    <col min="3" max="3" width="12.875" customWidth="1"/>
    <col min="4" max="4" width="12.75" customWidth="1"/>
    <col min="5" max="5" width="12.125" customWidth="1"/>
    <col min="6" max="6" width="13" customWidth="1"/>
    <col min="7" max="7" width="12.25" customWidth="1"/>
    <col min="8" max="8" width="12.375" customWidth="1"/>
    <col min="9" max="9" width="12.625" customWidth="1"/>
    <col min="10" max="10" width="13.25" customWidth="1"/>
    <col min="11" max="11" width="12.625" customWidth="1"/>
    <col min="12" max="12" width="12.5" customWidth="1"/>
    <col min="13" max="13" width="12.25" customWidth="1"/>
    <col min="14" max="14" width="10.75" customWidth="1"/>
    <col min="15" max="15" width="8.75" customWidth="1"/>
    <col min="16" max="16" width="8.25" customWidth="1"/>
  </cols>
  <sheetData>
    <row r="1" spans="1:14" x14ac:dyDescent="0.25">
      <c r="A1" s="97" t="s">
        <v>53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38"/>
    </row>
    <row r="2" spans="1:14" x14ac:dyDescent="0.25">
      <c r="A2" s="92" t="s">
        <v>51</v>
      </c>
      <c r="B2" s="92"/>
      <c r="C2" s="37" t="s">
        <v>61</v>
      </c>
      <c r="D2" s="37" t="s">
        <v>62</v>
      </c>
      <c r="E2" s="37" t="s">
        <v>63</v>
      </c>
      <c r="F2" s="37" t="s">
        <v>64</v>
      </c>
      <c r="G2" s="37" t="s">
        <v>65</v>
      </c>
      <c r="H2" s="37" t="s">
        <v>66</v>
      </c>
      <c r="I2" s="37" t="s">
        <v>67</v>
      </c>
      <c r="J2" s="37" t="s">
        <v>68</v>
      </c>
      <c r="K2" s="37" t="s">
        <v>69</v>
      </c>
      <c r="L2" s="37" t="s">
        <v>57</v>
      </c>
      <c r="M2" s="37" t="s">
        <v>58</v>
      </c>
    </row>
    <row r="3" spans="1:14" ht="49.5" x14ac:dyDescent="0.25">
      <c r="A3" s="33" t="s">
        <v>60</v>
      </c>
      <c r="B3" s="2" t="s">
        <v>52</v>
      </c>
      <c r="C3" s="2" t="s">
        <v>52</v>
      </c>
      <c r="D3" s="2" t="s">
        <v>52</v>
      </c>
      <c r="E3" s="2" t="s">
        <v>52</v>
      </c>
      <c r="F3" s="2" t="s">
        <v>52</v>
      </c>
      <c r="G3" s="2" t="s">
        <v>52</v>
      </c>
      <c r="H3" s="2" t="s">
        <v>52</v>
      </c>
      <c r="I3" s="2" t="s">
        <v>52</v>
      </c>
      <c r="J3" s="2" t="s">
        <v>52</v>
      </c>
      <c r="K3" s="2" t="s">
        <v>52</v>
      </c>
      <c r="L3" s="33" t="s">
        <v>132</v>
      </c>
      <c r="M3" s="33" t="s">
        <v>131</v>
      </c>
    </row>
    <row r="4" spans="1:14" x14ac:dyDescent="0.25">
      <c r="A4" s="48">
        <v>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40">
        <v>1598361</v>
      </c>
      <c r="M4" s="40">
        <v>2483715</v>
      </c>
    </row>
    <row r="5" spans="1:14" x14ac:dyDescent="0.25">
      <c r="A5" s="48">
        <v>2</v>
      </c>
      <c r="B5" s="39"/>
      <c r="C5" s="13"/>
      <c r="D5" s="39"/>
      <c r="E5" s="39"/>
      <c r="F5" s="39"/>
      <c r="G5" s="39"/>
      <c r="H5" s="39"/>
      <c r="I5" s="39"/>
      <c r="J5" s="39"/>
      <c r="K5" s="39"/>
      <c r="L5" s="40">
        <v>1671361</v>
      </c>
      <c r="M5" s="40">
        <v>2540362</v>
      </c>
    </row>
    <row r="6" spans="1:14" x14ac:dyDescent="0.25">
      <c r="A6" s="48">
        <v>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40">
        <v>1600713</v>
      </c>
      <c r="M6" s="40">
        <v>2553465</v>
      </c>
    </row>
    <row r="7" spans="1:14" x14ac:dyDescent="0.25">
      <c r="A7" s="48">
        <v>4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40">
        <v>1728684</v>
      </c>
      <c r="M7" s="40">
        <v>2560291</v>
      </c>
    </row>
    <row r="8" spans="1:14" x14ac:dyDescent="0.25">
      <c r="A8" s="48">
        <v>5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40">
        <v>1768313</v>
      </c>
      <c r="M8" s="40">
        <v>2541619</v>
      </c>
    </row>
    <row r="9" spans="1:14" x14ac:dyDescent="0.25">
      <c r="A9" s="48">
        <v>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>
        <v>1746212</v>
      </c>
      <c r="M9" s="40">
        <v>2618093</v>
      </c>
    </row>
    <row r="10" spans="1:14" x14ac:dyDescent="0.25">
      <c r="A10" s="48">
        <v>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>
        <v>1914151</v>
      </c>
      <c r="M10" s="40">
        <v>2461687</v>
      </c>
    </row>
    <row r="11" spans="1:14" x14ac:dyDescent="0.25">
      <c r="A11" s="48">
        <v>8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>
        <v>2117452</v>
      </c>
      <c r="M11" s="40">
        <v>2466470</v>
      </c>
    </row>
    <row r="12" spans="1:14" x14ac:dyDescent="0.25">
      <c r="A12" s="48">
        <v>9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>
        <v>2217641</v>
      </c>
      <c r="M12" s="40">
        <v>2608662</v>
      </c>
    </row>
    <row r="13" spans="1:14" x14ac:dyDescent="0.25">
      <c r="A13" s="48">
        <v>10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>
        <v>2167642</v>
      </c>
      <c r="M13" s="40">
        <v>2359007</v>
      </c>
    </row>
    <row r="14" spans="1:14" x14ac:dyDescent="0.25">
      <c r="A14" s="48">
        <v>11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>
        <v>2762111</v>
      </c>
    </row>
    <row r="15" spans="1:14" x14ac:dyDescent="0.25">
      <c r="A15" s="48">
        <v>12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>
        <v>2785029</v>
      </c>
    </row>
    <row r="16" spans="1:14" x14ac:dyDescent="0.25">
      <c r="A16" s="48">
        <v>13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>
        <v>2578342</v>
      </c>
    </row>
    <row r="17" spans="1:14" x14ac:dyDescent="0.25">
      <c r="A17" s="48">
        <v>14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>
        <v>2635218</v>
      </c>
    </row>
    <row r="18" spans="1:14" x14ac:dyDescent="0.25">
      <c r="A18" s="48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>
        <v>2571744</v>
      </c>
    </row>
    <row r="19" spans="1:14" x14ac:dyDescent="0.25">
      <c r="A19" s="48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>
        <v>2292197</v>
      </c>
    </row>
    <row r="20" spans="1:14" x14ac:dyDescent="0.25">
      <c r="A20" s="48">
        <v>17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40">
        <v>2168937</v>
      </c>
    </row>
    <row r="21" spans="1:14" x14ac:dyDescent="0.25">
      <c r="A21" s="48">
        <v>18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40">
        <v>2458452</v>
      </c>
    </row>
    <row r="22" spans="1:14" x14ac:dyDescent="0.25">
      <c r="A22" s="48">
        <v>19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>
        <v>2232412</v>
      </c>
    </row>
    <row r="23" spans="1:14" x14ac:dyDescent="0.25">
      <c r="A23" s="48">
        <v>20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>
        <v>2200875</v>
      </c>
      <c r="M23" s="40">
        <v>2425420</v>
      </c>
    </row>
    <row r="24" spans="1:14" x14ac:dyDescent="0.25">
      <c r="A24" s="39" t="s">
        <v>55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1"/>
      <c r="M24" s="41"/>
    </row>
    <row r="25" spans="1:14" x14ac:dyDescent="0.25">
      <c r="A25" s="97" t="s">
        <v>54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</row>
    <row r="26" spans="1:14" x14ac:dyDescent="0.25">
      <c r="A26" s="92" t="s">
        <v>51</v>
      </c>
      <c r="B26" s="92"/>
      <c r="C26" s="37" t="s">
        <v>61</v>
      </c>
      <c r="D26" s="37" t="s">
        <v>62</v>
      </c>
      <c r="E26" s="37" t="s">
        <v>63</v>
      </c>
      <c r="F26" s="37" t="s">
        <v>64</v>
      </c>
      <c r="G26" s="37" t="s">
        <v>65</v>
      </c>
      <c r="H26" s="37" t="s">
        <v>66</v>
      </c>
      <c r="I26" s="37" t="s">
        <v>67</v>
      </c>
      <c r="J26" s="37" t="s">
        <v>68</v>
      </c>
      <c r="K26" s="37" t="s">
        <v>69</v>
      </c>
      <c r="L26" s="37" t="s">
        <v>57</v>
      </c>
      <c r="M26" s="37" t="s">
        <v>58</v>
      </c>
    </row>
    <row r="27" spans="1:14" ht="33" x14ac:dyDescent="0.25">
      <c r="A27" s="33" t="s">
        <v>9</v>
      </c>
      <c r="B27" s="2" t="s">
        <v>52</v>
      </c>
      <c r="C27" s="2" t="s">
        <v>52</v>
      </c>
      <c r="D27" s="2" t="s">
        <v>52</v>
      </c>
      <c r="E27" s="2" t="s">
        <v>52</v>
      </c>
      <c r="F27" s="2" t="s">
        <v>52</v>
      </c>
      <c r="G27" s="2" t="s">
        <v>52</v>
      </c>
      <c r="H27" s="2" t="s">
        <v>52</v>
      </c>
      <c r="I27" s="2" t="s">
        <v>52</v>
      </c>
      <c r="J27" s="2" t="s">
        <v>52</v>
      </c>
      <c r="K27" s="2" t="s">
        <v>52</v>
      </c>
      <c r="L27" s="2" t="s">
        <v>52</v>
      </c>
      <c r="M27" s="2" t="s">
        <v>52</v>
      </c>
    </row>
    <row r="28" spans="1:14" x14ac:dyDescent="0.25">
      <c r="A28" s="50">
        <v>1</v>
      </c>
      <c r="B28" s="40">
        <v>2442209</v>
      </c>
      <c r="C28" s="61">
        <v>2303805</v>
      </c>
      <c r="D28" s="61">
        <v>2263972</v>
      </c>
      <c r="E28" s="61">
        <v>2845997</v>
      </c>
      <c r="F28" s="61">
        <v>2307938</v>
      </c>
      <c r="G28" s="40">
        <v>1733817</v>
      </c>
      <c r="H28" s="40">
        <v>2774017</v>
      </c>
      <c r="I28" s="40">
        <v>3161719</v>
      </c>
      <c r="J28" s="40">
        <v>3047367</v>
      </c>
      <c r="K28" s="40"/>
      <c r="L28" s="40">
        <v>5616205</v>
      </c>
      <c r="M28" s="40">
        <v>4718737</v>
      </c>
    </row>
    <row r="29" spans="1:14" x14ac:dyDescent="0.25">
      <c r="A29" s="50">
        <v>2</v>
      </c>
      <c r="B29" s="40">
        <v>2503091</v>
      </c>
      <c r="C29" s="61">
        <v>2384629</v>
      </c>
      <c r="D29" s="61">
        <v>2396048</v>
      </c>
      <c r="E29" s="61">
        <v>2733197</v>
      </c>
      <c r="F29" s="61">
        <v>2142388</v>
      </c>
      <c r="G29" s="40">
        <v>1808917</v>
      </c>
      <c r="H29" s="40">
        <v>2907217</v>
      </c>
      <c r="I29" s="42">
        <v>3287519</v>
      </c>
      <c r="J29" s="43"/>
      <c r="K29" s="14">
        <v>5362186</v>
      </c>
      <c r="L29" s="40">
        <v>5519205</v>
      </c>
      <c r="M29" s="40"/>
    </row>
    <row r="30" spans="1:14" x14ac:dyDescent="0.25">
      <c r="A30" s="50">
        <v>3</v>
      </c>
      <c r="B30" s="40">
        <v>2413412</v>
      </c>
      <c r="C30" s="61">
        <v>2419023</v>
      </c>
      <c r="D30" s="61">
        <v>2752893</v>
      </c>
      <c r="E30" s="61">
        <v>2686197</v>
      </c>
      <c r="F30" s="61">
        <v>2293188</v>
      </c>
      <c r="G30" s="40">
        <v>1812617</v>
      </c>
      <c r="H30" s="40">
        <v>2786467</v>
      </c>
      <c r="I30" s="40">
        <v>3157879</v>
      </c>
      <c r="J30" s="43"/>
      <c r="K30" s="40"/>
      <c r="L30" s="40"/>
      <c r="M30" s="39"/>
    </row>
    <row r="31" spans="1:14" x14ac:dyDescent="0.25">
      <c r="A31" s="50">
        <v>4</v>
      </c>
      <c r="B31" s="40">
        <v>2473199</v>
      </c>
      <c r="C31" s="61">
        <v>2325139</v>
      </c>
      <c r="D31" s="61">
        <v>2778652</v>
      </c>
      <c r="E31" s="61">
        <v>2648635</v>
      </c>
      <c r="F31" s="61">
        <v>2242188</v>
      </c>
      <c r="G31" s="40">
        <v>1701917</v>
      </c>
      <c r="H31" s="40">
        <v>2746167</v>
      </c>
      <c r="I31" s="40">
        <v>2921879</v>
      </c>
      <c r="J31" s="14">
        <v>3320967</v>
      </c>
      <c r="K31" s="40"/>
      <c r="L31" s="40"/>
      <c r="M31" s="40">
        <v>4519253</v>
      </c>
    </row>
    <row r="32" spans="1:14" x14ac:dyDescent="0.25">
      <c r="A32" s="50">
        <v>5</v>
      </c>
      <c r="B32" s="40">
        <v>2513054</v>
      </c>
      <c r="C32" s="61">
        <v>2403899</v>
      </c>
      <c r="D32" s="61">
        <v>2789613</v>
      </c>
      <c r="E32" s="61">
        <v>2249585</v>
      </c>
      <c r="F32" s="61">
        <v>2289838</v>
      </c>
      <c r="G32" s="40">
        <v>1803217</v>
      </c>
      <c r="H32" s="40">
        <v>2715867</v>
      </c>
      <c r="I32" s="40">
        <v>2963482</v>
      </c>
      <c r="J32" s="14">
        <v>3376883</v>
      </c>
      <c r="K32" s="14">
        <v>5517686</v>
      </c>
      <c r="L32" s="40"/>
      <c r="M32" s="40">
        <v>4117653</v>
      </c>
      <c r="N32" s="17"/>
    </row>
    <row r="33" spans="1:14" x14ac:dyDescent="0.25">
      <c r="A33" s="50">
        <v>6</v>
      </c>
      <c r="B33" s="40">
        <v>2453269</v>
      </c>
      <c r="C33" s="61">
        <v>2312187</v>
      </c>
      <c r="D33" s="61">
        <v>2981775</v>
      </c>
      <c r="E33" s="61">
        <v>2354985</v>
      </c>
      <c r="F33" s="61">
        <v>2275688</v>
      </c>
      <c r="G33" s="40">
        <v>1895217</v>
      </c>
      <c r="H33" s="40">
        <v>2889667</v>
      </c>
      <c r="I33" s="40">
        <v>2892082</v>
      </c>
      <c r="J33" s="40">
        <v>3367372</v>
      </c>
      <c r="K33" s="14">
        <v>5554671</v>
      </c>
      <c r="L33" s="40">
        <v>5417705</v>
      </c>
      <c r="M33" s="40">
        <v>3735553</v>
      </c>
      <c r="N33" s="17"/>
    </row>
    <row r="34" spans="1:14" x14ac:dyDescent="0.25">
      <c r="A34" s="50">
        <v>7</v>
      </c>
      <c r="B34" s="40">
        <v>2383519</v>
      </c>
      <c r="C34" s="61">
        <v>2093433</v>
      </c>
      <c r="D34" s="61">
        <v>2666338</v>
      </c>
      <c r="E34" s="61">
        <v>2249485</v>
      </c>
      <c r="F34" s="61">
        <v>2341180</v>
      </c>
      <c r="G34" s="40">
        <v>1805217</v>
      </c>
      <c r="H34" s="40">
        <v>3047267</v>
      </c>
      <c r="I34" s="40">
        <v>3002448</v>
      </c>
      <c r="J34" s="40">
        <v>3064693</v>
      </c>
      <c r="K34" s="40"/>
      <c r="L34" s="55">
        <v>6706205</v>
      </c>
      <c r="M34" s="40">
        <v>3529503</v>
      </c>
      <c r="N34" s="17"/>
    </row>
    <row r="35" spans="1:14" x14ac:dyDescent="0.25">
      <c r="A35" s="50">
        <v>8</v>
      </c>
      <c r="B35" s="40">
        <v>2197337</v>
      </c>
      <c r="C35" s="61">
        <v>2267808</v>
      </c>
      <c r="D35" s="61">
        <v>2681982</v>
      </c>
      <c r="E35" s="61">
        <v>2193835</v>
      </c>
      <c r="F35" s="61">
        <v>2408580</v>
      </c>
      <c r="G35" s="40">
        <v>1867117</v>
      </c>
      <c r="H35" s="42">
        <v>3211767</v>
      </c>
      <c r="I35" s="40">
        <v>2927948</v>
      </c>
      <c r="J35" s="14">
        <v>3445693</v>
      </c>
      <c r="K35" s="40"/>
      <c r="L35" s="40">
        <v>6366705</v>
      </c>
      <c r="M35" s="40">
        <v>3687824</v>
      </c>
      <c r="N35" s="17"/>
    </row>
    <row r="36" spans="1:14" x14ac:dyDescent="0.25">
      <c r="A36" s="50">
        <v>9</v>
      </c>
      <c r="B36" s="40">
        <v>2130176</v>
      </c>
      <c r="C36" s="61">
        <v>2203539</v>
      </c>
      <c r="D36" s="61">
        <v>2755419</v>
      </c>
      <c r="E36" s="61">
        <v>2166585</v>
      </c>
      <c r="F36" s="61">
        <v>2369480</v>
      </c>
      <c r="G36" s="40">
        <v>2058617</v>
      </c>
      <c r="H36" s="40">
        <v>3114167</v>
      </c>
      <c r="I36" s="42">
        <v>3204048</v>
      </c>
      <c r="J36" s="43"/>
      <c r="K36" s="40"/>
      <c r="L36" s="40">
        <v>5763705</v>
      </c>
      <c r="M36" s="39"/>
      <c r="N36" s="17"/>
    </row>
    <row r="37" spans="1:14" x14ac:dyDescent="0.25">
      <c r="A37" s="50">
        <v>10</v>
      </c>
      <c r="B37" s="40">
        <v>2232959</v>
      </c>
      <c r="C37" s="62"/>
      <c r="D37" s="61">
        <v>2859497</v>
      </c>
      <c r="E37" s="61">
        <v>2097585</v>
      </c>
      <c r="F37" s="61">
        <v>2550080</v>
      </c>
      <c r="G37" s="40">
        <v>2270817</v>
      </c>
      <c r="H37" s="40">
        <v>3188867</v>
      </c>
      <c r="I37" s="40">
        <v>3001398</v>
      </c>
      <c r="J37" s="43"/>
      <c r="K37" s="40"/>
      <c r="L37" s="40">
        <v>6437705</v>
      </c>
      <c r="M37" s="39"/>
      <c r="N37" s="17"/>
    </row>
    <row r="38" spans="1:14" x14ac:dyDescent="0.25">
      <c r="A38" s="50">
        <v>11</v>
      </c>
      <c r="B38" s="40">
        <v>2182590</v>
      </c>
      <c r="C38" s="62"/>
      <c r="D38" s="61">
        <v>2830847</v>
      </c>
      <c r="E38" s="61">
        <v>2064235</v>
      </c>
      <c r="F38" s="61">
        <v>2536780</v>
      </c>
      <c r="G38" s="40">
        <v>2278217</v>
      </c>
      <c r="H38" s="40">
        <v>3165793</v>
      </c>
      <c r="I38" s="40">
        <v>2944998</v>
      </c>
      <c r="J38" s="14">
        <v>3545693</v>
      </c>
      <c r="K38" s="14">
        <v>5635171</v>
      </c>
      <c r="L38" s="40"/>
      <c r="M38" s="40">
        <v>3814474</v>
      </c>
      <c r="N38" s="17"/>
    </row>
    <row r="39" spans="1:14" x14ac:dyDescent="0.25">
      <c r="A39" s="50">
        <v>12</v>
      </c>
      <c r="B39" s="40">
        <v>2207500</v>
      </c>
      <c r="C39" s="62"/>
      <c r="D39" s="61">
        <v>3088817</v>
      </c>
      <c r="E39" s="61">
        <v>2051435</v>
      </c>
      <c r="F39" s="61">
        <v>2374017</v>
      </c>
      <c r="G39" s="40">
        <v>2261417</v>
      </c>
      <c r="H39" s="40">
        <v>3037619</v>
      </c>
      <c r="I39" s="40">
        <v>2992698</v>
      </c>
      <c r="J39" s="43">
        <v>3436693</v>
      </c>
      <c r="K39" s="14">
        <v>5888171</v>
      </c>
      <c r="L39" s="40"/>
      <c r="M39" s="40">
        <v>3543086</v>
      </c>
      <c r="N39" s="17"/>
    </row>
    <row r="40" spans="1:14" x14ac:dyDescent="0.25">
      <c r="A40" s="50">
        <v>13</v>
      </c>
      <c r="B40" s="40">
        <v>2266539</v>
      </c>
      <c r="C40" s="62"/>
      <c r="D40" s="61">
        <v>3171945</v>
      </c>
      <c r="E40" s="61">
        <v>2254335</v>
      </c>
      <c r="F40" s="61">
        <v>2248217</v>
      </c>
      <c r="G40" s="40">
        <v>2659417</v>
      </c>
      <c r="H40" s="40">
        <v>2986919</v>
      </c>
      <c r="I40" s="40">
        <v>3011848</v>
      </c>
      <c r="J40" s="43">
        <v>3418693</v>
      </c>
      <c r="K40" s="40">
        <v>5784671</v>
      </c>
      <c r="L40" s="40">
        <v>5979205</v>
      </c>
      <c r="M40" s="40">
        <v>3597436</v>
      </c>
      <c r="N40" s="17"/>
    </row>
    <row r="41" spans="1:14" x14ac:dyDescent="0.25">
      <c r="A41" s="50">
        <v>14</v>
      </c>
      <c r="B41" s="39"/>
      <c r="C41" s="62"/>
      <c r="D41" s="61">
        <v>3145095</v>
      </c>
      <c r="E41" s="61">
        <v>2329719</v>
      </c>
      <c r="F41" s="61">
        <v>2240817</v>
      </c>
      <c r="G41" s="40">
        <v>2526017</v>
      </c>
      <c r="H41" s="40">
        <v>3137019</v>
      </c>
      <c r="I41" s="42">
        <v>3216445</v>
      </c>
      <c r="J41" s="14">
        <v>3510693</v>
      </c>
      <c r="K41" s="40"/>
      <c r="L41" s="40">
        <v>6308355</v>
      </c>
      <c r="M41" s="40">
        <v>3830786</v>
      </c>
      <c r="N41" s="17"/>
    </row>
    <row r="42" spans="1:14" x14ac:dyDescent="0.25">
      <c r="A42" s="50">
        <v>15</v>
      </c>
      <c r="B42" s="39"/>
      <c r="C42" s="62"/>
      <c r="D42" s="61">
        <v>3137231</v>
      </c>
      <c r="E42" s="61">
        <v>2327469</v>
      </c>
      <c r="F42" s="61">
        <v>2177017</v>
      </c>
      <c r="G42" s="40">
        <v>2680017</v>
      </c>
      <c r="H42" s="40">
        <v>2984919</v>
      </c>
      <c r="I42" s="40">
        <v>3047367</v>
      </c>
      <c r="J42" s="14">
        <v>4267132</v>
      </c>
      <c r="K42" s="40"/>
      <c r="L42" s="40">
        <v>6545355</v>
      </c>
      <c r="M42" s="40">
        <v>4104143</v>
      </c>
      <c r="N42" s="17"/>
    </row>
    <row r="43" spans="1:14" x14ac:dyDescent="0.25">
      <c r="A43" s="50">
        <v>16</v>
      </c>
      <c r="B43" s="39"/>
      <c r="C43" s="62"/>
      <c r="D43" s="61">
        <v>3080681</v>
      </c>
      <c r="E43" s="61">
        <v>2346619</v>
      </c>
      <c r="F43" s="61">
        <v>2220217</v>
      </c>
      <c r="G43" s="40">
        <v>2623817</v>
      </c>
      <c r="H43" s="39"/>
      <c r="I43" s="40">
        <v>3049367</v>
      </c>
      <c r="J43" s="43"/>
      <c r="K43" s="40"/>
      <c r="L43" s="40">
        <v>6424355</v>
      </c>
      <c r="M43" s="39"/>
      <c r="N43" s="17"/>
    </row>
    <row r="44" spans="1:14" x14ac:dyDescent="0.25">
      <c r="A44" s="50">
        <v>17</v>
      </c>
      <c r="B44" s="39"/>
      <c r="C44" s="62"/>
      <c r="D44" s="63">
        <v>3196381</v>
      </c>
      <c r="E44" s="62"/>
      <c r="F44" s="16">
        <v>1685017</v>
      </c>
      <c r="G44" s="39"/>
      <c r="H44" s="39"/>
      <c r="I44" s="39"/>
      <c r="J44" s="43"/>
      <c r="K44" s="40">
        <v>5428171</v>
      </c>
      <c r="L44" s="55">
        <v>7020824</v>
      </c>
      <c r="M44" s="39"/>
      <c r="N44" s="17"/>
    </row>
    <row r="45" spans="1:14" x14ac:dyDescent="0.25">
      <c r="A45" s="50">
        <v>18</v>
      </c>
      <c r="B45" s="39"/>
      <c r="C45" s="62"/>
      <c r="D45" s="61">
        <v>3010169</v>
      </c>
      <c r="E45" s="62"/>
      <c r="F45" s="62"/>
      <c r="G45" s="39"/>
      <c r="H45" s="39"/>
      <c r="I45" s="39"/>
      <c r="J45" s="43">
        <v>4175460</v>
      </c>
      <c r="K45" s="40">
        <v>5215215</v>
      </c>
      <c r="L45" s="40"/>
      <c r="M45" s="40">
        <v>4144893</v>
      </c>
      <c r="N45" s="17"/>
    </row>
    <row r="46" spans="1:14" x14ac:dyDescent="0.25">
      <c r="A46" s="50">
        <v>19</v>
      </c>
      <c r="B46" s="39"/>
      <c r="C46" s="62"/>
      <c r="D46" s="61">
        <v>2886797</v>
      </c>
      <c r="E46" s="62"/>
      <c r="F46" s="62"/>
      <c r="G46" s="39"/>
      <c r="H46" s="39"/>
      <c r="I46" s="39"/>
      <c r="J46" s="43">
        <v>3895460</v>
      </c>
      <c r="K46" s="40">
        <v>5632715</v>
      </c>
      <c r="L46" s="40"/>
      <c r="M46" s="39"/>
    </row>
    <row r="47" spans="1:14" x14ac:dyDescent="0.25">
      <c r="A47" s="50">
        <v>20</v>
      </c>
      <c r="B47" s="39"/>
      <c r="C47" s="62"/>
      <c r="D47" s="61">
        <v>2856147</v>
      </c>
      <c r="E47" s="62"/>
      <c r="F47" s="62"/>
      <c r="G47" s="39"/>
      <c r="H47" s="39"/>
      <c r="I47" s="39"/>
      <c r="J47" s="43">
        <v>3909460</v>
      </c>
      <c r="K47" s="40">
        <v>5515110</v>
      </c>
      <c r="L47" s="55">
        <v>7021974</v>
      </c>
      <c r="M47" s="40">
        <v>4269434</v>
      </c>
      <c r="N47" s="17"/>
    </row>
    <row r="48" spans="1:14" x14ac:dyDescent="0.25">
      <c r="A48" s="50">
        <v>21</v>
      </c>
      <c r="B48" s="39"/>
      <c r="C48" s="62"/>
      <c r="D48" s="61">
        <v>2723797</v>
      </c>
      <c r="E48" s="62"/>
      <c r="F48" s="62"/>
      <c r="G48" s="39"/>
      <c r="H48" s="39"/>
      <c r="I48" s="39"/>
      <c r="J48" s="14">
        <v>4084460</v>
      </c>
      <c r="K48" s="40"/>
      <c r="L48" s="55">
        <v>7091224</v>
      </c>
      <c r="M48" s="40">
        <v>3954347</v>
      </c>
      <c r="N48" s="17"/>
    </row>
    <row r="49" spans="1:14" x14ac:dyDescent="0.25">
      <c r="A49" s="50">
        <v>22</v>
      </c>
      <c r="B49" s="39"/>
      <c r="C49" s="62"/>
      <c r="D49" s="62"/>
      <c r="E49" s="62"/>
      <c r="F49" s="62"/>
      <c r="G49" s="39"/>
      <c r="H49" s="39"/>
      <c r="I49" s="39"/>
      <c r="J49" s="43">
        <v>4013228</v>
      </c>
      <c r="K49" s="40"/>
      <c r="L49" s="55">
        <v>7183761</v>
      </c>
      <c r="M49" s="40">
        <v>3809547</v>
      </c>
      <c r="N49" s="17"/>
    </row>
    <row r="50" spans="1:14" x14ac:dyDescent="0.25">
      <c r="A50" s="50">
        <v>23</v>
      </c>
      <c r="B50" s="39"/>
      <c r="C50" s="62"/>
      <c r="D50" s="62"/>
      <c r="E50" s="62"/>
      <c r="F50" s="62"/>
      <c r="G50" s="39"/>
      <c r="H50" s="39"/>
      <c r="I50" s="39"/>
      <c r="J50" s="39"/>
      <c r="K50" s="14">
        <v>5939510</v>
      </c>
      <c r="L50" s="40">
        <v>7109625</v>
      </c>
      <c r="M50" s="39"/>
      <c r="N50" s="17"/>
    </row>
    <row r="51" spans="1:14" x14ac:dyDescent="0.25">
      <c r="A51" s="50">
        <v>24</v>
      </c>
      <c r="B51" s="39"/>
      <c r="C51" s="62"/>
      <c r="D51" s="61"/>
      <c r="E51" s="62"/>
      <c r="F51" s="62"/>
      <c r="G51" s="39"/>
      <c r="H51" s="39"/>
      <c r="I51" s="39"/>
      <c r="J51" s="39"/>
      <c r="K51" s="55">
        <v>6041791</v>
      </c>
      <c r="L51" s="40">
        <v>6970455</v>
      </c>
      <c r="M51" s="39"/>
      <c r="N51" s="17"/>
    </row>
    <row r="52" spans="1:14" x14ac:dyDescent="0.25">
      <c r="A52" s="50">
        <v>25</v>
      </c>
      <c r="B52" s="39"/>
      <c r="C52" s="62"/>
      <c r="D52" s="62"/>
      <c r="E52" s="62"/>
      <c r="F52" s="62"/>
      <c r="G52" s="39"/>
      <c r="H52" s="39"/>
      <c r="I52" s="39"/>
      <c r="J52" s="43">
        <v>3640649</v>
      </c>
      <c r="K52" s="40">
        <v>5473095</v>
      </c>
      <c r="L52" s="40"/>
      <c r="M52" s="39"/>
    </row>
    <row r="53" spans="1:14" x14ac:dyDescent="0.25">
      <c r="A53" s="50">
        <v>26</v>
      </c>
      <c r="B53" s="39"/>
      <c r="C53" s="62"/>
      <c r="D53" s="62"/>
      <c r="E53" s="62"/>
      <c r="F53" s="62"/>
      <c r="G53" s="39"/>
      <c r="H53" s="39"/>
      <c r="I53" s="39"/>
      <c r="J53" s="43">
        <v>3900649</v>
      </c>
      <c r="K53" s="40">
        <v>5658595</v>
      </c>
      <c r="L53" s="40"/>
      <c r="M53" s="40">
        <v>3336247</v>
      </c>
    </row>
    <row r="54" spans="1:14" x14ac:dyDescent="0.25">
      <c r="A54" s="50">
        <v>27</v>
      </c>
      <c r="B54" s="39"/>
      <c r="C54" s="62"/>
      <c r="D54" s="62"/>
      <c r="E54" s="62"/>
      <c r="F54" s="62"/>
      <c r="G54" s="39"/>
      <c r="H54" s="39"/>
      <c r="I54" s="39"/>
      <c r="J54" s="14">
        <v>4452818</v>
      </c>
      <c r="K54" s="40">
        <v>5037705</v>
      </c>
      <c r="L54" s="40">
        <v>7024937</v>
      </c>
      <c r="M54" s="40">
        <v>3183301</v>
      </c>
      <c r="N54" s="17"/>
    </row>
    <row r="55" spans="1:14" x14ac:dyDescent="0.25">
      <c r="A55" s="50">
        <v>28</v>
      </c>
      <c r="B55" s="39"/>
      <c r="C55" s="62"/>
      <c r="D55" s="62"/>
      <c r="E55" s="62"/>
      <c r="F55" s="62"/>
      <c r="G55" s="39"/>
      <c r="H55" s="39"/>
      <c r="I55" s="39"/>
      <c r="J55" s="14">
        <v>4621552</v>
      </c>
      <c r="K55" s="40"/>
      <c r="L55" s="40">
        <v>6523287</v>
      </c>
      <c r="M55" s="40">
        <v>3577251</v>
      </c>
      <c r="N55" s="17"/>
    </row>
    <row r="56" spans="1:14" x14ac:dyDescent="0.25">
      <c r="A56" s="50">
        <v>29</v>
      </c>
      <c r="B56" s="39"/>
      <c r="C56" s="62"/>
      <c r="D56" s="61"/>
      <c r="E56" s="62"/>
      <c r="F56" s="62"/>
      <c r="G56" s="39"/>
      <c r="H56" s="39"/>
      <c r="I56" s="39"/>
      <c r="J56" s="14">
        <v>4873686</v>
      </c>
      <c r="K56" s="40"/>
      <c r="L56" s="40">
        <v>5803687</v>
      </c>
      <c r="M56" s="40">
        <v>3629701</v>
      </c>
      <c r="N56" s="17"/>
    </row>
    <row r="57" spans="1:14" x14ac:dyDescent="0.25">
      <c r="A57" s="50">
        <v>30</v>
      </c>
      <c r="B57" s="39"/>
      <c r="C57" s="62"/>
      <c r="D57" s="62"/>
      <c r="E57" s="62"/>
      <c r="F57" s="62"/>
      <c r="G57" s="39"/>
      <c r="H57" s="39"/>
      <c r="I57" s="39"/>
      <c r="J57" s="55">
        <v>5276686</v>
      </c>
      <c r="K57" s="40">
        <v>5445705</v>
      </c>
      <c r="L57" s="40">
        <v>5526637</v>
      </c>
      <c r="M57" s="39"/>
      <c r="N57" s="17"/>
    </row>
    <row r="58" spans="1:14" x14ac:dyDescent="0.25">
      <c r="A58" s="50">
        <v>31</v>
      </c>
      <c r="B58" s="39"/>
      <c r="C58" s="62"/>
      <c r="D58" s="62"/>
      <c r="E58" s="62"/>
      <c r="F58" s="62"/>
      <c r="G58" s="39"/>
      <c r="H58" s="39"/>
      <c r="I58" s="39"/>
      <c r="J58" s="39"/>
      <c r="K58" s="40">
        <v>5491205</v>
      </c>
      <c r="L58" s="40"/>
      <c r="M58" s="39"/>
    </row>
    <row r="59" spans="1:14" ht="31.5" x14ac:dyDescent="0.25">
      <c r="A59" s="51" t="s">
        <v>59</v>
      </c>
      <c r="B59" s="40">
        <v>2266539</v>
      </c>
      <c r="C59" s="40">
        <v>2203539</v>
      </c>
      <c r="D59" s="40">
        <v>2723797</v>
      </c>
      <c r="E59" s="40">
        <v>2346619</v>
      </c>
      <c r="F59" s="16">
        <v>1685017</v>
      </c>
      <c r="G59" s="40">
        <v>2623817</v>
      </c>
      <c r="H59" s="40">
        <v>2984919</v>
      </c>
      <c r="I59" s="40">
        <v>3049367</v>
      </c>
      <c r="J59" s="14">
        <v>5276686</v>
      </c>
      <c r="K59" s="40">
        <v>5491205</v>
      </c>
      <c r="L59" s="40">
        <v>5526637</v>
      </c>
      <c r="M59" s="40">
        <v>3629701</v>
      </c>
    </row>
    <row r="60" spans="1:14" x14ac:dyDescent="0.25">
      <c r="A60" s="52" t="s">
        <v>55</v>
      </c>
      <c r="B60" s="53">
        <f>B59-M23</f>
        <v>-158881</v>
      </c>
      <c r="C60" s="54">
        <f>C59-B59</f>
        <v>-63000</v>
      </c>
      <c r="D60" s="54">
        <f t="shared" ref="D60:M60" si="0">D59-C59</f>
        <v>520258</v>
      </c>
      <c r="E60" s="54">
        <f t="shared" si="0"/>
        <v>-377178</v>
      </c>
      <c r="F60" s="54">
        <f t="shared" si="0"/>
        <v>-661602</v>
      </c>
      <c r="G60" s="54">
        <f t="shared" si="0"/>
        <v>938800</v>
      </c>
      <c r="H60" s="54">
        <f t="shared" si="0"/>
        <v>361102</v>
      </c>
      <c r="I60" s="54">
        <f t="shared" si="0"/>
        <v>64448</v>
      </c>
      <c r="J60" s="54">
        <f t="shared" si="0"/>
        <v>2227319</v>
      </c>
      <c r="K60" s="54">
        <f t="shared" si="0"/>
        <v>214519</v>
      </c>
      <c r="L60" s="54">
        <f t="shared" si="0"/>
        <v>35432</v>
      </c>
      <c r="M60" s="54">
        <f t="shared" si="0"/>
        <v>-1896936</v>
      </c>
      <c r="N60" s="17"/>
    </row>
    <row r="61" spans="1:14" x14ac:dyDescent="0.25">
      <c r="A61" s="52" t="s">
        <v>56</v>
      </c>
      <c r="B61" s="98">
        <f>SUM(B60:M60)</f>
        <v>1204281</v>
      </c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100"/>
    </row>
    <row r="62" spans="1:14" x14ac:dyDescent="0.25">
      <c r="A62" s="97" t="s">
        <v>79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</row>
    <row r="63" spans="1:14" x14ac:dyDescent="0.25">
      <c r="A63" s="92" t="s">
        <v>51</v>
      </c>
      <c r="B63" s="92"/>
      <c r="C63" s="56" t="s">
        <v>61</v>
      </c>
      <c r="D63" s="56" t="s">
        <v>62</v>
      </c>
      <c r="E63" s="56" t="s">
        <v>63</v>
      </c>
      <c r="F63" s="56" t="s">
        <v>64</v>
      </c>
      <c r="G63" s="56" t="s">
        <v>65</v>
      </c>
      <c r="H63" s="56" t="s">
        <v>66</v>
      </c>
      <c r="I63" s="56" t="s">
        <v>67</v>
      </c>
      <c r="J63" s="56" t="s">
        <v>68</v>
      </c>
      <c r="K63" s="56" t="s">
        <v>69</v>
      </c>
      <c r="L63" s="56" t="s">
        <v>57</v>
      </c>
      <c r="M63" s="56" t="s">
        <v>58</v>
      </c>
    </row>
    <row r="64" spans="1:14" ht="33" x14ac:dyDescent="0.25">
      <c r="A64" s="33" t="s">
        <v>9</v>
      </c>
      <c r="B64" s="2" t="s">
        <v>52</v>
      </c>
      <c r="C64" s="2" t="s">
        <v>52</v>
      </c>
      <c r="D64" s="2" t="s">
        <v>52</v>
      </c>
      <c r="E64" s="2" t="s">
        <v>52</v>
      </c>
      <c r="F64" s="2" t="s">
        <v>52</v>
      </c>
      <c r="G64" s="2" t="s">
        <v>52</v>
      </c>
      <c r="H64" s="2" t="s">
        <v>52</v>
      </c>
      <c r="I64" s="2" t="s">
        <v>52</v>
      </c>
      <c r="J64" s="2" t="s">
        <v>52</v>
      </c>
      <c r="K64" s="2" t="s">
        <v>52</v>
      </c>
      <c r="L64" s="33" t="s">
        <v>86</v>
      </c>
      <c r="M64" s="2" t="s">
        <v>52</v>
      </c>
    </row>
    <row r="65" spans="1:14" x14ac:dyDescent="0.25">
      <c r="A65" s="50">
        <v>1</v>
      </c>
      <c r="B65" s="40"/>
      <c r="C65" s="61">
        <v>5113104</v>
      </c>
      <c r="D65" s="61">
        <v>4524801</v>
      </c>
      <c r="E65" s="61"/>
      <c r="F65" s="61"/>
      <c r="G65" s="40">
        <v>4226687</v>
      </c>
      <c r="H65" s="40"/>
      <c r="I65" s="55">
        <v>7570193</v>
      </c>
      <c r="J65" s="57"/>
      <c r="K65" s="57"/>
      <c r="L65" s="40">
        <v>7798864</v>
      </c>
      <c r="M65" s="40"/>
    </row>
    <row r="66" spans="1:14" x14ac:dyDescent="0.25">
      <c r="A66" s="50">
        <v>2</v>
      </c>
      <c r="B66" s="40">
        <v>3839501</v>
      </c>
      <c r="C66" s="61">
        <v>4700704</v>
      </c>
      <c r="D66" s="61">
        <v>4144801</v>
      </c>
      <c r="E66" s="61">
        <v>3596267</v>
      </c>
      <c r="F66" s="61"/>
      <c r="G66" s="40"/>
      <c r="H66" s="40"/>
      <c r="I66" s="42">
        <v>6400520</v>
      </c>
      <c r="J66" s="57"/>
      <c r="K66" s="57"/>
      <c r="L66" s="40"/>
      <c r="M66" s="40"/>
    </row>
    <row r="67" spans="1:14" x14ac:dyDescent="0.25">
      <c r="A67" s="50">
        <v>3</v>
      </c>
      <c r="B67" s="40">
        <v>4044901</v>
      </c>
      <c r="C67" s="61"/>
      <c r="D67" s="61"/>
      <c r="E67" s="61">
        <v>3563508</v>
      </c>
      <c r="F67" s="61"/>
      <c r="G67" s="40"/>
      <c r="H67" s="40">
        <v>4206087</v>
      </c>
      <c r="I67" s="40"/>
      <c r="J67" s="55">
        <v>10865460</v>
      </c>
      <c r="K67" s="57">
        <v>6021677</v>
      </c>
      <c r="L67" s="40"/>
      <c r="M67" s="40">
        <v>9012646</v>
      </c>
    </row>
    <row r="68" spans="1:14" x14ac:dyDescent="0.25">
      <c r="A68" s="50">
        <v>4</v>
      </c>
      <c r="B68" s="40">
        <v>4702904</v>
      </c>
      <c r="C68" s="61"/>
      <c r="D68" s="61"/>
      <c r="E68" s="61"/>
      <c r="F68" s="61">
        <v>727222</v>
      </c>
      <c r="G68" s="40"/>
      <c r="H68" s="40"/>
      <c r="I68" s="40"/>
      <c r="J68" s="55">
        <v>10865460</v>
      </c>
      <c r="K68" s="57">
        <v>6141677</v>
      </c>
      <c r="L68" s="40"/>
      <c r="M68" s="40"/>
    </row>
    <row r="69" spans="1:14" x14ac:dyDescent="0.25">
      <c r="A69" s="50">
        <v>5</v>
      </c>
      <c r="B69" s="40">
        <v>4714704</v>
      </c>
      <c r="C69" s="61">
        <v>3904154</v>
      </c>
      <c r="D69" s="61"/>
      <c r="E69" s="61"/>
      <c r="F69" s="61"/>
      <c r="G69" s="40"/>
      <c r="H69" s="40"/>
      <c r="I69" s="40"/>
      <c r="J69" s="59">
        <v>11108460</v>
      </c>
      <c r="K69" s="57"/>
      <c r="L69" s="40">
        <v>7850380</v>
      </c>
      <c r="M69" s="40"/>
      <c r="N69" s="17"/>
    </row>
    <row r="70" spans="1:14" x14ac:dyDescent="0.25">
      <c r="A70" s="50">
        <v>6</v>
      </c>
      <c r="B70" s="40"/>
      <c r="C70" s="61">
        <v>2572110</v>
      </c>
      <c r="D70" s="61"/>
      <c r="E70" s="61"/>
      <c r="F70" s="61"/>
      <c r="G70" s="40">
        <v>4638687</v>
      </c>
      <c r="H70" s="40">
        <v>4968287</v>
      </c>
      <c r="I70" s="40"/>
      <c r="J70" s="57"/>
      <c r="K70" s="57"/>
      <c r="L70" s="40">
        <v>7760003</v>
      </c>
      <c r="M70" s="40"/>
      <c r="N70" s="17"/>
    </row>
    <row r="71" spans="1:14" x14ac:dyDescent="0.25">
      <c r="A71" s="50">
        <v>7</v>
      </c>
      <c r="B71" s="40"/>
      <c r="C71" s="61">
        <v>3317110</v>
      </c>
      <c r="D71" s="61">
        <v>3594801</v>
      </c>
      <c r="E71" s="61"/>
      <c r="F71" s="61"/>
      <c r="G71" s="40"/>
      <c r="H71" s="40"/>
      <c r="I71" s="40"/>
      <c r="J71" s="57">
        <v>9892025</v>
      </c>
      <c r="K71" s="57"/>
      <c r="L71" s="57">
        <v>8137931</v>
      </c>
      <c r="M71" s="40">
        <v>7874464</v>
      </c>
      <c r="N71" s="17"/>
    </row>
    <row r="72" spans="1:14" x14ac:dyDescent="0.25">
      <c r="A72" s="50">
        <v>8</v>
      </c>
      <c r="B72" s="40">
        <v>4250404</v>
      </c>
      <c r="C72" s="61"/>
      <c r="D72" s="61">
        <v>4124801</v>
      </c>
      <c r="E72" s="61"/>
      <c r="F72" s="61">
        <v>813128</v>
      </c>
      <c r="G72" s="40"/>
      <c r="H72" s="42"/>
      <c r="I72" s="40">
        <v>6762620</v>
      </c>
      <c r="J72" s="57"/>
      <c r="K72" s="57"/>
      <c r="L72" s="57"/>
      <c r="M72" s="40"/>
      <c r="N72" s="17"/>
    </row>
    <row r="73" spans="1:14" x14ac:dyDescent="0.25">
      <c r="A73" s="50">
        <v>9</v>
      </c>
      <c r="B73" s="40">
        <v>4448354</v>
      </c>
      <c r="C73" s="61">
        <v>2114801</v>
      </c>
      <c r="D73" s="61">
        <v>4594801</v>
      </c>
      <c r="E73" s="61"/>
      <c r="F73" s="61">
        <v>793827</v>
      </c>
      <c r="G73" s="40"/>
      <c r="H73" s="40">
        <v>5483287</v>
      </c>
      <c r="I73" s="42"/>
      <c r="J73" s="57"/>
      <c r="K73" s="57"/>
      <c r="L73" s="57"/>
      <c r="M73" s="39"/>
      <c r="N73" s="17"/>
    </row>
    <row r="74" spans="1:14" x14ac:dyDescent="0.25">
      <c r="A74" s="50">
        <v>10</v>
      </c>
      <c r="B74" s="40">
        <v>3898004</v>
      </c>
      <c r="C74" s="62"/>
      <c r="D74" s="61"/>
      <c r="E74" s="61">
        <v>2133503</v>
      </c>
      <c r="F74" s="61">
        <v>713827</v>
      </c>
      <c r="G74" s="40"/>
      <c r="H74" s="40">
        <v>5668687</v>
      </c>
      <c r="I74" s="55">
        <v>7295120</v>
      </c>
      <c r="J74" s="57">
        <v>8243825</v>
      </c>
      <c r="K74" s="57"/>
      <c r="L74" s="57"/>
      <c r="M74" s="39"/>
      <c r="N74" s="17"/>
    </row>
    <row r="75" spans="1:14" x14ac:dyDescent="0.25">
      <c r="A75" s="50">
        <v>11</v>
      </c>
      <c r="B75" s="40">
        <v>3739004</v>
      </c>
      <c r="C75" s="62"/>
      <c r="D75" s="61"/>
      <c r="E75" s="61"/>
      <c r="F75" s="61"/>
      <c r="G75" s="40"/>
      <c r="H75" s="40">
        <v>5551267</v>
      </c>
      <c r="I75" s="40"/>
      <c r="J75" s="57">
        <v>7678025</v>
      </c>
      <c r="K75" s="57"/>
      <c r="L75" s="57"/>
      <c r="M75" s="40">
        <v>8221435</v>
      </c>
      <c r="N75" s="17"/>
    </row>
    <row r="76" spans="1:14" x14ac:dyDescent="0.25">
      <c r="A76" s="50">
        <v>12</v>
      </c>
      <c r="B76" s="40">
        <v>4422604</v>
      </c>
      <c r="C76" s="61">
        <v>2254801</v>
      </c>
      <c r="D76" s="61">
        <v>5300801</v>
      </c>
      <c r="E76" s="61"/>
      <c r="F76" s="61"/>
      <c r="G76" s="40"/>
      <c r="H76" s="40">
        <v>6148667</v>
      </c>
      <c r="I76" s="40"/>
      <c r="J76" s="57">
        <v>6448025</v>
      </c>
      <c r="K76" s="57"/>
      <c r="L76" s="57"/>
      <c r="M76" s="40">
        <v>8268674</v>
      </c>
      <c r="N76" s="17"/>
    </row>
    <row r="77" spans="1:14" x14ac:dyDescent="0.25">
      <c r="A77" s="50">
        <v>13</v>
      </c>
      <c r="B77" s="40"/>
      <c r="C77" s="62"/>
      <c r="D77" s="61">
        <v>5434801</v>
      </c>
      <c r="E77" s="61"/>
      <c r="F77" s="61"/>
      <c r="G77" s="40"/>
      <c r="H77" s="55">
        <v>7125358</v>
      </c>
      <c r="I77" s="55">
        <v>7614620</v>
      </c>
      <c r="J77" s="57">
        <v>6571025</v>
      </c>
      <c r="K77" s="57"/>
      <c r="L77" s="57"/>
      <c r="M77" s="40"/>
      <c r="N77" s="17"/>
    </row>
    <row r="78" spans="1:14" x14ac:dyDescent="0.25">
      <c r="A78" s="50">
        <v>14</v>
      </c>
      <c r="B78" s="39"/>
      <c r="C78" s="62"/>
      <c r="D78" s="61">
        <v>5124801</v>
      </c>
      <c r="E78" s="61"/>
      <c r="F78" s="61"/>
      <c r="G78" s="40"/>
      <c r="H78" s="40"/>
      <c r="I78" s="59">
        <v>7827620</v>
      </c>
      <c r="J78" s="57">
        <v>8022425</v>
      </c>
      <c r="K78" s="57"/>
      <c r="L78" s="57"/>
      <c r="M78" s="40">
        <v>8559867</v>
      </c>
      <c r="N78" s="17"/>
    </row>
    <row r="79" spans="1:14" x14ac:dyDescent="0.25">
      <c r="A79" s="50">
        <v>15</v>
      </c>
      <c r="B79" s="40">
        <v>5313554</v>
      </c>
      <c r="C79" s="62"/>
      <c r="D79" s="61">
        <v>4510779</v>
      </c>
      <c r="E79" s="61"/>
      <c r="F79" s="61">
        <v>415687</v>
      </c>
      <c r="G79" s="40"/>
      <c r="H79" s="40"/>
      <c r="I79" s="59">
        <v>8017219</v>
      </c>
      <c r="J79" s="57"/>
      <c r="K79" s="57"/>
      <c r="L79" s="57"/>
      <c r="M79" s="40"/>
      <c r="N79" s="17"/>
    </row>
    <row r="80" spans="1:14" x14ac:dyDescent="0.25">
      <c r="A80" s="50">
        <v>16</v>
      </c>
      <c r="B80" s="40">
        <v>5256904</v>
      </c>
      <c r="C80" s="62"/>
      <c r="D80" s="61"/>
      <c r="E80" s="61"/>
      <c r="F80" s="61"/>
      <c r="G80" s="40"/>
      <c r="H80" s="39"/>
      <c r="I80" s="59">
        <v>8403993</v>
      </c>
      <c r="J80" s="57"/>
      <c r="K80" s="57">
        <v>6335706</v>
      </c>
      <c r="L80" s="57"/>
      <c r="M80" s="39"/>
      <c r="N80" s="17"/>
    </row>
    <row r="81" spans="1:14" x14ac:dyDescent="0.25">
      <c r="A81" s="50">
        <v>17</v>
      </c>
      <c r="B81" s="40">
        <v>5075504</v>
      </c>
      <c r="C81" s="62"/>
      <c r="D81" s="63"/>
      <c r="E81" s="62">
        <v>1648703</v>
      </c>
      <c r="F81" s="61">
        <v>889487</v>
      </c>
      <c r="G81" s="39"/>
      <c r="H81" s="55">
        <v>7270997</v>
      </c>
      <c r="I81" s="59">
        <v>8937621</v>
      </c>
      <c r="J81" s="57">
        <v>8391425</v>
      </c>
      <c r="K81" s="57"/>
      <c r="L81" s="57"/>
      <c r="M81" s="40">
        <v>9002094</v>
      </c>
      <c r="N81" s="17"/>
    </row>
    <row r="82" spans="1:14" x14ac:dyDescent="0.25">
      <c r="A82" s="50">
        <v>18</v>
      </c>
      <c r="B82" s="40">
        <v>4929354</v>
      </c>
      <c r="C82" s="62"/>
      <c r="D82" s="61"/>
      <c r="E82" s="62">
        <v>2093103</v>
      </c>
      <c r="F82" s="62"/>
      <c r="G82" s="39"/>
      <c r="H82" s="40">
        <v>7094111</v>
      </c>
      <c r="I82" s="39"/>
      <c r="J82" s="57"/>
      <c r="K82" s="57"/>
      <c r="L82" s="57"/>
      <c r="M82" s="40">
        <v>8657094</v>
      </c>
      <c r="N82" s="17"/>
    </row>
    <row r="83" spans="1:14" x14ac:dyDescent="0.25">
      <c r="A83" s="50">
        <v>19</v>
      </c>
      <c r="B83" s="40">
        <v>5216854</v>
      </c>
      <c r="C83" s="62"/>
      <c r="D83" s="61"/>
      <c r="E83" s="62"/>
      <c r="F83" s="62"/>
      <c r="G83" s="39"/>
      <c r="H83" s="40">
        <v>6555193</v>
      </c>
      <c r="I83" s="39"/>
      <c r="J83" s="57">
        <v>7761825</v>
      </c>
      <c r="K83" s="57"/>
      <c r="L83" s="57"/>
      <c r="M83" s="39"/>
    </row>
    <row r="84" spans="1:14" x14ac:dyDescent="0.25">
      <c r="A84" s="50">
        <v>20</v>
      </c>
      <c r="B84" s="39"/>
      <c r="C84" s="62"/>
      <c r="D84" s="61">
        <v>4160779</v>
      </c>
      <c r="E84" s="2">
        <v>542489</v>
      </c>
      <c r="F84" s="62"/>
      <c r="G84" s="40">
        <v>2743487</v>
      </c>
      <c r="H84" s="40">
        <v>6961193</v>
      </c>
      <c r="I84" s="59">
        <v>9192621</v>
      </c>
      <c r="J84" s="57"/>
      <c r="K84" s="57"/>
      <c r="L84" s="57"/>
      <c r="M84" s="40"/>
      <c r="N84" s="17"/>
    </row>
    <row r="85" spans="1:14" x14ac:dyDescent="0.25">
      <c r="A85" s="50">
        <v>21</v>
      </c>
      <c r="B85" s="39"/>
      <c r="C85" s="61">
        <v>3604801</v>
      </c>
      <c r="D85" s="61"/>
      <c r="E85" s="62"/>
      <c r="F85" s="61">
        <v>1095487</v>
      </c>
      <c r="G85" s="39"/>
      <c r="H85" s="39"/>
      <c r="I85" s="40">
        <v>9022621</v>
      </c>
      <c r="J85" s="57">
        <v>6196522</v>
      </c>
      <c r="K85" s="57"/>
      <c r="L85" s="57">
        <v>7606640</v>
      </c>
      <c r="M85" s="40"/>
      <c r="N85" s="17"/>
    </row>
    <row r="86" spans="1:14" x14ac:dyDescent="0.25">
      <c r="A86" s="50">
        <v>22</v>
      </c>
      <c r="B86" s="40">
        <v>5153254</v>
      </c>
      <c r="C86" s="61">
        <v>4224801</v>
      </c>
      <c r="D86" s="61">
        <v>4276515</v>
      </c>
      <c r="E86" s="62"/>
      <c r="F86" s="61">
        <v>2166687</v>
      </c>
      <c r="G86" s="39"/>
      <c r="H86" s="39"/>
      <c r="I86" s="40">
        <v>8678460</v>
      </c>
      <c r="J86" s="57"/>
      <c r="K86" s="57"/>
      <c r="L86" s="57"/>
      <c r="M86" s="40">
        <v>7055388</v>
      </c>
      <c r="N86" s="17"/>
    </row>
    <row r="87" spans="1:14" x14ac:dyDescent="0.25">
      <c r="A87" s="50">
        <v>23</v>
      </c>
      <c r="B87" s="39"/>
      <c r="C87" s="61">
        <v>4384801</v>
      </c>
      <c r="D87" s="61">
        <v>3545329</v>
      </c>
      <c r="E87" s="62"/>
      <c r="F87" s="61">
        <v>3299687</v>
      </c>
      <c r="G87" s="39"/>
      <c r="H87" s="39"/>
      <c r="I87" s="59">
        <v>9407460</v>
      </c>
      <c r="J87" s="58"/>
      <c r="K87" s="57"/>
      <c r="L87" s="57">
        <v>7006640</v>
      </c>
      <c r="M87" s="39"/>
      <c r="N87" s="17"/>
    </row>
    <row r="88" spans="1:14" x14ac:dyDescent="0.25">
      <c r="A88" s="50">
        <v>24</v>
      </c>
      <c r="B88" s="40">
        <v>5099054</v>
      </c>
      <c r="C88" s="62"/>
      <c r="D88" s="61"/>
      <c r="E88" s="62"/>
      <c r="F88" s="61">
        <v>3114287</v>
      </c>
      <c r="G88" s="39"/>
      <c r="H88" s="14">
        <v>7773193</v>
      </c>
      <c r="I88" s="59">
        <v>9407460</v>
      </c>
      <c r="J88" s="58"/>
      <c r="K88" s="57"/>
      <c r="L88" s="57"/>
      <c r="M88" s="40">
        <v>6777695</v>
      </c>
      <c r="N88" s="17"/>
    </row>
    <row r="89" spans="1:14" x14ac:dyDescent="0.25">
      <c r="A89" s="50">
        <v>25</v>
      </c>
      <c r="B89" s="40">
        <v>4684204</v>
      </c>
      <c r="C89" s="62"/>
      <c r="D89" s="62"/>
      <c r="E89" s="62"/>
      <c r="F89" s="61"/>
      <c r="G89" s="39"/>
      <c r="H89" s="40">
        <v>6859693</v>
      </c>
      <c r="I89" s="39"/>
      <c r="J89" s="57"/>
      <c r="K89" s="57"/>
      <c r="L89" s="57"/>
      <c r="M89" s="40">
        <v>6158290</v>
      </c>
    </row>
    <row r="90" spans="1:14" x14ac:dyDescent="0.25">
      <c r="A90" s="50">
        <v>26</v>
      </c>
      <c r="B90" s="40">
        <v>4903354</v>
      </c>
      <c r="C90" s="62"/>
      <c r="D90" s="62"/>
      <c r="E90" s="62"/>
      <c r="F90" s="61"/>
      <c r="G90" s="39"/>
      <c r="H90" s="39"/>
      <c r="I90" s="39"/>
      <c r="J90" s="57"/>
      <c r="K90" s="57">
        <v>6328524</v>
      </c>
      <c r="L90" s="57">
        <v>7366640</v>
      </c>
      <c r="M90" s="40">
        <v>6254290</v>
      </c>
    </row>
    <row r="91" spans="1:14" x14ac:dyDescent="0.25">
      <c r="A91" s="50">
        <v>27</v>
      </c>
      <c r="B91" s="40">
        <v>4811404</v>
      </c>
      <c r="C91" s="61">
        <v>4514801</v>
      </c>
      <c r="D91" s="61">
        <v>3710935</v>
      </c>
      <c r="E91" s="62"/>
      <c r="F91" s="61"/>
      <c r="G91" s="39"/>
      <c r="H91" s="40">
        <v>7367193</v>
      </c>
      <c r="I91" s="59">
        <v>9771960</v>
      </c>
      <c r="J91" s="57"/>
      <c r="K91" s="57"/>
      <c r="L91" s="57">
        <v>8182640</v>
      </c>
      <c r="M91" s="40">
        <v>7805290</v>
      </c>
      <c r="N91" s="17"/>
    </row>
    <row r="92" spans="1:14" x14ac:dyDescent="0.25">
      <c r="A92" s="50">
        <v>28</v>
      </c>
      <c r="B92" s="40">
        <v>4542754</v>
      </c>
      <c r="C92" s="62"/>
      <c r="D92" s="61">
        <v>2979935</v>
      </c>
      <c r="E92" s="62"/>
      <c r="F92" s="61"/>
      <c r="G92" s="40">
        <v>2949487</v>
      </c>
      <c r="H92" s="39"/>
      <c r="I92" s="59">
        <v>9771960</v>
      </c>
      <c r="J92" s="57"/>
      <c r="K92" s="57"/>
      <c r="L92" s="57"/>
      <c r="M92" s="40">
        <v>7538290</v>
      </c>
      <c r="N92" s="17"/>
    </row>
    <row r="93" spans="1:14" x14ac:dyDescent="0.25">
      <c r="A93" s="50">
        <v>29</v>
      </c>
      <c r="B93" s="39"/>
      <c r="C93" s="62"/>
      <c r="D93" s="61">
        <v>3795935</v>
      </c>
      <c r="E93" s="62"/>
      <c r="F93" s="61">
        <v>3217287</v>
      </c>
      <c r="G93" s="40">
        <v>3814687</v>
      </c>
      <c r="H93" s="39"/>
      <c r="I93" s="59">
        <v>9893460</v>
      </c>
      <c r="J93" s="57"/>
      <c r="K93" s="57">
        <v>5148864</v>
      </c>
      <c r="L93" s="57">
        <v>7972646</v>
      </c>
      <c r="M93" s="40"/>
      <c r="N93" s="17"/>
    </row>
    <row r="94" spans="1:14" x14ac:dyDescent="0.25">
      <c r="A94" s="50">
        <v>30</v>
      </c>
      <c r="B94" s="39"/>
      <c r="C94" s="62"/>
      <c r="D94" s="61">
        <v>4407935</v>
      </c>
      <c r="E94" s="62"/>
      <c r="F94" s="61">
        <v>2722887</v>
      </c>
      <c r="G94" s="39"/>
      <c r="H94" s="39"/>
      <c r="I94" s="59">
        <v>10500960</v>
      </c>
      <c r="J94" s="57"/>
      <c r="K94" s="57">
        <v>5398854</v>
      </c>
      <c r="L94" s="57">
        <v>8212646</v>
      </c>
      <c r="M94" s="39"/>
      <c r="N94" s="17"/>
    </row>
    <row r="95" spans="1:14" x14ac:dyDescent="0.25">
      <c r="A95" s="50">
        <v>31</v>
      </c>
      <c r="B95" s="40">
        <v>4662954</v>
      </c>
      <c r="C95" s="62"/>
      <c r="D95" s="61">
        <v>4067935</v>
      </c>
      <c r="E95" s="62"/>
      <c r="F95" s="61">
        <v>3423287</v>
      </c>
      <c r="G95" s="39"/>
      <c r="H95" s="39"/>
      <c r="I95" s="59">
        <v>10986960</v>
      </c>
      <c r="J95" s="58"/>
      <c r="K95" s="57">
        <v>6848864</v>
      </c>
      <c r="L95" s="57"/>
      <c r="M95" s="39"/>
    </row>
    <row r="96" spans="1:14" ht="31.5" x14ac:dyDescent="0.25">
      <c r="A96" s="51" t="s">
        <v>59</v>
      </c>
      <c r="B96" s="40">
        <v>4662954</v>
      </c>
      <c r="C96" s="61">
        <v>4514801</v>
      </c>
      <c r="D96" s="61">
        <v>4067935</v>
      </c>
      <c r="E96" s="62">
        <v>542489</v>
      </c>
      <c r="F96" s="61">
        <v>3423287</v>
      </c>
      <c r="G96" s="40">
        <v>3814687</v>
      </c>
      <c r="H96" s="40">
        <v>7367193</v>
      </c>
      <c r="I96" s="59">
        <v>10986960</v>
      </c>
      <c r="J96" s="57">
        <v>6196522</v>
      </c>
      <c r="K96" s="57">
        <v>6848864</v>
      </c>
      <c r="L96" s="57">
        <v>8212646</v>
      </c>
      <c r="M96" s="40">
        <v>7538290</v>
      </c>
    </row>
    <row r="97" spans="1:14" x14ac:dyDescent="0.25">
      <c r="A97" s="52" t="s">
        <v>55</v>
      </c>
      <c r="B97" s="53">
        <f>B96-M59</f>
        <v>1033253</v>
      </c>
      <c r="C97" s="53">
        <f>IF(C96=0,0,C96-B96)</f>
        <v>-148153</v>
      </c>
      <c r="D97" s="53">
        <f t="shared" ref="D97:M97" si="1">IF(D96=0,0,D96-C96)</f>
        <v>-446866</v>
      </c>
      <c r="E97" s="53">
        <f t="shared" si="1"/>
        <v>-3525446</v>
      </c>
      <c r="F97" s="53">
        <f t="shared" si="1"/>
        <v>2880798</v>
      </c>
      <c r="G97" s="53">
        <f t="shared" si="1"/>
        <v>391400</v>
      </c>
      <c r="H97" s="53">
        <f t="shared" si="1"/>
        <v>3552506</v>
      </c>
      <c r="I97" s="53">
        <f t="shared" si="1"/>
        <v>3619767</v>
      </c>
      <c r="J97" s="53">
        <f t="shared" si="1"/>
        <v>-4790438</v>
      </c>
      <c r="K97" s="53">
        <f t="shared" si="1"/>
        <v>652342</v>
      </c>
      <c r="L97" s="53">
        <f t="shared" si="1"/>
        <v>1363782</v>
      </c>
      <c r="M97" s="53">
        <f t="shared" si="1"/>
        <v>-674356</v>
      </c>
      <c r="N97" s="17"/>
    </row>
    <row r="98" spans="1:14" x14ac:dyDescent="0.25">
      <c r="A98" s="52" t="s">
        <v>56</v>
      </c>
      <c r="B98" s="98">
        <f>SUM(B97:M97)</f>
        <v>3908589</v>
      </c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100"/>
    </row>
    <row r="100" spans="1:14" x14ac:dyDescent="0.25">
      <c r="A100" s="97" t="s">
        <v>96</v>
      </c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</row>
    <row r="101" spans="1:14" x14ac:dyDescent="0.25">
      <c r="A101" s="92" t="s">
        <v>51</v>
      </c>
      <c r="B101" s="92"/>
      <c r="C101" s="67" t="s">
        <v>61</v>
      </c>
      <c r="D101" s="67" t="s">
        <v>62</v>
      </c>
      <c r="E101" s="67" t="s">
        <v>63</v>
      </c>
      <c r="F101" s="67" t="s">
        <v>64</v>
      </c>
      <c r="G101" s="67" t="s">
        <v>65</v>
      </c>
      <c r="H101" s="67" t="s">
        <v>66</v>
      </c>
      <c r="I101" s="67" t="s">
        <v>67</v>
      </c>
      <c r="J101" s="67" t="s">
        <v>68</v>
      </c>
      <c r="K101" s="67" t="s">
        <v>69</v>
      </c>
      <c r="L101" s="67" t="s">
        <v>57</v>
      </c>
      <c r="M101" s="67" t="s">
        <v>58</v>
      </c>
    </row>
    <row r="102" spans="1:14" ht="63.75" x14ac:dyDescent="0.25">
      <c r="A102" s="33" t="s">
        <v>9</v>
      </c>
      <c r="B102" s="2" t="s">
        <v>52</v>
      </c>
      <c r="C102" s="33" t="s">
        <v>129</v>
      </c>
      <c r="D102" s="2" t="s">
        <v>52</v>
      </c>
      <c r="E102" s="2" t="s">
        <v>52</v>
      </c>
      <c r="F102" s="2" t="s">
        <v>52</v>
      </c>
      <c r="G102" s="2" t="s">
        <v>52</v>
      </c>
      <c r="H102" s="2" t="s">
        <v>52</v>
      </c>
      <c r="I102" s="2" t="s">
        <v>52</v>
      </c>
      <c r="J102" s="2" t="s">
        <v>52</v>
      </c>
      <c r="K102" s="2" t="s">
        <v>52</v>
      </c>
      <c r="L102" s="33" t="s">
        <v>134</v>
      </c>
      <c r="M102" s="33" t="s">
        <v>133</v>
      </c>
    </row>
    <row r="103" spans="1:14" x14ac:dyDescent="0.25">
      <c r="A103" s="50">
        <v>1</v>
      </c>
      <c r="B103" s="40"/>
      <c r="C103" s="61"/>
      <c r="D103" s="61"/>
      <c r="E103" s="61">
        <v>16146302</v>
      </c>
      <c r="F103" s="61"/>
      <c r="G103" s="40"/>
      <c r="H103" s="40">
        <v>17525824</v>
      </c>
      <c r="I103" s="40">
        <v>19705103</v>
      </c>
      <c r="J103" s="40"/>
      <c r="K103" s="57">
        <v>23606958</v>
      </c>
      <c r="L103" s="14">
        <v>25524291</v>
      </c>
      <c r="M103" s="40"/>
    </row>
    <row r="104" spans="1:14" x14ac:dyDescent="0.25">
      <c r="A104" s="50">
        <v>2</v>
      </c>
      <c r="B104" s="40">
        <v>7208290</v>
      </c>
      <c r="C104" s="61"/>
      <c r="D104" s="61"/>
      <c r="E104" s="61">
        <v>15791406</v>
      </c>
      <c r="F104" s="61">
        <v>19496733</v>
      </c>
      <c r="G104" s="40"/>
      <c r="H104" s="40">
        <v>18350824</v>
      </c>
      <c r="I104" s="40">
        <v>18551625</v>
      </c>
      <c r="J104" s="80">
        <v>22787503</v>
      </c>
      <c r="K104" s="57"/>
      <c r="L104" s="40"/>
      <c r="M104" s="40">
        <v>21734022</v>
      </c>
    </row>
    <row r="105" spans="1:14" x14ac:dyDescent="0.25">
      <c r="A105" s="50">
        <v>3</v>
      </c>
      <c r="B105" s="40">
        <v>6943940</v>
      </c>
      <c r="C105" s="61"/>
      <c r="D105" s="61"/>
      <c r="E105" s="61">
        <v>15955406</v>
      </c>
      <c r="F105" s="70">
        <v>20351733</v>
      </c>
      <c r="G105" s="40">
        <v>14064344</v>
      </c>
      <c r="H105" s="40">
        <v>15380824</v>
      </c>
      <c r="I105" s="40"/>
      <c r="J105" s="40">
        <v>22256908</v>
      </c>
      <c r="K105" s="57"/>
      <c r="L105" s="40"/>
      <c r="M105" s="40">
        <v>21533076</v>
      </c>
    </row>
    <row r="106" spans="1:14" x14ac:dyDescent="0.25">
      <c r="A106" s="50">
        <v>4</v>
      </c>
      <c r="B106" s="40">
        <v>7108940</v>
      </c>
      <c r="C106" s="61"/>
      <c r="D106" s="61"/>
      <c r="E106" s="61"/>
      <c r="F106" s="61"/>
      <c r="G106" s="40">
        <v>13252327</v>
      </c>
      <c r="H106" s="40">
        <v>16205824</v>
      </c>
      <c r="I106" s="40"/>
      <c r="J106" s="80">
        <v>23776908</v>
      </c>
      <c r="K106" s="57"/>
      <c r="L106" s="40">
        <v>25394291</v>
      </c>
      <c r="M106" s="40">
        <v>21404202</v>
      </c>
    </row>
    <row r="107" spans="1:14" x14ac:dyDescent="0.25">
      <c r="A107" s="50">
        <v>5</v>
      </c>
      <c r="B107" s="40"/>
      <c r="C107" s="61"/>
      <c r="D107" s="61">
        <v>9261891</v>
      </c>
      <c r="E107" s="61"/>
      <c r="F107" s="61"/>
      <c r="G107" s="40">
        <v>13852327</v>
      </c>
      <c r="H107" s="40">
        <v>16375103</v>
      </c>
      <c r="I107" s="70">
        <v>20257825</v>
      </c>
      <c r="J107" s="80">
        <v>24204408</v>
      </c>
      <c r="K107" s="57"/>
      <c r="L107" s="14">
        <v>26528944</v>
      </c>
      <c r="M107" s="40">
        <v>23026680</v>
      </c>
    </row>
    <row r="108" spans="1:14" x14ac:dyDescent="0.25">
      <c r="A108" s="50">
        <v>6</v>
      </c>
      <c r="B108" s="40"/>
      <c r="C108" s="61"/>
      <c r="D108" s="61">
        <v>8829891</v>
      </c>
      <c r="E108" s="61"/>
      <c r="F108" s="61">
        <v>19325733</v>
      </c>
      <c r="G108" s="40">
        <v>13102327</v>
      </c>
      <c r="H108" s="40"/>
      <c r="I108" s="70">
        <v>20622825</v>
      </c>
      <c r="J108" s="80">
        <v>25106908</v>
      </c>
      <c r="K108" s="57"/>
      <c r="L108" s="14">
        <v>26553944</v>
      </c>
      <c r="M108" s="40">
        <v>22762536</v>
      </c>
    </row>
    <row r="109" spans="1:14" x14ac:dyDescent="0.25">
      <c r="A109" s="50">
        <v>7</v>
      </c>
      <c r="B109" s="40"/>
      <c r="C109" s="61"/>
      <c r="D109" s="61">
        <v>9117891</v>
      </c>
      <c r="E109" s="61"/>
      <c r="F109" s="61">
        <v>19838733</v>
      </c>
      <c r="G109" s="40"/>
      <c r="H109" s="40"/>
      <c r="I109" s="70">
        <v>21276986</v>
      </c>
      <c r="J109" s="40"/>
      <c r="K109" s="57"/>
      <c r="L109" s="57">
        <v>25173944</v>
      </c>
      <c r="M109" s="40"/>
    </row>
    <row r="110" spans="1:14" x14ac:dyDescent="0.25">
      <c r="A110" s="50">
        <v>8</v>
      </c>
      <c r="B110" s="40">
        <v>7331076</v>
      </c>
      <c r="C110" s="61"/>
      <c r="D110" s="61">
        <v>9549891</v>
      </c>
      <c r="E110" s="61">
        <v>15791404</v>
      </c>
      <c r="F110" s="61">
        <v>19325733</v>
      </c>
      <c r="G110" s="40"/>
      <c r="H110" s="42"/>
      <c r="I110" s="40"/>
      <c r="J110" s="40"/>
      <c r="K110" s="57"/>
      <c r="L110" s="57">
        <v>24808944</v>
      </c>
      <c r="M110" s="40"/>
    </row>
    <row r="111" spans="1:14" x14ac:dyDescent="0.25">
      <c r="A111" s="50">
        <v>9</v>
      </c>
      <c r="B111" s="40">
        <v>7431076</v>
      </c>
      <c r="C111" s="61"/>
      <c r="D111" s="61"/>
      <c r="E111" s="61">
        <v>16611406</v>
      </c>
      <c r="F111" s="61">
        <v>17786733</v>
      </c>
      <c r="G111" s="40"/>
      <c r="H111" s="40"/>
      <c r="I111" s="40"/>
      <c r="J111" s="80">
        <v>25486908</v>
      </c>
      <c r="K111" s="57"/>
      <c r="L111" s="57"/>
      <c r="M111" s="40">
        <v>24348798</v>
      </c>
    </row>
    <row r="112" spans="1:14" x14ac:dyDescent="0.25">
      <c r="A112" s="50">
        <v>10</v>
      </c>
      <c r="B112" s="40">
        <v>6931076</v>
      </c>
      <c r="C112" s="62"/>
      <c r="D112" s="61"/>
      <c r="E112" s="61">
        <v>17103406</v>
      </c>
      <c r="F112" s="61">
        <v>18128733</v>
      </c>
      <c r="G112" s="40">
        <v>14902327</v>
      </c>
      <c r="H112" s="40">
        <v>17207603</v>
      </c>
      <c r="I112" s="40"/>
      <c r="J112" s="40">
        <v>22066908</v>
      </c>
      <c r="K112" s="57"/>
      <c r="L112" s="57"/>
      <c r="M112" s="40">
        <v>24858514</v>
      </c>
    </row>
    <row r="113" spans="1:13" x14ac:dyDescent="0.25">
      <c r="A113" s="50">
        <v>11</v>
      </c>
      <c r="B113" s="40">
        <v>7531076</v>
      </c>
      <c r="C113" s="61">
        <v>8466253</v>
      </c>
      <c r="D113" s="61">
        <v>9693891</v>
      </c>
      <c r="E113" s="61">
        <v>16283406</v>
      </c>
      <c r="F113" s="61"/>
      <c r="G113" s="40">
        <v>14902327</v>
      </c>
      <c r="H113" s="7">
        <v>17207603</v>
      </c>
      <c r="I113" s="40"/>
      <c r="J113" s="57">
        <v>23491908</v>
      </c>
      <c r="K113" s="57"/>
      <c r="L113" s="57">
        <v>23788148</v>
      </c>
      <c r="M113" s="40">
        <v>24999240</v>
      </c>
    </row>
    <row r="114" spans="1:13" x14ac:dyDescent="0.25">
      <c r="A114" s="50">
        <v>12</v>
      </c>
      <c r="B114" s="40"/>
      <c r="C114" s="61"/>
      <c r="D114" s="61">
        <v>8973891</v>
      </c>
      <c r="E114" s="61">
        <v>17103406</v>
      </c>
      <c r="F114" s="61"/>
      <c r="G114" s="40">
        <v>15052327</v>
      </c>
      <c r="H114" s="40">
        <v>17041103</v>
      </c>
      <c r="I114" s="40"/>
      <c r="J114" s="57">
        <v>23016908</v>
      </c>
      <c r="K114" s="57"/>
      <c r="L114" s="57">
        <v>24401858</v>
      </c>
      <c r="M114" s="40">
        <v>24824542</v>
      </c>
    </row>
    <row r="115" spans="1:13" x14ac:dyDescent="0.25">
      <c r="A115" s="50">
        <v>13</v>
      </c>
      <c r="B115" s="40"/>
      <c r="C115" s="61">
        <v>8653850</v>
      </c>
      <c r="D115" s="61">
        <v>9837891</v>
      </c>
      <c r="E115" s="61"/>
      <c r="F115" s="61">
        <v>18299733</v>
      </c>
      <c r="G115" s="40">
        <v>15652327</v>
      </c>
      <c r="H115" s="40"/>
      <c r="I115" s="40"/>
      <c r="J115" s="57"/>
      <c r="K115" s="57"/>
      <c r="L115" s="57">
        <v>24391858</v>
      </c>
      <c r="M115" s="40">
        <v>24901894</v>
      </c>
    </row>
    <row r="116" spans="1:13" x14ac:dyDescent="0.25">
      <c r="A116" s="50">
        <v>14</v>
      </c>
      <c r="B116" s="40">
        <v>7656820</v>
      </c>
      <c r="C116" s="61">
        <v>8049740</v>
      </c>
      <c r="D116" s="61">
        <v>9549891</v>
      </c>
      <c r="E116" s="61"/>
      <c r="F116" s="76">
        <v>16760733</v>
      </c>
      <c r="G116" s="40">
        <v>14152327</v>
      </c>
      <c r="H116" s="40"/>
      <c r="I116" s="40">
        <v>21262656</v>
      </c>
      <c r="J116" s="57"/>
      <c r="K116" s="57"/>
      <c r="L116" s="57">
        <v>24231858</v>
      </c>
      <c r="M116" s="40"/>
    </row>
    <row r="117" spans="1:13" x14ac:dyDescent="0.25">
      <c r="A117" s="50">
        <v>15</v>
      </c>
      <c r="B117" s="40"/>
      <c r="C117" s="61">
        <v>7101891</v>
      </c>
      <c r="D117" s="61">
        <v>10088907</v>
      </c>
      <c r="E117" s="61">
        <v>16447406</v>
      </c>
      <c r="F117" s="61">
        <v>18470733</v>
      </c>
      <c r="G117" s="40"/>
      <c r="H117" s="40">
        <v>17207603</v>
      </c>
      <c r="I117" s="40">
        <v>20722656</v>
      </c>
      <c r="J117" s="57"/>
      <c r="K117" s="57">
        <v>23571484</v>
      </c>
      <c r="L117" s="57">
        <v>24681858</v>
      </c>
      <c r="M117" s="40"/>
    </row>
    <row r="118" spans="1:13" x14ac:dyDescent="0.25">
      <c r="A118" s="50">
        <v>16</v>
      </c>
      <c r="B118" s="40"/>
      <c r="C118" s="62"/>
      <c r="D118" s="61"/>
      <c r="E118" s="61">
        <v>16939406</v>
      </c>
      <c r="F118" s="61">
        <v>16589733</v>
      </c>
      <c r="G118" s="40"/>
      <c r="H118" s="40"/>
      <c r="I118" s="40">
        <v>20692656</v>
      </c>
      <c r="J118" s="57">
        <v>22731908</v>
      </c>
      <c r="K118" s="57">
        <v>23221484</v>
      </c>
      <c r="L118" s="57"/>
      <c r="M118" s="40">
        <v>25165512</v>
      </c>
    </row>
    <row r="119" spans="1:13" x14ac:dyDescent="0.25">
      <c r="A119" s="50">
        <v>17</v>
      </c>
      <c r="B119" s="40"/>
      <c r="C119" s="62"/>
      <c r="D119" s="63"/>
      <c r="E119" s="61">
        <v>16611406</v>
      </c>
      <c r="F119" s="61"/>
      <c r="G119" s="40">
        <v>13552327</v>
      </c>
      <c r="H119" s="40">
        <v>17540603</v>
      </c>
      <c r="I119" s="40"/>
      <c r="J119" s="57">
        <v>21971908</v>
      </c>
      <c r="K119" s="57">
        <v>23771484</v>
      </c>
      <c r="L119" s="57"/>
      <c r="M119" s="40">
        <v>25102620</v>
      </c>
    </row>
    <row r="120" spans="1:13" x14ac:dyDescent="0.25">
      <c r="A120" s="50">
        <v>18</v>
      </c>
      <c r="B120" s="40">
        <v>7944793</v>
      </c>
      <c r="C120" s="61">
        <v>7389891</v>
      </c>
      <c r="D120" s="61">
        <v>12626907</v>
      </c>
      <c r="E120" s="61">
        <v>15463406</v>
      </c>
      <c r="F120" s="62"/>
      <c r="G120" s="39"/>
      <c r="H120" s="40">
        <v>17041103</v>
      </c>
      <c r="I120" s="40"/>
      <c r="J120" s="57">
        <v>22874408</v>
      </c>
      <c r="K120" s="57">
        <v>23708787</v>
      </c>
      <c r="L120" s="57">
        <v>23641858</v>
      </c>
      <c r="M120" s="40">
        <v>25059972</v>
      </c>
    </row>
    <row r="121" spans="1:13" x14ac:dyDescent="0.25">
      <c r="A121" s="50">
        <v>19</v>
      </c>
      <c r="B121" s="40"/>
      <c r="C121" s="61">
        <v>7677891</v>
      </c>
      <c r="D121" s="61">
        <v>12024907</v>
      </c>
      <c r="E121" s="61"/>
      <c r="F121" s="62"/>
      <c r="G121" s="40">
        <v>15202327</v>
      </c>
      <c r="H121" s="40">
        <v>18206603</v>
      </c>
      <c r="I121" s="40">
        <v>20355696</v>
      </c>
      <c r="J121" s="57">
        <v>22161908</v>
      </c>
      <c r="K121" s="57"/>
      <c r="L121" s="57">
        <v>24106858</v>
      </c>
      <c r="M121" s="40">
        <v>25229368</v>
      </c>
    </row>
    <row r="122" spans="1:13" x14ac:dyDescent="0.25">
      <c r="A122" s="50">
        <v>20</v>
      </c>
      <c r="B122" s="39"/>
      <c r="C122" s="62"/>
      <c r="D122" s="61">
        <v>13040907</v>
      </c>
      <c r="E122" s="61"/>
      <c r="F122" s="61">
        <v>14195733</v>
      </c>
      <c r="G122" s="40">
        <v>15502327</v>
      </c>
      <c r="H122" s="40"/>
      <c r="I122" s="40"/>
      <c r="J122" s="57">
        <v>22731908</v>
      </c>
      <c r="K122" s="57"/>
      <c r="L122" s="57">
        <v>22651858</v>
      </c>
      <c r="M122" s="40">
        <v>25405512</v>
      </c>
    </row>
    <row r="123" spans="1:13" x14ac:dyDescent="0.25">
      <c r="A123" s="50">
        <v>21</v>
      </c>
      <c r="B123" s="39"/>
      <c r="C123" s="61">
        <v>7821891</v>
      </c>
      <c r="D123" s="61">
        <v>12602907</v>
      </c>
      <c r="E123" s="61"/>
      <c r="F123" s="61">
        <v>15392733</v>
      </c>
      <c r="G123" s="40">
        <v>14784893</v>
      </c>
      <c r="H123" s="40"/>
      <c r="I123" s="40">
        <v>19510003</v>
      </c>
      <c r="J123" s="57"/>
      <c r="K123" s="57">
        <v>23808787</v>
      </c>
      <c r="L123" s="57">
        <v>22926858</v>
      </c>
      <c r="M123" s="40"/>
    </row>
    <row r="124" spans="1:13" x14ac:dyDescent="0.25">
      <c r="A124" s="50">
        <v>22</v>
      </c>
      <c r="B124" s="40">
        <v>7444793</v>
      </c>
      <c r="C124" s="61">
        <v>9117891</v>
      </c>
      <c r="D124" s="61">
        <v>12690302</v>
      </c>
      <c r="E124" s="61">
        <v>16447406</v>
      </c>
      <c r="F124" s="61"/>
      <c r="G124" s="39"/>
      <c r="H124" s="40">
        <v>19538603</v>
      </c>
      <c r="I124" s="40">
        <v>20372503</v>
      </c>
      <c r="J124" s="57"/>
      <c r="K124" s="57">
        <v>23658787</v>
      </c>
      <c r="L124" s="57">
        <v>22501858</v>
      </c>
      <c r="M124" s="40"/>
    </row>
    <row r="125" spans="1:13" x14ac:dyDescent="0.25">
      <c r="A125" s="50">
        <v>23</v>
      </c>
      <c r="B125" s="40">
        <v>7944793</v>
      </c>
      <c r="C125" s="61"/>
      <c r="D125" s="61"/>
      <c r="E125" s="61">
        <v>18460250</v>
      </c>
      <c r="F125" s="61"/>
      <c r="G125" s="39"/>
      <c r="H125" s="40">
        <v>18872603</v>
      </c>
      <c r="I125" s="40">
        <v>19855003</v>
      </c>
      <c r="J125" s="57">
        <v>23111908</v>
      </c>
      <c r="K125" s="57">
        <v>23758787</v>
      </c>
      <c r="L125" s="57"/>
      <c r="M125" s="40">
        <v>25361900</v>
      </c>
    </row>
    <row r="126" spans="1:13" x14ac:dyDescent="0.25">
      <c r="A126" s="50">
        <v>24</v>
      </c>
      <c r="B126" s="40">
        <v>7844793</v>
      </c>
      <c r="C126" s="62"/>
      <c r="D126" s="61"/>
      <c r="E126" s="61"/>
      <c r="F126" s="61"/>
      <c r="G126" s="39"/>
      <c r="H126" s="40">
        <v>19538603</v>
      </c>
      <c r="I126" s="40"/>
      <c r="J126" s="58"/>
      <c r="K126" s="57">
        <v>24758787</v>
      </c>
      <c r="L126" s="57"/>
      <c r="M126" s="40">
        <v>24271283</v>
      </c>
    </row>
    <row r="127" spans="1:13" x14ac:dyDescent="0.25">
      <c r="A127" s="50">
        <v>25</v>
      </c>
      <c r="B127" s="40">
        <v>7844793</v>
      </c>
      <c r="C127" s="61">
        <v>9693891</v>
      </c>
      <c r="D127" s="61">
        <v>13122302</v>
      </c>
      <c r="E127" s="61">
        <v>18356553</v>
      </c>
      <c r="F127" s="61"/>
      <c r="G127" s="40">
        <v>16749550</v>
      </c>
      <c r="H127" s="40">
        <v>19039103</v>
      </c>
      <c r="I127" s="40"/>
      <c r="J127" s="57"/>
      <c r="K127" s="57">
        <v>24783787</v>
      </c>
      <c r="L127" s="57">
        <v>23241858</v>
      </c>
      <c r="M127" s="40">
        <v>24143221</v>
      </c>
    </row>
    <row r="128" spans="1:13" x14ac:dyDescent="0.25">
      <c r="A128" s="50">
        <v>26</v>
      </c>
      <c r="B128" s="40"/>
      <c r="C128" s="61">
        <v>9549891</v>
      </c>
      <c r="D128" s="61">
        <v>13122302</v>
      </c>
      <c r="E128" s="61">
        <v>17615433</v>
      </c>
      <c r="F128" s="61"/>
      <c r="G128" s="40">
        <v>17049550</v>
      </c>
      <c r="H128" s="40">
        <v>19705103</v>
      </c>
      <c r="I128" s="40">
        <v>18015003</v>
      </c>
      <c r="J128" s="57"/>
      <c r="K128" s="57"/>
      <c r="L128" s="57">
        <v>23121858</v>
      </c>
      <c r="M128" s="40">
        <v>23499959</v>
      </c>
    </row>
    <row r="129" spans="1:13" x14ac:dyDescent="0.25">
      <c r="A129" s="50">
        <v>27</v>
      </c>
      <c r="B129" s="40"/>
      <c r="C129" s="61">
        <v>9693891</v>
      </c>
      <c r="D129" s="61">
        <v>13410302</v>
      </c>
      <c r="E129" s="61"/>
      <c r="F129" s="76">
        <v>11801733</v>
      </c>
      <c r="G129" s="40">
        <v>16674550</v>
      </c>
      <c r="H129" s="40"/>
      <c r="I129" s="40">
        <v>17957903</v>
      </c>
      <c r="J129" s="57"/>
      <c r="K129" s="57"/>
      <c r="L129" s="57">
        <v>23041590</v>
      </c>
      <c r="M129" s="40">
        <v>24798031</v>
      </c>
    </row>
    <row r="130" spans="1:13" x14ac:dyDescent="0.25">
      <c r="A130" s="50">
        <v>28</v>
      </c>
      <c r="B130" s="40"/>
      <c r="C130" s="62"/>
      <c r="D130" s="61">
        <v>13842302</v>
      </c>
      <c r="E130" s="61"/>
      <c r="F130" s="61">
        <v>13324793</v>
      </c>
      <c r="G130" s="40">
        <v>17124550</v>
      </c>
      <c r="H130" s="40"/>
      <c r="I130" s="40">
        <v>20430003</v>
      </c>
      <c r="J130" s="57"/>
      <c r="K130" s="57"/>
      <c r="L130" s="57">
        <v>22081950</v>
      </c>
      <c r="M130" s="40"/>
    </row>
    <row r="131" spans="1:13" x14ac:dyDescent="0.25">
      <c r="A131" s="50">
        <v>29</v>
      </c>
      <c r="B131" s="39"/>
      <c r="C131" s="62"/>
      <c r="D131" s="61">
        <v>14418302</v>
      </c>
      <c r="E131" s="61">
        <v>17957733</v>
      </c>
      <c r="F131" s="61">
        <v>13804793</v>
      </c>
      <c r="G131" s="40"/>
      <c r="H131" s="14">
        <v>20038103</v>
      </c>
      <c r="I131" s="40">
        <v>20257503</v>
      </c>
      <c r="J131" s="57"/>
      <c r="K131" s="57">
        <v>24633787</v>
      </c>
      <c r="L131" s="57">
        <v>21961950</v>
      </c>
      <c r="M131" s="40"/>
    </row>
    <row r="132" spans="1:13" x14ac:dyDescent="0.25">
      <c r="A132" s="50">
        <v>30</v>
      </c>
      <c r="B132" s="40">
        <v>8044793</v>
      </c>
      <c r="C132" s="62"/>
      <c r="D132" s="61"/>
      <c r="E132" s="61">
        <v>18470733</v>
      </c>
      <c r="F132" s="61"/>
      <c r="G132" s="40"/>
      <c r="H132" s="40">
        <v>18539603</v>
      </c>
      <c r="I132" s="70">
        <v>21522503</v>
      </c>
      <c r="J132" s="57"/>
      <c r="K132" s="57">
        <v>24733787</v>
      </c>
      <c r="L132" s="57"/>
      <c r="M132" s="40">
        <v>25201527</v>
      </c>
    </row>
    <row r="133" spans="1:13" x14ac:dyDescent="0.25">
      <c r="A133" s="50">
        <v>31</v>
      </c>
      <c r="B133" s="40"/>
      <c r="C133" s="62"/>
      <c r="D133" s="61"/>
      <c r="E133" s="62"/>
      <c r="F133" s="61">
        <v>14548344</v>
      </c>
      <c r="G133" s="40"/>
      <c r="H133" s="40">
        <v>18872603</v>
      </c>
      <c r="I133" s="40"/>
      <c r="J133" s="58"/>
      <c r="K133" s="57">
        <v>25186227</v>
      </c>
      <c r="L133" s="57"/>
      <c r="M133" s="40">
        <v>26275267</v>
      </c>
    </row>
    <row r="134" spans="1:13" ht="31.5" x14ac:dyDescent="0.25">
      <c r="A134" s="81" t="s">
        <v>59</v>
      </c>
      <c r="B134" s="82">
        <v>8044793</v>
      </c>
      <c r="C134" s="82">
        <v>9693891</v>
      </c>
      <c r="D134" s="82">
        <v>14418302</v>
      </c>
      <c r="E134" s="82">
        <v>18470733</v>
      </c>
      <c r="F134" s="82">
        <v>14548344</v>
      </c>
      <c r="G134" s="82">
        <v>17124550</v>
      </c>
      <c r="H134" s="82">
        <v>18872603</v>
      </c>
      <c r="I134" s="82">
        <v>21522503</v>
      </c>
      <c r="J134" s="82">
        <v>23111908</v>
      </c>
      <c r="K134" s="82">
        <v>25186227</v>
      </c>
      <c r="L134" s="82">
        <v>21961950</v>
      </c>
      <c r="M134" s="82">
        <v>26275267</v>
      </c>
    </row>
    <row r="135" spans="1:13" x14ac:dyDescent="0.25">
      <c r="A135" s="52" t="s">
        <v>55</v>
      </c>
      <c r="B135" s="53">
        <f>B134-M96</f>
        <v>506503</v>
      </c>
      <c r="C135" s="53">
        <f>IF(C134=0,0,C134-B134)</f>
        <v>1649098</v>
      </c>
      <c r="D135" s="53">
        <f t="shared" ref="D135" si="2">IF(D134=0,0,D134-C134)</f>
        <v>4724411</v>
      </c>
      <c r="E135" s="53">
        <f t="shared" ref="E135" si="3">IF(E134=0,0,E134-D134)</f>
        <v>4052431</v>
      </c>
      <c r="F135" s="53">
        <f t="shared" ref="F135" si="4">IF(F134=0,0,F134-E134)</f>
        <v>-3922389</v>
      </c>
      <c r="G135" s="53">
        <f t="shared" ref="G135" si="5">IF(G134=0,0,G134-F134)</f>
        <v>2576206</v>
      </c>
      <c r="H135" s="53">
        <f t="shared" ref="H135" si="6">IF(H134=0,0,H134-G134)</f>
        <v>1748053</v>
      </c>
      <c r="I135" s="53">
        <f t="shared" ref="I135" si="7">IF(I134=0,0,I134-H134)</f>
        <v>2649900</v>
      </c>
      <c r="J135" s="53">
        <f t="shared" ref="J135" si="8">IF(J134=0,0,J134-I134)</f>
        <v>1589405</v>
      </c>
      <c r="K135" s="53">
        <f t="shared" ref="K135" si="9">IF(K134=0,0,K134-J134)</f>
        <v>2074319</v>
      </c>
      <c r="L135" s="53">
        <f t="shared" ref="L135" si="10">IF(L134=0,0,L134-K134)</f>
        <v>-3224277</v>
      </c>
      <c r="M135" s="53">
        <f t="shared" ref="M135" si="11">IF(M134=0,0,M134-L134)</f>
        <v>4313317</v>
      </c>
    </row>
    <row r="136" spans="1:13" x14ac:dyDescent="0.25">
      <c r="A136" s="52" t="s">
        <v>56</v>
      </c>
      <c r="B136" s="98">
        <f>SUM(B135:M135)</f>
        <v>18736977</v>
      </c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100"/>
    </row>
    <row r="137" spans="1:13" x14ac:dyDescent="0.25">
      <c r="K137" s="17"/>
    </row>
    <row r="138" spans="1:13" x14ac:dyDescent="0.25">
      <c r="A138" s="97" t="s">
        <v>135</v>
      </c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</row>
    <row r="139" spans="1:13" x14ac:dyDescent="0.25">
      <c r="A139" s="92" t="s">
        <v>51</v>
      </c>
      <c r="B139" s="92"/>
      <c r="C139" s="89" t="s">
        <v>61</v>
      </c>
      <c r="D139" s="89" t="s">
        <v>62</v>
      </c>
      <c r="E139" s="89" t="s">
        <v>63</v>
      </c>
      <c r="F139" s="89" t="s">
        <v>64</v>
      </c>
      <c r="G139" s="89" t="s">
        <v>65</v>
      </c>
      <c r="H139" s="89" t="s">
        <v>66</v>
      </c>
      <c r="I139" s="89" t="s">
        <v>67</v>
      </c>
      <c r="J139" s="89" t="s">
        <v>68</v>
      </c>
      <c r="K139" s="89" t="s">
        <v>69</v>
      </c>
      <c r="L139" s="89" t="s">
        <v>57</v>
      </c>
      <c r="M139" s="89" t="s">
        <v>58</v>
      </c>
    </row>
    <row r="140" spans="1:13" ht="63.75" x14ac:dyDescent="0.25">
      <c r="A140" s="33" t="s">
        <v>9</v>
      </c>
      <c r="B140" s="2" t="s">
        <v>52</v>
      </c>
      <c r="C140" s="33" t="s">
        <v>129</v>
      </c>
      <c r="D140" s="2" t="s">
        <v>52</v>
      </c>
      <c r="E140" s="2" t="s">
        <v>52</v>
      </c>
      <c r="F140" s="2" t="s">
        <v>52</v>
      </c>
      <c r="G140" s="2" t="s">
        <v>52</v>
      </c>
      <c r="H140" s="2" t="s">
        <v>52</v>
      </c>
      <c r="I140" s="2" t="s">
        <v>52</v>
      </c>
      <c r="J140" s="2" t="s">
        <v>52</v>
      </c>
      <c r="K140" s="2" t="s">
        <v>52</v>
      </c>
      <c r="L140" s="33" t="s">
        <v>134</v>
      </c>
      <c r="M140" s="33" t="s">
        <v>133</v>
      </c>
    </row>
    <row r="141" spans="1:13" x14ac:dyDescent="0.25">
      <c r="A141" s="50">
        <v>1</v>
      </c>
      <c r="B141" s="40"/>
      <c r="C141" s="61"/>
      <c r="D141" s="61"/>
      <c r="E141" s="61"/>
      <c r="F141" s="61"/>
      <c r="G141" s="40"/>
      <c r="H141" s="40"/>
      <c r="I141" s="40"/>
      <c r="J141" s="40"/>
      <c r="K141" s="40"/>
      <c r="L141" s="40"/>
      <c r="M141" s="40"/>
    </row>
    <row r="142" spans="1:13" x14ac:dyDescent="0.25">
      <c r="A142" s="50">
        <v>2</v>
      </c>
      <c r="B142" s="14">
        <v>27688681</v>
      </c>
      <c r="C142" s="61"/>
      <c r="D142" s="61"/>
      <c r="E142" s="61"/>
      <c r="F142" s="61"/>
      <c r="G142" s="40"/>
      <c r="H142" s="40"/>
      <c r="I142" s="40"/>
      <c r="J142" s="40"/>
      <c r="K142" s="40"/>
      <c r="L142" s="40"/>
      <c r="M142" s="40"/>
    </row>
    <row r="143" spans="1:13" x14ac:dyDescent="0.25">
      <c r="A143" s="50">
        <v>3</v>
      </c>
      <c r="B143" s="40">
        <v>26753617</v>
      </c>
      <c r="C143" s="61">
        <v>24755780</v>
      </c>
      <c r="D143" s="61"/>
      <c r="E143" s="61"/>
      <c r="F143" s="61"/>
      <c r="G143" s="40"/>
      <c r="H143" s="40"/>
      <c r="I143" s="40"/>
      <c r="J143" s="40"/>
      <c r="K143" s="40"/>
      <c r="L143" s="40"/>
      <c r="M143" s="40"/>
    </row>
    <row r="144" spans="1:13" x14ac:dyDescent="0.25">
      <c r="A144" s="50">
        <v>4</v>
      </c>
      <c r="B144" s="40"/>
      <c r="C144" s="61">
        <v>26670888</v>
      </c>
      <c r="D144" s="61"/>
      <c r="E144" s="61"/>
      <c r="F144" s="61"/>
      <c r="G144" s="40"/>
      <c r="H144" s="40"/>
      <c r="I144" s="40"/>
      <c r="J144" s="40"/>
      <c r="K144" s="40"/>
      <c r="L144" s="40"/>
      <c r="M144" s="40"/>
    </row>
    <row r="145" spans="1:13" x14ac:dyDescent="0.25">
      <c r="A145" s="50">
        <v>5</v>
      </c>
      <c r="B145" s="40"/>
      <c r="C145" s="61">
        <v>27237207</v>
      </c>
      <c r="D145" s="61"/>
      <c r="E145" s="61"/>
      <c r="F145" s="61"/>
      <c r="G145" s="40"/>
      <c r="H145" s="40"/>
      <c r="I145" s="40"/>
      <c r="J145" s="40"/>
      <c r="K145" s="40"/>
      <c r="L145" s="40"/>
      <c r="M145" s="40"/>
    </row>
    <row r="146" spans="1:13" x14ac:dyDescent="0.25">
      <c r="A146" s="50">
        <v>6</v>
      </c>
      <c r="B146" s="40">
        <v>26355905</v>
      </c>
      <c r="C146" s="61">
        <v>27639558</v>
      </c>
      <c r="D146" s="61"/>
      <c r="E146" s="61"/>
      <c r="F146" s="61"/>
      <c r="G146" s="40"/>
      <c r="H146" s="40"/>
      <c r="I146" s="40"/>
      <c r="J146" s="40"/>
      <c r="K146" s="40"/>
      <c r="L146" s="40"/>
      <c r="M146" s="40"/>
    </row>
    <row r="147" spans="1:13" x14ac:dyDescent="0.25">
      <c r="A147" s="50">
        <v>7</v>
      </c>
      <c r="B147" s="40">
        <v>24266265</v>
      </c>
      <c r="C147" s="61">
        <v>27312279</v>
      </c>
      <c r="D147" s="61"/>
      <c r="E147" s="61"/>
      <c r="F147" s="61"/>
      <c r="G147" s="40"/>
      <c r="H147" s="40"/>
      <c r="I147" s="40"/>
      <c r="J147" s="40"/>
      <c r="K147" s="40"/>
      <c r="L147" s="40"/>
      <c r="M147" s="40"/>
    </row>
    <row r="148" spans="1:13" x14ac:dyDescent="0.25">
      <c r="A148" s="50">
        <v>8</v>
      </c>
      <c r="B148" s="40">
        <v>25055905</v>
      </c>
      <c r="C148" s="61"/>
      <c r="D148" s="61"/>
      <c r="E148" s="61"/>
      <c r="F148" s="61"/>
      <c r="G148" s="40"/>
      <c r="H148" s="40"/>
      <c r="I148" s="40"/>
      <c r="J148" s="40"/>
      <c r="K148" s="40"/>
      <c r="L148" s="40"/>
      <c r="M148" s="40"/>
    </row>
    <row r="149" spans="1:13" x14ac:dyDescent="0.25">
      <c r="A149" s="50">
        <v>9</v>
      </c>
      <c r="B149" s="40">
        <v>25871573</v>
      </c>
      <c r="C149" s="61"/>
      <c r="D149" s="61"/>
      <c r="E149" s="61"/>
      <c r="F149" s="61"/>
      <c r="G149" s="40"/>
      <c r="H149" s="40"/>
      <c r="I149" s="40"/>
      <c r="J149" s="40"/>
      <c r="K149" s="40"/>
      <c r="L149" s="40"/>
      <c r="M149" s="40"/>
    </row>
    <row r="150" spans="1:13" x14ac:dyDescent="0.25">
      <c r="A150" s="50">
        <v>10</v>
      </c>
      <c r="B150" s="40">
        <v>25214825</v>
      </c>
      <c r="C150" s="14">
        <v>28471135</v>
      </c>
      <c r="D150" s="61"/>
      <c r="E150" s="61"/>
      <c r="F150" s="61"/>
      <c r="G150" s="40"/>
      <c r="H150" s="40"/>
      <c r="I150" s="40"/>
      <c r="J150" s="40"/>
      <c r="K150" s="40"/>
      <c r="L150" s="40"/>
      <c r="M150" s="40"/>
    </row>
    <row r="151" spans="1:13" x14ac:dyDescent="0.25">
      <c r="A151" s="50">
        <v>11</v>
      </c>
      <c r="B151" s="40"/>
      <c r="C151" s="14">
        <v>28975052</v>
      </c>
      <c r="D151" s="61"/>
      <c r="E151" s="61"/>
      <c r="F151" s="61"/>
      <c r="G151" s="40"/>
      <c r="H151" s="40"/>
      <c r="I151" s="40"/>
      <c r="J151" s="40"/>
      <c r="K151" s="40"/>
      <c r="L151" s="40"/>
      <c r="M151" s="40"/>
    </row>
    <row r="152" spans="1:13" x14ac:dyDescent="0.25">
      <c r="A152" s="50">
        <v>12</v>
      </c>
      <c r="B152" s="40"/>
      <c r="C152" s="61">
        <v>28790476</v>
      </c>
      <c r="D152" s="61"/>
      <c r="E152" s="61"/>
      <c r="F152" s="61"/>
      <c r="G152" s="40"/>
      <c r="H152" s="40"/>
      <c r="I152" s="40"/>
      <c r="J152" s="40"/>
      <c r="K152" s="40"/>
      <c r="L152" s="40"/>
      <c r="M152" s="40"/>
    </row>
    <row r="153" spans="1:13" x14ac:dyDescent="0.25">
      <c r="A153" s="50">
        <v>13</v>
      </c>
      <c r="B153" s="40">
        <v>25848437</v>
      </c>
      <c r="C153" s="61">
        <v>28041064</v>
      </c>
      <c r="D153" s="61"/>
      <c r="E153" s="61"/>
      <c r="F153" s="61"/>
      <c r="G153" s="40"/>
      <c r="H153" s="40"/>
      <c r="I153" s="40"/>
      <c r="J153" s="40"/>
      <c r="K153" s="40"/>
      <c r="L153" s="40"/>
      <c r="M153" s="40"/>
    </row>
    <row r="154" spans="1:13" x14ac:dyDescent="0.25">
      <c r="A154" s="50">
        <v>14</v>
      </c>
      <c r="B154" s="40">
        <v>25984221</v>
      </c>
      <c r="C154" s="61">
        <v>28846776</v>
      </c>
      <c r="D154" s="61"/>
      <c r="E154" s="61"/>
      <c r="F154" s="61"/>
      <c r="G154" s="40"/>
      <c r="H154" s="40"/>
      <c r="I154" s="40"/>
      <c r="J154" s="40"/>
      <c r="K154" s="40"/>
      <c r="L154" s="40"/>
      <c r="M154" s="40"/>
    </row>
    <row r="155" spans="1:13" x14ac:dyDescent="0.25">
      <c r="A155" s="50">
        <v>15</v>
      </c>
      <c r="B155" s="40">
        <v>25837833</v>
      </c>
      <c r="C155" s="61"/>
      <c r="D155" s="61"/>
      <c r="E155" s="61"/>
      <c r="F155" s="61"/>
      <c r="G155" s="40"/>
      <c r="H155" s="40"/>
      <c r="I155" s="40"/>
      <c r="J155" s="40"/>
      <c r="K155" s="40"/>
      <c r="L155" s="40"/>
      <c r="M155" s="40"/>
    </row>
    <row r="156" spans="1:13" x14ac:dyDescent="0.25">
      <c r="A156" s="50">
        <v>16</v>
      </c>
      <c r="B156" s="40">
        <v>25983257</v>
      </c>
      <c r="C156" s="62"/>
      <c r="D156" s="61"/>
      <c r="E156" s="61"/>
      <c r="F156" s="61"/>
      <c r="G156" s="40"/>
      <c r="H156" s="40"/>
      <c r="I156" s="40"/>
      <c r="J156" s="40"/>
      <c r="K156" s="40"/>
      <c r="L156" s="40"/>
      <c r="M156" s="40"/>
    </row>
    <row r="157" spans="1:13" x14ac:dyDescent="0.25">
      <c r="A157" s="50">
        <v>17</v>
      </c>
      <c r="B157" s="40">
        <v>27266869</v>
      </c>
      <c r="C157" s="14">
        <v>29098316</v>
      </c>
      <c r="D157" s="63"/>
      <c r="E157" s="61"/>
      <c r="F157" s="61"/>
      <c r="G157" s="40"/>
      <c r="H157" s="40"/>
      <c r="I157" s="40"/>
      <c r="J157" s="40"/>
      <c r="K157" s="40"/>
      <c r="L157" s="40"/>
      <c r="M157" s="40"/>
    </row>
    <row r="158" spans="1:13" x14ac:dyDescent="0.25">
      <c r="A158" s="50">
        <v>18</v>
      </c>
      <c r="B158" s="40"/>
      <c r="C158" s="61">
        <v>28288748</v>
      </c>
      <c r="D158" s="61"/>
      <c r="E158" s="61"/>
      <c r="F158" s="61"/>
      <c r="G158" s="39"/>
      <c r="H158" s="40"/>
      <c r="I158" s="40"/>
      <c r="J158" s="40"/>
      <c r="K158" s="40"/>
      <c r="L158" s="40"/>
      <c r="M158" s="40"/>
    </row>
    <row r="159" spans="1:13" x14ac:dyDescent="0.25">
      <c r="A159" s="50">
        <v>19</v>
      </c>
      <c r="B159" s="40"/>
      <c r="C159" s="61">
        <v>28700280</v>
      </c>
      <c r="D159" s="61"/>
      <c r="E159" s="61"/>
      <c r="F159" s="61"/>
      <c r="G159" s="40"/>
      <c r="H159" s="40"/>
      <c r="I159" s="40"/>
      <c r="J159" s="40"/>
      <c r="K159" s="40"/>
      <c r="L159" s="40"/>
      <c r="M159" s="40"/>
    </row>
    <row r="160" spans="1:13" x14ac:dyDescent="0.25">
      <c r="A160" s="50">
        <v>20</v>
      </c>
      <c r="B160" s="40">
        <v>27414221</v>
      </c>
      <c r="C160" s="14">
        <v>29114704</v>
      </c>
      <c r="D160" s="61"/>
      <c r="E160" s="61"/>
      <c r="F160" s="61"/>
      <c r="G160" s="40"/>
      <c r="H160" s="40"/>
      <c r="I160" s="40"/>
      <c r="J160" s="40"/>
      <c r="K160" s="40"/>
      <c r="L160" s="40"/>
      <c r="M160" s="40"/>
    </row>
    <row r="161" spans="1:13" x14ac:dyDescent="0.25">
      <c r="A161" s="50">
        <v>21</v>
      </c>
      <c r="B161" s="40"/>
      <c r="C161" s="61"/>
      <c r="D161" s="61"/>
      <c r="E161" s="61"/>
      <c r="F161" s="61"/>
      <c r="G161" s="40"/>
      <c r="H161" s="40"/>
      <c r="I161" s="40"/>
      <c r="J161" s="40"/>
      <c r="K161" s="40"/>
      <c r="L161" s="40"/>
      <c r="M161" s="40"/>
    </row>
    <row r="162" spans="1:13" x14ac:dyDescent="0.25">
      <c r="A162" s="50">
        <v>22</v>
      </c>
      <c r="B162" s="40"/>
      <c r="C162" s="61"/>
      <c r="D162" s="61"/>
      <c r="E162" s="61"/>
      <c r="F162" s="61"/>
      <c r="G162" s="39"/>
      <c r="H162" s="40"/>
      <c r="I162" s="40"/>
      <c r="J162" s="40"/>
      <c r="K162" s="40"/>
      <c r="L162" s="40"/>
      <c r="M162" s="40"/>
    </row>
    <row r="163" spans="1:13" x14ac:dyDescent="0.25">
      <c r="A163" s="50">
        <v>23</v>
      </c>
      <c r="B163" s="40"/>
      <c r="C163" s="61"/>
      <c r="D163" s="61"/>
      <c r="E163" s="61"/>
      <c r="F163" s="61"/>
      <c r="G163" s="39"/>
      <c r="H163" s="40"/>
      <c r="I163" s="40"/>
      <c r="J163" s="40"/>
      <c r="K163" s="40"/>
      <c r="L163" s="40"/>
      <c r="M163" s="40"/>
    </row>
    <row r="164" spans="1:13" x14ac:dyDescent="0.25">
      <c r="A164" s="50">
        <v>24</v>
      </c>
      <c r="B164" s="40"/>
      <c r="C164" s="62"/>
      <c r="D164" s="61"/>
      <c r="E164" s="61"/>
      <c r="F164" s="61"/>
      <c r="G164" s="39"/>
      <c r="H164" s="40"/>
      <c r="I164" s="40"/>
      <c r="J164" s="40"/>
      <c r="K164" s="40"/>
      <c r="L164" s="40"/>
      <c r="M164" s="40"/>
    </row>
    <row r="165" spans="1:13" x14ac:dyDescent="0.25">
      <c r="A165" s="50">
        <v>25</v>
      </c>
      <c r="B165" s="40"/>
      <c r="C165" s="61"/>
      <c r="D165" s="61"/>
      <c r="E165" s="61"/>
      <c r="F165" s="61"/>
      <c r="G165" s="40"/>
      <c r="H165" s="40"/>
      <c r="I165" s="40"/>
      <c r="J165" s="40"/>
      <c r="K165" s="40"/>
      <c r="L165" s="40"/>
      <c r="M165" s="40"/>
    </row>
    <row r="166" spans="1:13" x14ac:dyDescent="0.25">
      <c r="A166" s="50">
        <v>26</v>
      </c>
      <c r="B166" s="40"/>
      <c r="C166" s="61"/>
      <c r="D166" s="61"/>
      <c r="E166" s="61"/>
      <c r="F166" s="61"/>
      <c r="G166" s="40"/>
      <c r="H166" s="40"/>
      <c r="I166" s="40"/>
      <c r="J166" s="40"/>
      <c r="K166" s="40"/>
      <c r="L166" s="40"/>
      <c r="M166" s="40"/>
    </row>
    <row r="167" spans="1:13" x14ac:dyDescent="0.25">
      <c r="A167" s="50">
        <v>27</v>
      </c>
      <c r="B167" s="40"/>
      <c r="C167" s="61"/>
      <c r="D167" s="61"/>
      <c r="E167" s="61"/>
      <c r="F167" s="61"/>
      <c r="G167" s="40"/>
      <c r="H167" s="40"/>
      <c r="I167" s="40"/>
      <c r="J167" s="40"/>
      <c r="K167" s="40"/>
      <c r="L167" s="40"/>
      <c r="M167" s="40"/>
    </row>
    <row r="168" spans="1:13" x14ac:dyDescent="0.25">
      <c r="A168" s="50">
        <v>28</v>
      </c>
      <c r="B168" s="40"/>
      <c r="C168" s="62"/>
      <c r="D168" s="61"/>
      <c r="E168" s="61"/>
      <c r="F168" s="61"/>
      <c r="G168" s="40"/>
      <c r="H168" s="40"/>
      <c r="I168" s="40"/>
      <c r="J168" s="40"/>
      <c r="K168" s="40"/>
      <c r="L168" s="40"/>
      <c r="M168" s="40"/>
    </row>
    <row r="169" spans="1:13" x14ac:dyDescent="0.25">
      <c r="A169" s="50">
        <v>29</v>
      </c>
      <c r="B169" s="40"/>
      <c r="C169" s="62"/>
      <c r="D169" s="61"/>
      <c r="E169" s="61"/>
      <c r="F169" s="61"/>
      <c r="G169" s="40"/>
      <c r="H169" s="40"/>
      <c r="I169" s="40"/>
      <c r="J169" s="40"/>
      <c r="K169" s="40"/>
      <c r="L169" s="40"/>
      <c r="M169" s="40"/>
    </row>
    <row r="170" spans="1:13" x14ac:dyDescent="0.25">
      <c r="A170" s="50">
        <v>30</v>
      </c>
      <c r="B170" s="40">
        <v>23379032</v>
      </c>
      <c r="C170" s="62"/>
      <c r="D170" s="61"/>
      <c r="E170" s="61"/>
      <c r="F170" s="61"/>
      <c r="G170" s="40"/>
      <c r="H170" s="40"/>
      <c r="I170" s="40"/>
      <c r="J170" s="40"/>
      <c r="K170" s="40"/>
      <c r="L170" s="40"/>
      <c r="M170" s="40"/>
    </row>
    <row r="171" spans="1:13" x14ac:dyDescent="0.25">
      <c r="A171" s="50">
        <v>31</v>
      </c>
      <c r="B171" s="40">
        <v>24479852</v>
      </c>
      <c r="C171" s="62"/>
      <c r="D171" s="61"/>
      <c r="E171" s="62"/>
      <c r="F171" s="61"/>
      <c r="G171" s="40"/>
      <c r="H171" s="40"/>
      <c r="I171" s="40"/>
      <c r="J171" s="40"/>
      <c r="K171" s="40"/>
      <c r="L171" s="40"/>
      <c r="M171" s="40"/>
    </row>
    <row r="172" spans="1:13" ht="31.5" x14ac:dyDescent="0.25">
      <c r="A172" s="81" t="s">
        <v>59</v>
      </c>
      <c r="B172" s="40">
        <v>24479852</v>
      </c>
      <c r="C172" s="14">
        <v>29114704</v>
      </c>
      <c r="D172" s="82"/>
      <c r="E172" s="82"/>
      <c r="F172" s="82"/>
      <c r="G172" s="82"/>
      <c r="H172" s="82"/>
      <c r="I172" s="82"/>
      <c r="J172" s="82"/>
      <c r="K172" s="82"/>
      <c r="L172" s="57"/>
      <c r="M172" s="40"/>
    </row>
    <row r="173" spans="1:13" x14ac:dyDescent="0.25">
      <c r="A173" s="52" t="s">
        <v>55</v>
      </c>
      <c r="B173" s="53">
        <f>B172-M134</f>
        <v>-1795415</v>
      </c>
      <c r="C173" s="53">
        <f>IF(C172=0,0,C172-B172)</f>
        <v>4634852</v>
      </c>
      <c r="D173" s="53">
        <f t="shared" ref="D173" si="12">IF(D172=0,0,D172-C172)</f>
        <v>0</v>
      </c>
      <c r="E173" s="53">
        <f t="shared" ref="E173" si="13">IF(E172=0,0,E172-D172)</f>
        <v>0</v>
      </c>
      <c r="F173" s="53">
        <f t="shared" ref="F173" si="14">IF(F172=0,0,F172-E172)</f>
        <v>0</v>
      </c>
      <c r="G173" s="53">
        <f t="shared" ref="G173" si="15">IF(G172=0,0,G172-F172)</f>
        <v>0</v>
      </c>
      <c r="H173" s="53">
        <f t="shared" ref="H173" si="16">IF(H172=0,0,H172-G172)</f>
        <v>0</v>
      </c>
      <c r="I173" s="53">
        <f t="shared" ref="I173" si="17">IF(I172=0,0,I172-H172)</f>
        <v>0</v>
      </c>
      <c r="J173" s="53">
        <f t="shared" ref="J173" si="18">IF(J172=0,0,J172-I172)</f>
        <v>0</v>
      </c>
      <c r="K173" s="53">
        <f t="shared" ref="K173" si="19">IF(K172=0,0,K172-J172)</f>
        <v>0</v>
      </c>
      <c r="L173" s="53">
        <f t="shared" ref="L173" si="20">IF(L172=0,0,L172-K172)</f>
        <v>0</v>
      </c>
      <c r="M173" s="53">
        <f t="shared" ref="M173" si="21">IF(M172=0,0,M172-L172)</f>
        <v>0</v>
      </c>
    </row>
    <row r="174" spans="1:13" x14ac:dyDescent="0.25">
      <c r="A174" s="52" t="s">
        <v>56</v>
      </c>
      <c r="B174" s="98">
        <f>SUM(B173:M173)</f>
        <v>2839437</v>
      </c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100"/>
    </row>
    <row r="175" spans="1:13" x14ac:dyDescent="0.25">
      <c r="K175" s="17">
        <f>K172-K141</f>
        <v>0</v>
      </c>
    </row>
  </sheetData>
  <mergeCells count="14">
    <mergeCell ref="A138:M138"/>
    <mergeCell ref="A139:B139"/>
    <mergeCell ref="B174:M174"/>
    <mergeCell ref="A2:B2"/>
    <mergeCell ref="A1:M1"/>
    <mergeCell ref="A25:M25"/>
    <mergeCell ref="A26:B26"/>
    <mergeCell ref="B61:M61"/>
    <mergeCell ref="A100:M100"/>
    <mergeCell ref="A101:B101"/>
    <mergeCell ref="B136:M136"/>
    <mergeCell ref="A62:M62"/>
    <mergeCell ref="A63:B63"/>
    <mergeCell ref="B98:M9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zoomScale="90" zoomScaleNormal="90"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R155" sqref="R155"/>
    </sheetView>
  </sheetViews>
  <sheetFormatPr defaultRowHeight="16.5" x14ac:dyDescent="0.25"/>
  <cols>
    <col min="2" max="2" width="10.75" customWidth="1"/>
    <col min="3" max="3" width="6.875" customWidth="1"/>
    <col min="4" max="4" width="5.375" customWidth="1"/>
    <col min="5" max="5" width="6.875" customWidth="1"/>
    <col min="6" max="6" width="11.125" customWidth="1"/>
    <col min="7" max="7" width="8.625" customWidth="1"/>
    <col min="8" max="8" width="12.25" customWidth="1"/>
    <col min="9" max="9" width="10.625" bestFit="1" customWidth="1"/>
    <col min="10" max="10" width="6.75" customWidth="1"/>
    <col min="11" max="11" width="5.75" customWidth="1"/>
    <col min="12" max="12" width="6.75" customWidth="1"/>
    <col min="13" max="13" width="12.375" customWidth="1"/>
    <col min="14" max="14" width="8.25" customWidth="1"/>
    <col min="15" max="15" width="9.5" customWidth="1"/>
    <col min="16" max="17" width="11.625" customWidth="1"/>
    <col min="18" max="18" width="12.375" customWidth="1"/>
  </cols>
  <sheetData>
    <row r="1" spans="1:18" x14ac:dyDescent="0.25">
      <c r="A1" s="91" t="s">
        <v>23</v>
      </c>
      <c r="B1" s="90" t="s">
        <v>15</v>
      </c>
      <c r="C1" s="90"/>
      <c r="D1" s="90"/>
      <c r="E1" s="90"/>
      <c r="F1" s="90"/>
      <c r="G1" s="90"/>
      <c r="H1" s="90"/>
      <c r="I1" s="92" t="s">
        <v>18</v>
      </c>
      <c r="J1" s="92"/>
      <c r="K1" s="92"/>
      <c r="L1" s="92"/>
      <c r="M1" s="92"/>
      <c r="N1" s="92"/>
      <c r="O1" s="92"/>
      <c r="P1" s="92"/>
      <c r="Q1" s="92"/>
      <c r="R1" s="34" t="s">
        <v>41</v>
      </c>
    </row>
    <row r="2" spans="1:18" ht="33" x14ac:dyDescent="0.25">
      <c r="A2" s="91"/>
      <c r="B2" s="26" t="s">
        <v>9</v>
      </c>
      <c r="C2" s="26" t="s">
        <v>10</v>
      </c>
      <c r="D2" s="26" t="s">
        <v>11</v>
      </c>
      <c r="E2" s="9" t="s">
        <v>22</v>
      </c>
      <c r="F2" s="9" t="s">
        <v>19</v>
      </c>
      <c r="G2" s="9" t="s">
        <v>3</v>
      </c>
      <c r="H2" s="9" t="s">
        <v>20</v>
      </c>
      <c r="I2" s="15" t="s">
        <v>9</v>
      </c>
      <c r="J2" s="15" t="s">
        <v>10</v>
      </c>
      <c r="K2" s="15" t="s">
        <v>11</v>
      </c>
      <c r="L2" s="15" t="s">
        <v>22</v>
      </c>
      <c r="M2" s="15" t="s">
        <v>19</v>
      </c>
      <c r="N2" s="15" t="s">
        <v>3</v>
      </c>
      <c r="O2" s="15" t="s">
        <v>17</v>
      </c>
      <c r="P2" s="15" t="s">
        <v>21</v>
      </c>
      <c r="Q2" s="19" t="s">
        <v>8</v>
      </c>
      <c r="R2" s="34" t="s">
        <v>40</v>
      </c>
    </row>
    <row r="3" spans="1:18" x14ac:dyDescent="0.25">
      <c r="A3" s="11" t="s">
        <v>24</v>
      </c>
      <c r="B3" s="10">
        <v>42402</v>
      </c>
      <c r="C3" s="3">
        <v>38.85</v>
      </c>
      <c r="D3" s="3">
        <v>80</v>
      </c>
      <c r="E3" s="3">
        <v>0.4</v>
      </c>
      <c r="F3" s="7">
        <f>C3*D3*1000</f>
        <v>3108000</v>
      </c>
      <c r="G3" s="7">
        <f>ROUND(F3*0.001425*E3,0)</f>
        <v>1772</v>
      </c>
      <c r="H3" s="7">
        <f>F3+G3</f>
        <v>3109772</v>
      </c>
      <c r="I3" s="27">
        <v>42566</v>
      </c>
      <c r="J3" s="13">
        <v>38.4</v>
      </c>
      <c r="K3" s="2">
        <v>80</v>
      </c>
      <c r="L3" s="2">
        <v>0.4</v>
      </c>
      <c r="M3" s="16">
        <f>J3*K3*1000</f>
        <v>3072000</v>
      </c>
      <c r="N3" s="16">
        <f t="shared" ref="N3:N157" si="0">ROUND(M3*0.001425*L3,0)</f>
        <v>1751</v>
      </c>
      <c r="O3" s="16">
        <f>ROUND(M3*0.003,0)</f>
        <v>9216</v>
      </c>
      <c r="P3" s="16">
        <f t="shared" ref="P3:P157" si="1">M3+N3+O3</f>
        <v>3082967</v>
      </c>
      <c r="Q3" s="12">
        <f>M3-N3-O3-H3</f>
        <v>-48739</v>
      </c>
      <c r="R3" s="35">
        <f>G3+N3+O3</f>
        <v>12739</v>
      </c>
    </row>
    <row r="4" spans="1:18" x14ac:dyDescent="0.25">
      <c r="A4" s="11" t="s">
        <v>24</v>
      </c>
      <c r="B4" s="10">
        <v>42402</v>
      </c>
      <c r="C4" s="3">
        <v>38.4</v>
      </c>
      <c r="D4" s="3">
        <v>8</v>
      </c>
      <c r="E4" s="3">
        <v>0.4</v>
      </c>
      <c r="F4" s="7">
        <f t="shared" ref="F4:F157" si="2">C4*D4*1000</f>
        <v>307200</v>
      </c>
      <c r="G4" s="7">
        <f t="shared" ref="G4:G157" si="3">ROUND(F4*0.001425*E4,0)</f>
        <v>175</v>
      </c>
      <c r="H4" s="7">
        <f t="shared" ref="H4:H157" si="4">F4+G4</f>
        <v>307375</v>
      </c>
      <c r="I4" s="27">
        <v>42566</v>
      </c>
      <c r="J4" s="13">
        <v>38.4</v>
      </c>
      <c r="K4" s="2">
        <v>8</v>
      </c>
      <c r="L4" s="2">
        <v>0.4</v>
      </c>
      <c r="M4" s="16">
        <f t="shared" ref="M4:M157" si="5">J4*K4*1000</f>
        <v>307200</v>
      </c>
      <c r="N4" s="16">
        <f t="shared" si="0"/>
        <v>175</v>
      </c>
      <c r="O4" s="16">
        <f t="shared" ref="O4:O157" si="6">ROUND(M4*0.003,0)</f>
        <v>922</v>
      </c>
      <c r="P4" s="16">
        <f t="shared" si="1"/>
        <v>308297</v>
      </c>
      <c r="Q4" s="12">
        <f t="shared" ref="Q4:Q157" si="7">M4-N4-O4-H4</f>
        <v>-1272</v>
      </c>
      <c r="R4" s="35">
        <f t="shared" ref="R4:R157" si="8">G4+N4+O4</f>
        <v>1272</v>
      </c>
    </row>
    <row r="5" spans="1:18" x14ac:dyDescent="0.25">
      <c r="A5" s="11" t="s">
        <v>24</v>
      </c>
      <c r="B5" s="10">
        <v>42403</v>
      </c>
      <c r="C5" s="3">
        <v>37.85</v>
      </c>
      <c r="D5" s="3">
        <v>100</v>
      </c>
      <c r="E5" s="3">
        <v>0.4</v>
      </c>
      <c r="F5" s="7">
        <f t="shared" si="2"/>
        <v>3785000</v>
      </c>
      <c r="G5" s="7">
        <f t="shared" si="3"/>
        <v>2157</v>
      </c>
      <c r="H5" s="7">
        <f t="shared" si="4"/>
        <v>3787157</v>
      </c>
      <c r="I5" s="27">
        <v>42566</v>
      </c>
      <c r="J5" s="13">
        <v>38.4</v>
      </c>
      <c r="K5" s="2">
        <v>100</v>
      </c>
      <c r="L5" s="2">
        <v>0.4</v>
      </c>
      <c r="M5" s="16">
        <f t="shared" si="5"/>
        <v>3840000</v>
      </c>
      <c r="N5" s="16">
        <f t="shared" si="0"/>
        <v>2189</v>
      </c>
      <c r="O5" s="16">
        <f t="shared" si="6"/>
        <v>11520</v>
      </c>
      <c r="P5" s="16">
        <f t="shared" si="1"/>
        <v>3853709</v>
      </c>
      <c r="Q5" s="12">
        <f t="shared" si="7"/>
        <v>39134</v>
      </c>
      <c r="R5" s="35">
        <f t="shared" si="8"/>
        <v>15866</v>
      </c>
    </row>
    <row r="6" spans="1:18" x14ac:dyDescent="0.25">
      <c r="A6" s="11" t="s">
        <v>24</v>
      </c>
      <c r="B6" s="10">
        <v>42444</v>
      </c>
      <c r="C6" s="3">
        <v>39.799999999999997</v>
      </c>
      <c r="D6" s="3">
        <v>40</v>
      </c>
      <c r="E6" s="3">
        <v>0.4</v>
      </c>
      <c r="F6" s="7">
        <f t="shared" si="2"/>
        <v>1592000</v>
      </c>
      <c r="G6" s="7">
        <f t="shared" si="3"/>
        <v>907</v>
      </c>
      <c r="H6" s="7">
        <f t="shared" si="4"/>
        <v>1592907</v>
      </c>
      <c r="I6" s="27">
        <v>42566</v>
      </c>
      <c r="J6" s="13">
        <v>38.4</v>
      </c>
      <c r="K6" s="2">
        <v>40</v>
      </c>
      <c r="L6" s="2">
        <v>0.4</v>
      </c>
      <c r="M6" s="16">
        <f t="shared" si="5"/>
        <v>1536000</v>
      </c>
      <c r="N6" s="16">
        <f t="shared" si="0"/>
        <v>876</v>
      </c>
      <c r="O6" s="16">
        <f t="shared" si="6"/>
        <v>4608</v>
      </c>
      <c r="P6" s="16">
        <f t="shared" si="1"/>
        <v>1541484</v>
      </c>
      <c r="Q6" s="12">
        <f t="shared" si="7"/>
        <v>-62391</v>
      </c>
      <c r="R6" s="35">
        <f t="shared" si="8"/>
        <v>6391</v>
      </c>
    </row>
    <row r="7" spans="1:18" x14ac:dyDescent="0.25">
      <c r="A7" s="11" t="s">
        <v>39</v>
      </c>
      <c r="B7" s="10">
        <v>42683</v>
      </c>
      <c r="C7" s="3">
        <v>39.549999999999997</v>
      </c>
      <c r="D7" s="3">
        <v>10</v>
      </c>
      <c r="E7" s="3">
        <v>0.4</v>
      </c>
      <c r="F7" s="7">
        <f t="shared" si="2"/>
        <v>395500</v>
      </c>
      <c r="G7" s="7">
        <f t="shared" si="3"/>
        <v>225</v>
      </c>
      <c r="H7" s="7">
        <f t="shared" si="4"/>
        <v>395725</v>
      </c>
      <c r="I7" s="27">
        <v>42705</v>
      </c>
      <c r="J7" s="2">
        <v>48.1</v>
      </c>
      <c r="K7" s="2">
        <v>10</v>
      </c>
      <c r="L7" s="2">
        <v>0.4</v>
      </c>
      <c r="M7" s="16">
        <f t="shared" si="5"/>
        <v>481000</v>
      </c>
      <c r="N7" s="16">
        <f t="shared" si="0"/>
        <v>274</v>
      </c>
      <c r="O7" s="16">
        <f t="shared" si="6"/>
        <v>1443</v>
      </c>
      <c r="P7" s="16">
        <f t="shared" si="1"/>
        <v>482717</v>
      </c>
      <c r="Q7" s="12">
        <f t="shared" si="7"/>
        <v>83558</v>
      </c>
      <c r="R7" s="35">
        <f t="shared" si="8"/>
        <v>1942</v>
      </c>
    </row>
    <row r="8" spans="1:18" x14ac:dyDescent="0.25">
      <c r="A8" s="11" t="s">
        <v>38</v>
      </c>
      <c r="B8" s="10">
        <v>42683</v>
      </c>
      <c r="C8" s="3">
        <v>28.05</v>
      </c>
      <c r="D8" s="3">
        <v>100</v>
      </c>
      <c r="E8" s="3">
        <v>0.4</v>
      </c>
      <c r="F8" s="7">
        <f t="shared" si="2"/>
        <v>2805000</v>
      </c>
      <c r="G8" s="7">
        <f t="shared" si="3"/>
        <v>1599</v>
      </c>
      <c r="H8" s="7">
        <f t="shared" si="4"/>
        <v>2806599</v>
      </c>
      <c r="I8" s="27">
        <v>42705</v>
      </c>
      <c r="J8" s="2">
        <v>35.200000000000003</v>
      </c>
      <c r="K8" s="2">
        <v>100</v>
      </c>
      <c r="L8" s="2">
        <v>0.4</v>
      </c>
      <c r="M8" s="16">
        <f t="shared" si="5"/>
        <v>3520000.0000000005</v>
      </c>
      <c r="N8" s="16">
        <f t="shared" si="0"/>
        <v>2006</v>
      </c>
      <c r="O8" s="16">
        <f t="shared" si="6"/>
        <v>10560</v>
      </c>
      <c r="P8" s="16">
        <f t="shared" si="1"/>
        <v>3532566.0000000005</v>
      </c>
      <c r="Q8" s="12">
        <f t="shared" si="7"/>
        <v>700835.00000000047</v>
      </c>
      <c r="R8" s="35">
        <f t="shared" si="8"/>
        <v>14165</v>
      </c>
    </row>
    <row r="9" spans="1:18" x14ac:dyDescent="0.25">
      <c r="A9" s="11" t="s">
        <v>36</v>
      </c>
      <c r="B9" s="10">
        <v>42704</v>
      </c>
      <c r="C9" s="3">
        <v>33.200000000000003</v>
      </c>
      <c r="D9" s="3">
        <v>50</v>
      </c>
      <c r="E9" s="3">
        <v>0.4</v>
      </c>
      <c r="F9" s="7">
        <f t="shared" si="2"/>
        <v>1660000.0000000002</v>
      </c>
      <c r="G9" s="7">
        <f t="shared" si="3"/>
        <v>946</v>
      </c>
      <c r="H9" s="7">
        <f t="shared" si="4"/>
        <v>1660946.0000000002</v>
      </c>
      <c r="I9" s="27">
        <v>42705</v>
      </c>
      <c r="J9" s="2">
        <v>35.200000000000003</v>
      </c>
      <c r="K9" s="2">
        <v>50</v>
      </c>
      <c r="L9" s="2">
        <v>0.4</v>
      </c>
      <c r="M9" s="16">
        <f t="shared" si="5"/>
        <v>1760000.0000000002</v>
      </c>
      <c r="N9" s="16">
        <f t="shared" si="0"/>
        <v>1003</v>
      </c>
      <c r="O9" s="16">
        <f t="shared" si="6"/>
        <v>5280</v>
      </c>
      <c r="P9" s="16">
        <f t="shared" si="1"/>
        <v>1766283.0000000002</v>
      </c>
      <c r="Q9" s="12">
        <f t="shared" si="7"/>
        <v>92771</v>
      </c>
      <c r="R9" s="35">
        <f t="shared" si="8"/>
        <v>7229</v>
      </c>
    </row>
    <row r="10" spans="1:18" x14ac:dyDescent="0.25">
      <c r="A10" s="11" t="s">
        <v>47</v>
      </c>
      <c r="B10" s="10">
        <v>42723</v>
      </c>
      <c r="C10" s="3">
        <v>46.8</v>
      </c>
      <c r="D10" s="3">
        <v>33</v>
      </c>
      <c r="E10" s="3">
        <v>0.4</v>
      </c>
      <c r="F10" s="7">
        <f t="shared" si="2"/>
        <v>1544399.9999999998</v>
      </c>
      <c r="G10" s="7">
        <f t="shared" si="3"/>
        <v>880</v>
      </c>
      <c r="H10" s="7">
        <f t="shared" si="4"/>
        <v>1545279.9999999998</v>
      </c>
      <c r="I10" s="27">
        <v>42723</v>
      </c>
      <c r="J10" s="2">
        <v>47.45</v>
      </c>
      <c r="K10" s="2">
        <v>33</v>
      </c>
      <c r="L10" s="2">
        <v>0.4</v>
      </c>
      <c r="M10" s="16">
        <f t="shared" si="5"/>
        <v>1565850.0000000002</v>
      </c>
      <c r="N10" s="16">
        <f t="shared" si="0"/>
        <v>893</v>
      </c>
      <c r="O10" s="16">
        <f t="shared" si="6"/>
        <v>4698</v>
      </c>
      <c r="P10" s="16">
        <f t="shared" si="1"/>
        <v>1571441.0000000002</v>
      </c>
      <c r="Q10" s="12">
        <f t="shared" si="7"/>
        <v>14979.000000000466</v>
      </c>
      <c r="R10" s="35">
        <f t="shared" si="8"/>
        <v>6471</v>
      </c>
    </row>
    <row r="11" spans="1:18" x14ac:dyDescent="0.25">
      <c r="A11" s="11" t="s">
        <v>42</v>
      </c>
      <c r="B11" s="10">
        <v>42713</v>
      </c>
      <c r="C11" s="3">
        <v>46.8</v>
      </c>
      <c r="D11" s="3">
        <v>27</v>
      </c>
      <c r="E11" s="3">
        <v>0.4</v>
      </c>
      <c r="F11" s="7">
        <f t="shared" si="2"/>
        <v>1263600</v>
      </c>
      <c r="G11" s="7">
        <f t="shared" si="3"/>
        <v>720</v>
      </c>
      <c r="H11" s="7">
        <f t="shared" si="4"/>
        <v>1264320</v>
      </c>
      <c r="I11" s="27">
        <v>42723</v>
      </c>
      <c r="J11" s="2">
        <v>47.55</v>
      </c>
      <c r="K11" s="2">
        <v>27</v>
      </c>
      <c r="L11" s="2">
        <v>0.4</v>
      </c>
      <c r="M11" s="16">
        <f t="shared" si="5"/>
        <v>1283850</v>
      </c>
      <c r="N11" s="16">
        <f t="shared" si="0"/>
        <v>732</v>
      </c>
      <c r="O11" s="16">
        <f t="shared" si="6"/>
        <v>3852</v>
      </c>
      <c r="P11" s="16">
        <f t="shared" si="1"/>
        <v>1288434</v>
      </c>
      <c r="Q11" s="12">
        <f t="shared" si="7"/>
        <v>14946</v>
      </c>
      <c r="R11" s="35">
        <f t="shared" si="8"/>
        <v>5304</v>
      </c>
    </row>
    <row r="12" spans="1:18" x14ac:dyDescent="0.25">
      <c r="A12" s="11" t="s">
        <v>24</v>
      </c>
      <c r="B12" s="10">
        <v>42683</v>
      </c>
      <c r="C12" s="3">
        <v>43.05</v>
      </c>
      <c r="D12" s="3">
        <v>100</v>
      </c>
      <c r="E12" s="3">
        <v>0.4</v>
      </c>
      <c r="F12" s="7">
        <f t="shared" si="2"/>
        <v>4305000</v>
      </c>
      <c r="G12" s="7">
        <f t="shared" si="3"/>
        <v>2454</v>
      </c>
      <c r="H12" s="7">
        <f t="shared" si="4"/>
        <v>4307454</v>
      </c>
      <c r="I12" s="27">
        <v>42747</v>
      </c>
      <c r="J12" s="2">
        <v>52.3</v>
      </c>
      <c r="K12" s="2">
        <v>100</v>
      </c>
      <c r="L12" s="2">
        <v>0.4</v>
      </c>
      <c r="M12" s="16">
        <f>J12*K12*1000</f>
        <v>5230000</v>
      </c>
      <c r="N12" s="16">
        <f t="shared" si="0"/>
        <v>2981</v>
      </c>
      <c r="O12" s="16">
        <f>ROUND(M12*0.003,0)</f>
        <v>15690</v>
      </c>
      <c r="P12" s="16">
        <f t="shared" si="1"/>
        <v>5248671</v>
      </c>
      <c r="Q12" s="12">
        <f t="shared" ref="Q12:Q17" si="9">M12-N12-O12-H12</f>
        <v>903875</v>
      </c>
      <c r="R12" s="35">
        <f t="shared" si="8"/>
        <v>21125</v>
      </c>
    </row>
    <row r="13" spans="1:18" x14ac:dyDescent="0.25">
      <c r="A13" s="11" t="s">
        <v>36</v>
      </c>
      <c r="B13" s="10">
        <v>42711</v>
      </c>
      <c r="C13" s="3">
        <v>33.15</v>
      </c>
      <c r="D13" s="3">
        <v>100</v>
      </c>
      <c r="E13" s="3">
        <v>0.4</v>
      </c>
      <c r="F13" s="7">
        <f t="shared" si="2"/>
        <v>3315000</v>
      </c>
      <c r="G13" s="7">
        <f t="shared" si="3"/>
        <v>1890</v>
      </c>
      <c r="H13" s="7">
        <f t="shared" si="4"/>
        <v>3316890</v>
      </c>
      <c r="I13" s="27">
        <v>42753</v>
      </c>
      <c r="J13" s="13">
        <v>30.4</v>
      </c>
      <c r="K13" s="2">
        <v>100</v>
      </c>
      <c r="L13" s="2">
        <v>0.4</v>
      </c>
      <c r="M13" s="16">
        <f>J13*K13*1000</f>
        <v>3040000</v>
      </c>
      <c r="N13" s="16">
        <f t="shared" si="0"/>
        <v>1733</v>
      </c>
      <c r="O13" s="16">
        <f>ROUND(M13*0.003,0)</f>
        <v>9120</v>
      </c>
      <c r="P13" s="16">
        <f t="shared" si="1"/>
        <v>3050853</v>
      </c>
      <c r="Q13" s="12">
        <f t="shared" si="9"/>
        <v>-287743</v>
      </c>
      <c r="R13" s="35">
        <f t="shared" si="8"/>
        <v>12743</v>
      </c>
    </row>
    <row r="14" spans="1:18" x14ac:dyDescent="0.25">
      <c r="A14" s="11" t="s">
        <v>36</v>
      </c>
      <c r="B14" s="10">
        <v>42711</v>
      </c>
      <c r="C14" s="3">
        <v>32.799999999999997</v>
      </c>
      <c r="D14" s="3">
        <v>50</v>
      </c>
      <c r="E14" s="3">
        <v>0.4</v>
      </c>
      <c r="F14" s="7">
        <f t="shared" si="2"/>
        <v>1639999.9999999998</v>
      </c>
      <c r="G14" s="7">
        <f t="shared" si="3"/>
        <v>935</v>
      </c>
      <c r="H14" s="7">
        <f t="shared" si="4"/>
        <v>1640934.9999999998</v>
      </c>
      <c r="I14" s="27">
        <v>42779</v>
      </c>
      <c r="J14" s="13">
        <v>30.7</v>
      </c>
      <c r="K14" s="2">
        <v>50</v>
      </c>
      <c r="L14" s="2">
        <v>0.4</v>
      </c>
      <c r="M14" s="16">
        <f t="shared" ref="M14:M20" si="10">J14*K14*1000</f>
        <v>1535000</v>
      </c>
      <c r="N14" s="16">
        <f t="shared" si="0"/>
        <v>875</v>
      </c>
      <c r="O14" s="16">
        <f t="shared" ref="O14:O20" si="11">ROUND(M14*0.003,0)</f>
        <v>4605</v>
      </c>
      <c r="P14" s="16">
        <f t="shared" si="1"/>
        <v>1540480</v>
      </c>
      <c r="Q14" s="12">
        <f t="shared" si="9"/>
        <v>-111414.99999999977</v>
      </c>
      <c r="R14" s="35">
        <f t="shared" si="8"/>
        <v>6415</v>
      </c>
    </row>
    <row r="15" spans="1:18" x14ac:dyDescent="0.25">
      <c r="A15" s="11" t="s">
        <v>36</v>
      </c>
      <c r="B15" s="10">
        <v>42723</v>
      </c>
      <c r="C15" s="3">
        <v>32</v>
      </c>
      <c r="D15" s="3">
        <v>50</v>
      </c>
      <c r="E15" s="3">
        <v>0.4</v>
      </c>
      <c r="F15" s="7">
        <f>C15*D15*1000</f>
        <v>1600000</v>
      </c>
      <c r="G15" s="7">
        <f>ROUND(F15*0.001425*E15,0)</f>
        <v>912</v>
      </c>
      <c r="H15" s="7">
        <f>F15+G15</f>
        <v>1600912</v>
      </c>
      <c r="I15" s="27">
        <v>42779</v>
      </c>
      <c r="J15" s="13">
        <v>30.7</v>
      </c>
      <c r="K15" s="2">
        <v>50</v>
      </c>
      <c r="L15" s="2">
        <v>0.4</v>
      </c>
      <c r="M15" s="16">
        <f t="shared" si="10"/>
        <v>1535000</v>
      </c>
      <c r="N15" s="16">
        <f>ROUND(M15*0.001425*L15,0)</f>
        <v>875</v>
      </c>
      <c r="O15" s="16">
        <f t="shared" si="11"/>
        <v>4605</v>
      </c>
      <c r="P15" s="16">
        <f>M15+N15+O15</f>
        <v>1540480</v>
      </c>
      <c r="Q15" s="12">
        <f t="shared" si="9"/>
        <v>-71392</v>
      </c>
      <c r="R15" s="35">
        <f t="shared" si="8"/>
        <v>6392</v>
      </c>
    </row>
    <row r="16" spans="1:18" x14ac:dyDescent="0.25">
      <c r="A16" s="11" t="s">
        <v>42</v>
      </c>
      <c r="B16" s="10">
        <v>42784</v>
      </c>
      <c r="C16" s="3">
        <v>57.2</v>
      </c>
      <c r="D16" s="3">
        <v>50</v>
      </c>
      <c r="E16" s="3">
        <v>0.4</v>
      </c>
      <c r="F16" s="7">
        <f>C16*D16*1000</f>
        <v>2860000</v>
      </c>
      <c r="G16" s="7">
        <f>ROUND(F16*0.001425*E16,0)</f>
        <v>1630</v>
      </c>
      <c r="H16" s="7">
        <f>F16+G16</f>
        <v>2861630</v>
      </c>
      <c r="I16" s="27">
        <v>42784</v>
      </c>
      <c r="J16" s="2">
        <v>58.2</v>
      </c>
      <c r="K16" s="2">
        <v>50</v>
      </c>
      <c r="L16" s="2">
        <v>0.4</v>
      </c>
      <c r="M16" s="16">
        <f t="shared" si="10"/>
        <v>2910000</v>
      </c>
      <c r="N16" s="16">
        <f>ROUND(M16*0.001425*L16,0)</f>
        <v>1659</v>
      </c>
      <c r="O16" s="16">
        <f t="shared" si="11"/>
        <v>8730</v>
      </c>
      <c r="P16" s="16">
        <f>M16+N16+O16</f>
        <v>2920389</v>
      </c>
      <c r="Q16" s="12">
        <f t="shared" si="9"/>
        <v>37981</v>
      </c>
      <c r="R16" s="35">
        <f t="shared" si="8"/>
        <v>12019</v>
      </c>
    </row>
    <row r="17" spans="1:18" x14ac:dyDescent="0.25">
      <c r="A17" s="11" t="s">
        <v>36</v>
      </c>
      <c r="B17" s="10">
        <v>42781</v>
      </c>
      <c r="C17" s="3">
        <v>29.3</v>
      </c>
      <c r="D17" s="3">
        <v>50</v>
      </c>
      <c r="E17" s="3">
        <v>0.4</v>
      </c>
      <c r="F17" s="7">
        <f>C17*D17*1000</f>
        <v>1465000</v>
      </c>
      <c r="G17" s="7">
        <f>ROUND(F17*0.001425*E17,0)</f>
        <v>835</v>
      </c>
      <c r="H17" s="7">
        <f>F17+G17</f>
        <v>1465835</v>
      </c>
      <c r="I17" s="27">
        <v>42787</v>
      </c>
      <c r="J17" s="2">
        <v>30.45</v>
      </c>
      <c r="K17" s="2">
        <v>50</v>
      </c>
      <c r="L17" s="2">
        <v>0.4</v>
      </c>
      <c r="M17" s="16">
        <f t="shared" si="10"/>
        <v>1522500</v>
      </c>
      <c r="N17" s="16">
        <f>ROUND(M17*0.001425*L17,0)</f>
        <v>868</v>
      </c>
      <c r="O17" s="16">
        <f t="shared" si="11"/>
        <v>4568</v>
      </c>
      <c r="P17" s="16">
        <f>M17+N17+O17</f>
        <v>1527936</v>
      </c>
      <c r="Q17" s="12">
        <f t="shared" si="9"/>
        <v>51229</v>
      </c>
      <c r="R17" s="35">
        <f t="shared" si="8"/>
        <v>6271</v>
      </c>
    </row>
    <row r="18" spans="1:18" x14ac:dyDescent="0.25">
      <c r="A18" s="11" t="s">
        <v>42</v>
      </c>
      <c r="B18" s="10">
        <v>42795</v>
      </c>
      <c r="C18" s="3">
        <v>55.7</v>
      </c>
      <c r="D18" s="3">
        <v>30</v>
      </c>
      <c r="E18" s="3">
        <v>0.4</v>
      </c>
      <c r="F18" s="7">
        <f>C18*D18*1000</f>
        <v>1671000</v>
      </c>
      <c r="G18" s="7">
        <f>ROUND(F18*0.001425*E18,0)</f>
        <v>952</v>
      </c>
      <c r="H18" s="7">
        <f>F18+G18</f>
        <v>1671952</v>
      </c>
      <c r="I18" s="27">
        <v>42795</v>
      </c>
      <c r="J18" s="2">
        <v>57</v>
      </c>
      <c r="K18" s="2">
        <v>30</v>
      </c>
      <c r="L18" s="2">
        <v>0.4</v>
      </c>
      <c r="M18" s="16">
        <f t="shared" si="10"/>
        <v>1710000</v>
      </c>
      <c r="N18" s="16">
        <f>ROUND(M18*0.001425*L18,0)</f>
        <v>975</v>
      </c>
      <c r="O18" s="16">
        <f t="shared" si="11"/>
        <v>5130</v>
      </c>
      <c r="P18" s="16">
        <f>M18+N18+O18</f>
        <v>1716105</v>
      </c>
      <c r="Q18" s="12">
        <f>M18-N18-O18-H18</f>
        <v>31943</v>
      </c>
      <c r="R18" s="35">
        <f t="shared" si="8"/>
        <v>7057</v>
      </c>
    </row>
    <row r="19" spans="1:18" x14ac:dyDescent="0.25">
      <c r="A19" s="11" t="s">
        <v>43</v>
      </c>
      <c r="B19" s="10">
        <v>42782</v>
      </c>
      <c r="C19" s="3">
        <v>58.3</v>
      </c>
      <c r="D19" s="3">
        <v>50</v>
      </c>
      <c r="E19" s="3">
        <v>0.4</v>
      </c>
      <c r="F19" s="7">
        <f t="shared" ref="F19" si="12">C19*D19*1000</f>
        <v>2915000</v>
      </c>
      <c r="G19" s="7">
        <f t="shared" ref="G19" si="13">ROUND(F19*0.001425*E19,0)</f>
        <v>1662</v>
      </c>
      <c r="H19" s="7">
        <f t="shared" ref="H19" si="14">F19+G19</f>
        <v>2916662</v>
      </c>
      <c r="I19" s="27">
        <v>42810</v>
      </c>
      <c r="J19" s="2">
        <v>61.2</v>
      </c>
      <c r="K19" s="2">
        <v>50</v>
      </c>
      <c r="L19" s="2">
        <v>0.4</v>
      </c>
      <c r="M19" s="16">
        <f t="shared" si="10"/>
        <v>3060000</v>
      </c>
      <c r="N19" s="16">
        <f t="shared" ref="N19" si="15">ROUND(M19*0.001425*L19,0)</f>
        <v>1744</v>
      </c>
      <c r="O19" s="16">
        <f t="shared" si="11"/>
        <v>9180</v>
      </c>
      <c r="P19" s="16">
        <f t="shared" ref="P19" si="16">M19+N19+O19</f>
        <v>3070924</v>
      </c>
      <c r="Q19" s="12">
        <f t="shared" ref="Q19" si="17">M19-N19-O19-H19</f>
        <v>132414</v>
      </c>
      <c r="R19" s="35">
        <f t="shared" si="8"/>
        <v>12586</v>
      </c>
    </row>
    <row r="20" spans="1:18" x14ac:dyDescent="0.25">
      <c r="A20" s="11" t="s">
        <v>42</v>
      </c>
      <c r="B20" s="10">
        <v>42786</v>
      </c>
      <c r="C20" s="3">
        <v>57</v>
      </c>
      <c r="D20" s="3">
        <v>50</v>
      </c>
      <c r="E20" s="3">
        <v>0.4</v>
      </c>
      <c r="F20" s="7">
        <f t="shared" ref="F20" si="18">C20*D20*1000</f>
        <v>2850000</v>
      </c>
      <c r="G20" s="7">
        <f t="shared" ref="G20" si="19">ROUND(F20*0.001425*E20,0)</f>
        <v>1625</v>
      </c>
      <c r="H20" s="7">
        <f t="shared" ref="H20" si="20">F20+G20</f>
        <v>2851625</v>
      </c>
      <c r="I20" s="27">
        <v>42810</v>
      </c>
      <c r="J20" s="2">
        <v>61.2</v>
      </c>
      <c r="K20" s="2">
        <v>50</v>
      </c>
      <c r="L20" s="2">
        <v>0.4</v>
      </c>
      <c r="M20" s="16">
        <f t="shared" si="10"/>
        <v>3060000</v>
      </c>
      <c r="N20" s="16">
        <f t="shared" ref="N20" si="21">ROUND(M20*0.001425*L20,0)</f>
        <v>1744</v>
      </c>
      <c r="O20" s="16">
        <f t="shared" si="11"/>
        <v>9180</v>
      </c>
      <c r="P20" s="16">
        <f t="shared" ref="P20" si="22">M20+N20+O20</f>
        <v>3070924</v>
      </c>
      <c r="Q20" s="12">
        <f t="shared" ref="Q20" si="23">M20-N20-O20-H20</f>
        <v>197451</v>
      </c>
      <c r="R20" s="35">
        <f t="shared" si="8"/>
        <v>12549</v>
      </c>
    </row>
    <row r="21" spans="1:18" x14ac:dyDescent="0.25">
      <c r="A21" s="11" t="s">
        <v>42</v>
      </c>
      <c r="B21" s="10">
        <v>42803</v>
      </c>
      <c r="C21" s="3">
        <v>60.7</v>
      </c>
      <c r="D21" s="3">
        <v>30</v>
      </c>
      <c r="E21" s="3">
        <v>0.4</v>
      </c>
      <c r="F21" s="7">
        <f>C21*D21*1000</f>
        <v>1821000</v>
      </c>
      <c r="G21" s="7">
        <f>ROUND(F21*0.001425*E21,0)</f>
        <v>1038</v>
      </c>
      <c r="H21" s="7">
        <f>F21+G21</f>
        <v>1822038</v>
      </c>
      <c r="I21" s="27">
        <v>42811</v>
      </c>
      <c r="J21" s="2">
        <v>61.6</v>
      </c>
      <c r="K21" s="2">
        <v>30</v>
      </c>
      <c r="L21" s="2">
        <v>0.4</v>
      </c>
      <c r="M21" s="16">
        <f>J21*K21*1000</f>
        <v>1848000</v>
      </c>
      <c r="N21" s="16">
        <f>ROUND(M21*0.001425*L21,0)</f>
        <v>1053</v>
      </c>
      <c r="O21" s="16">
        <f>ROUND(M21*0.003,0)</f>
        <v>5544</v>
      </c>
      <c r="P21" s="16">
        <f>M21+N21+O21</f>
        <v>1854597</v>
      </c>
      <c r="Q21" s="12">
        <f>M21-N21-O21-H21</f>
        <v>19365</v>
      </c>
      <c r="R21" s="35">
        <f t="shared" si="8"/>
        <v>7635</v>
      </c>
    </row>
    <row r="22" spans="1:18" x14ac:dyDescent="0.25">
      <c r="A22" s="11" t="s">
        <v>25</v>
      </c>
      <c r="B22" s="10">
        <v>42402</v>
      </c>
      <c r="C22" s="3">
        <v>15.5</v>
      </c>
      <c r="D22" s="3">
        <v>100</v>
      </c>
      <c r="E22" s="3">
        <v>0.4</v>
      </c>
      <c r="F22" s="7">
        <f>C22*D22*1000</f>
        <v>1550000</v>
      </c>
      <c r="G22" s="7">
        <f>ROUND(F22*0.001425*E22,0)</f>
        <v>884</v>
      </c>
      <c r="H22" s="7">
        <f>F22+G22</f>
        <v>1550884</v>
      </c>
      <c r="I22" s="27">
        <v>42835</v>
      </c>
      <c r="J22" s="2">
        <v>18.649999999999999</v>
      </c>
      <c r="K22" s="2">
        <v>100</v>
      </c>
      <c r="L22" s="2">
        <v>0.4</v>
      </c>
      <c r="M22" s="16">
        <f>J22*K22*1000</f>
        <v>1864999.9999999998</v>
      </c>
      <c r="N22" s="16">
        <f>ROUND(M22*0.001425*L22,0)</f>
        <v>1063</v>
      </c>
      <c r="O22" s="16">
        <f>ROUND(M22*0.003,0)</f>
        <v>5595</v>
      </c>
      <c r="P22" s="16">
        <f>M22+N22+O22</f>
        <v>1871657.9999999998</v>
      </c>
      <c r="Q22" s="12">
        <f>M22-N22-O22-H22</f>
        <v>307457.99999999977</v>
      </c>
      <c r="R22" s="35">
        <f t="shared" si="8"/>
        <v>7542</v>
      </c>
    </row>
    <row r="23" spans="1:18" x14ac:dyDescent="0.25">
      <c r="A23" s="11" t="s">
        <v>25</v>
      </c>
      <c r="B23" s="10"/>
      <c r="C23" s="3">
        <v>16.5</v>
      </c>
      <c r="D23" s="3">
        <v>18</v>
      </c>
      <c r="E23" s="3">
        <v>0.4</v>
      </c>
      <c r="F23" s="7">
        <f>C23*D23*1000</f>
        <v>297000</v>
      </c>
      <c r="G23" s="7">
        <f>ROUND(F23*0.001425*E23,0)</f>
        <v>169</v>
      </c>
      <c r="H23" s="7">
        <f>F23+G23</f>
        <v>297169</v>
      </c>
      <c r="I23" s="27">
        <v>42835</v>
      </c>
      <c r="J23" s="2">
        <v>18.649999999999999</v>
      </c>
      <c r="K23" s="2">
        <v>18</v>
      </c>
      <c r="L23" s="2">
        <v>0.4</v>
      </c>
      <c r="M23" s="16">
        <f>J23*K23*1000</f>
        <v>335700</v>
      </c>
      <c r="N23" s="16">
        <f>ROUND(M23*0.001425*L23,0)</f>
        <v>191</v>
      </c>
      <c r="O23" s="16">
        <f>ROUND(M23*0.003,0)</f>
        <v>1007</v>
      </c>
      <c r="P23" s="16">
        <f>M23+N23+O23</f>
        <v>336898</v>
      </c>
      <c r="Q23" s="12">
        <f>M23-N23-O23-H23</f>
        <v>37333</v>
      </c>
      <c r="R23" s="35">
        <f t="shared" si="8"/>
        <v>1367</v>
      </c>
    </row>
    <row r="24" spans="1:18" x14ac:dyDescent="0.25">
      <c r="A24" s="11" t="s">
        <v>25</v>
      </c>
      <c r="B24" s="3"/>
      <c r="C24" s="3">
        <v>15</v>
      </c>
      <c r="D24" s="3">
        <v>8</v>
      </c>
      <c r="E24" s="3">
        <v>0.4</v>
      </c>
      <c r="F24" s="7">
        <f>C24*D24*1000</f>
        <v>120000</v>
      </c>
      <c r="G24" s="7">
        <f>ROUND(F24*0.001425*E24,0)</f>
        <v>68</v>
      </c>
      <c r="H24" s="7">
        <f>F24+G24</f>
        <v>120068</v>
      </c>
      <c r="I24" s="27">
        <v>42835</v>
      </c>
      <c r="J24" s="2">
        <v>18.649999999999999</v>
      </c>
      <c r="K24" s="2">
        <v>8</v>
      </c>
      <c r="L24" s="2">
        <v>0.4</v>
      </c>
      <c r="M24" s="16">
        <f>J24*K24*1000</f>
        <v>149200</v>
      </c>
      <c r="N24" s="16">
        <f>ROUND(M24*0.001425*L24,0)</f>
        <v>85</v>
      </c>
      <c r="O24" s="16">
        <f>ROUND(M24*0.003,0)</f>
        <v>448</v>
      </c>
      <c r="P24" s="16">
        <f>M24+N24+O24</f>
        <v>149733</v>
      </c>
      <c r="Q24" s="12">
        <f>M24-N24-O24-H24</f>
        <v>28599</v>
      </c>
      <c r="R24" s="35">
        <f t="shared" si="8"/>
        <v>601</v>
      </c>
    </row>
    <row r="25" spans="1:18" x14ac:dyDescent="0.25">
      <c r="A25" s="11" t="s">
        <v>25</v>
      </c>
      <c r="B25" s="3"/>
      <c r="C25" s="3">
        <v>0</v>
      </c>
      <c r="D25" s="3">
        <v>11</v>
      </c>
      <c r="E25" s="3">
        <v>0.4</v>
      </c>
      <c r="F25" s="7">
        <f>C25*D25*1000</f>
        <v>0</v>
      </c>
      <c r="G25" s="7">
        <f>ROUND(F25*0.001425*E25,0)</f>
        <v>0</v>
      </c>
      <c r="H25" s="7">
        <f>F25+G25</f>
        <v>0</v>
      </c>
      <c r="I25" s="27">
        <v>42835</v>
      </c>
      <c r="J25" s="2">
        <v>18.649999999999999</v>
      </c>
      <c r="K25" s="2">
        <v>11</v>
      </c>
      <c r="L25" s="2">
        <v>0.4</v>
      </c>
      <c r="M25" s="16">
        <f>J25*K25*1000</f>
        <v>205149.99999999997</v>
      </c>
      <c r="N25" s="16">
        <f>ROUND(M25*0.001425*L25,0)</f>
        <v>117</v>
      </c>
      <c r="O25" s="16">
        <f>ROUND(M25*0.003,0)</f>
        <v>615</v>
      </c>
      <c r="P25" s="16">
        <f>M25+N25+O25</f>
        <v>205881.99999999997</v>
      </c>
      <c r="Q25" s="12">
        <f>M25-N25-O25-H25</f>
        <v>204417.99999999997</v>
      </c>
      <c r="R25" s="35">
        <f t="shared" si="8"/>
        <v>732</v>
      </c>
    </row>
    <row r="26" spans="1:18" x14ac:dyDescent="0.25">
      <c r="A26" s="11" t="s">
        <v>42</v>
      </c>
      <c r="B26" s="10">
        <v>42821</v>
      </c>
      <c r="C26" s="3">
        <v>63.3</v>
      </c>
      <c r="D26" s="3">
        <v>10</v>
      </c>
      <c r="E26" s="3">
        <v>0.4</v>
      </c>
      <c r="F26" s="7">
        <f t="shared" ref="F26" si="24">C26*D26*1000</f>
        <v>633000</v>
      </c>
      <c r="G26" s="7">
        <f t="shared" ref="G26" si="25">ROUND(F26*0.001425*E26,0)</f>
        <v>361</v>
      </c>
      <c r="H26" s="7">
        <f t="shared" ref="H26" si="26">F26+G26</f>
        <v>633361</v>
      </c>
      <c r="I26" s="2"/>
      <c r="J26" s="2">
        <v>69.2</v>
      </c>
      <c r="K26" s="2">
        <v>10</v>
      </c>
      <c r="L26" s="2">
        <v>0.4</v>
      </c>
      <c r="M26" s="16">
        <f t="shared" ref="M26" si="27">J26*K26*1000</f>
        <v>692000</v>
      </c>
      <c r="N26" s="16">
        <f t="shared" ref="N26" si="28">ROUND(M26*0.001425*L26,0)</f>
        <v>394</v>
      </c>
      <c r="O26" s="16">
        <f t="shared" ref="O26" si="29">ROUND(M26*0.003,0)</f>
        <v>2076</v>
      </c>
      <c r="P26" s="16">
        <f t="shared" ref="P26" si="30">M26+N26+O26</f>
        <v>694470</v>
      </c>
      <c r="Q26" s="12">
        <f t="shared" ref="Q26" si="31">M26-N26-O26-H26</f>
        <v>56169</v>
      </c>
      <c r="R26" s="35">
        <f t="shared" si="8"/>
        <v>2831</v>
      </c>
    </row>
    <row r="27" spans="1:18" x14ac:dyDescent="0.25">
      <c r="A27" s="11" t="s">
        <v>42</v>
      </c>
      <c r="B27" s="10">
        <v>42821</v>
      </c>
      <c r="C27" s="3">
        <v>63.3</v>
      </c>
      <c r="D27" s="3">
        <v>40</v>
      </c>
      <c r="E27" s="3">
        <v>0.4</v>
      </c>
      <c r="F27" s="7">
        <f t="shared" ref="F27" si="32">C27*D27*1000</f>
        <v>2532000</v>
      </c>
      <c r="G27" s="7">
        <f t="shared" ref="G27" si="33">ROUND(F27*0.001425*E27,0)</f>
        <v>1443</v>
      </c>
      <c r="H27" s="7">
        <f t="shared" ref="H27" si="34">F27+G27</f>
        <v>2533443</v>
      </c>
      <c r="I27" s="2"/>
      <c r="J27" s="2">
        <v>69.3</v>
      </c>
      <c r="K27" s="2">
        <v>40</v>
      </c>
      <c r="L27" s="2">
        <v>0.4</v>
      </c>
      <c r="M27" s="16">
        <f t="shared" ref="M27" si="35">J27*K27*1000</f>
        <v>2772000</v>
      </c>
      <c r="N27" s="16">
        <f t="shared" ref="N27" si="36">ROUND(M27*0.001425*L27,0)</f>
        <v>1580</v>
      </c>
      <c r="O27" s="16">
        <f t="shared" ref="O27" si="37">ROUND(M27*0.003,0)</f>
        <v>8316</v>
      </c>
      <c r="P27" s="16">
        <f t="shared" ref="P27" si="38">M27+N27+O27</f>
        <v>2781896</v>
      </c>
      <c r="Q27" s="12">
        <f t="shared" ref="Q27" si="39">M27-N27-O27-H27</f>
        <v>228661</v>
      </c>
      <c r="R27" s="35">
        <f t="shared" si="8"/>
        <v>11339</v>
      </c>
    </row>
    <row r="28" spans="1:18" x14ac:dyDescent="0.25">
      <c r="A28" s="11" t="s">
        <v>42</v>
      </c>
      <c r="B28" s="10">
        <v>42835</v>
      </c>
      <c r="C28" s="3">
        <v>69.7</v>
      </c>
      <c r="D28" s="3">
        <v>35</v>
      </c>
      <c r="E28" s="3">
        <v>0.4</v>
      </c>
      <c r="F28" s="7">
        <f>C28*D28*1000</f>
        <v>2439500</v>
      </c>
      <c r="G28" s="7">
        <f>ROUND(F28*0.001425*E28,0)</f>
        <v>1391</v>
      </c>
      <c r="H28" s="7">
        <f>F28+G28</f>
        <v>2440891</v>
      </c>
      <c r="I28" s="2"/>
      <c r="J28" s="13">
        <v>66.3</v>
      </c>
      <c r="K28" s="2">
        <v>35</v>
      </c>
      <c r="L28" s="2">
        <v>0.4</v>
      </c>
      <c r="M28" s="16">
        <f>J28*K28*1000</f>
        <v>2320500</v>
      </c>
      <c r="N28" s="16">
        <f>ROUND(M28*0.001425*L28,0)</f>
        <v>1323</v>
      </c>
      <c r="O28" s="16">
        <f>ROUND(M28*0.003,0)</f>
        <v>6962</v>
      </c>
      <c r="P28" s="16">
        <f>M28+N28+O28</f>
        <v>2328785</v>
      </c>
      <c r="Q28" s="12">
        <f>M28-N28-O28-H28</f>
        <v>-128676</v>
      </c>
      <c r="R28" s="35">
        <f t="shared" si="8"/>
        <v>9676</v>
      </c>
    </row>
    <row r="29" spans="1:18" x14ac:dyDescent="0.25">
      <c r="A29" s="11" t="s">
        <v>42</v>
      </c>
      <c r="B29" s="10">
        <v>42857</v>
      </c>
      <c r="C29" s="3">
        <v>65.099999999999994</v>
      </c>
      <c r="D29" s="3">
        <v>17</v>
      </c>
      <c r="E29" s="3">
        <v>0.4</v>
      </c>
      <c r="F29" s="7">
        <f>C29*D29*1000</f>
        <v>1106699.9999999998</v>
      </c>
      <c r="G29" s="7">
        <f>ROUND(F29*0.001425*E29,0)</f>
        <v>631</v>
      </c>
      <c r="H29" s="7">
        <f>F29+G29</f>
        <v>1107330.9999999998</v>
      </c>
      <c r="I29" s="2"/>
      <c r="J29" s="2">
        <v>66.3</v>
      </c>
      <c r="K29" s="2">
        <v>17</v>
      </c>
      <c r="L29" s="2">
        <v>0.4</v>
      </c>
      <c r="M29" s="16">
        <f>J29*K29*1000</f>
        <v>1127100</v>
      </c>
      <c r="N29" s="16">
        <f>ROUND(M29*0.001425*L29,0)</f>
        <v>642</v>
      </c>
      <c r="O29" s="16">
        <f>ROUND(M29*0.003,0)</f>
        <v>3381</v>
      </c>
      <c r="P29" s="16">
        <f>M29+N29+O29</f>
        <v>1131123</v>
      </c>
      <c r="Q29" s="12">
        <f>M29-N29-O29-H29</f>
        <v>15746.000000000233</v>
      </c>
      <c r="R29" s="35">
        <f t="shared" si="8"/>
        <v>4654</v>
      </c>
    </row>
    <row r="30" spans="1:18" x14ac:dyDescent="0.25">
      <c r="A30" s="11" t="s">
        <v>46</v>
      </c>
      <c r="B30" s="10">
        <v>42922</v>
      </c>
      <c r="C30" s="3">
        <v>77.400000000000006</v>
      </c>
      <c r="D30" s="3">
        <v>7</v>
      </c>
      <c r="E30" s="3">
        <v>0.4</v>
      </c>
      <c r="F30" s="7">
        <f t="shared" ref="F30:F31" si="40">C30*D30*1000</f>
        <v>541800.00000000012</v>
      </c>
      <c r="G30" s="7">
        <f t="shared" ref="G30:G31" si="41">ROUND(F30*0.001425*E30,0)</f>
        <v>309</v>
      </c>
      <c r="H30" s="7">
        <f t="shared" ref="H30:H31" si="42">F30+G30</f>
        <v>542109.00000000012</v>
      </c>
      <c r="I30" s="27">
        <v>42935</v>
      </c>
      <c r="J30" s="2">
        <v>83</v>
      </c>
      <c r="K30" s="2">
        <v>7</v>
      </c>
      <c r="L30" s="2">
        <v>0.4</v>
      </c>
      <c r="M30" s="16">
        <f t="shared" ref="M30:M31" si="43">J30*K30*1000</f>
        <v>581000</v>
      </c>
      <c r="N30" s="16">
        <f t="shared" ref="N30:N31" si="44">ROUND(M30*0.001425*L30,0)</f>
        <v>331</v>
      </c>
      <c r="O30" s="16">
        <f t="shared" ref="O30:O31" si="45">ROUND(M30*0.003,0)</f>
        <v>1743</v>
      </c>
      <c r="P30" s="16">
        <f t="shared" ref="P30:P31" si="46">M30+N30+O30</f>
        <v>583074</v>
      </c>
      <c r="Q30" s="12">
        <f t="shared" ref="Q30:Q31" si="47">M30-N30-O30-H30</f>
        <v>36816.999999999884</v>
      </c>
      <c r="R30" s="35">
        <f t="shared" si="8"/>
        <v>2383</v>
      </c>
    </row>
    <row r="31" spans="1:18" x14ac:dyDescent="0.25">
      <c r="A31" s="11" t="s">
        <v>42</v>
      </c>
      <c r="B31" s="10">
        <v>42922</v>
      </c>
      <c r="C31" s="3">
        <v>77.400000000000006</v>
      </c>
      <c r="D31" s="3">
        <v>10</v>
      </c>
      <c r="E31" s="3">
        <v>0.4</v>
      </c>
      <c r="F31" s="7">
        <f t="shared" si="40"/>
        <v>774000</v>
      </c>
      <c r="G31" s="7">
        <f t="shared" si="41"/>
        <v>441</v>
      </c>
      <c r="H31" s="7">
        <f t="shared" si="42"/>
        <v>774441</v>
      </c>
      <c r="I31" s="27">
        <v>42937</v>
      </c>
      <c r="J31" s="2">
        <v>80.5</v>
      </c>
      <c r="K31" s="2">
        <v>10</v>
      </c>
      <c r="L31" s="2">
        <v>0.4</v>
      </c>
      <c r="M31" s="16">
        <f t="shared" si="43"/>
        <v>805000</v>
      </c>
      <c r="N31" s="16">
        <f t="shared" si="44"/>
        <v>459</v>
      </c>
      <c r="O31" s="16">
        <f t="shared" si="45"/>
        <v>2415</v>
      </c>
      <c r="P31" s="16">
        <f t="shared" si="46"/>
        <v>807874</v>
      </c>
      <c r="Q31" s="12">
        <f t="shared" si="47"/>
        <v>27685</v>
      </c>
      <c r="R31" s="35">
        <f t="shared" si="8"/>
        <v>3315</v>
      </c>
    </row>
    <row r="32" spans="1:18" x14ac:dyDescent="0.25">
      <c r="A32" s="11" t="s">
        <v>42</v>
      </c>
      <c r="B32" s="10">
        <v>42956</v>
      </c>
      <c r="C32" s="3">
        <v>77.7</v>
      </c>
      <c r="D32" s="3">
        <v>28</v>
      </c>
      <c r="E32" s="3">
        <v>0.4</v>
      </c>
      <c r="F32" s="7">
        <f t="shared" ref="F32:F41" si="48">C32*D32*1000</f>
        <v>2175600</v>
      </c>
      <c r="G32" s="7">
        <f t="shared" ref="G32:G41" si="49">ROUND(F32*0.001425*E32,0)</f>
        <v>1240</v>
      </c>
      <c r="H32" s="7">
        <f t="shared" ref="H32:H41" si="50">F32+G32</f>
        <v>2176840</v>
      </c>
      <c r="I32" s="27">
        <v>42958</v>
      </c>
      <c r="J32" s="2">
        <v>80</v>
      </c>
      <c r="K32" s="2">
        <v>28</v>
      </c>
      <c r="L32" s="2">
        <v>0.4</v>
      </c>
      <c r="M32" s="16">
        <f t="shared" ref="M32:M41" si="51">J32*K32*1000</f>
        <v>2240000</v>
      </c>
      <c r="N32" s="16">
        <f t="shared" ref="N32:N41" si="52">ROUND(M32*0.001425*L32,0)</f>
        <v>1277</v>
      </c>
      <c r="O32" s="16">
        <f t="shared" ref="O32:O41" si="53">ROUND(M32*0.003,0)</f>
        <v>6720</v>
      </c>
      <c r="P32" s="16">
        <f t="shared" ref="P32:P41" si="54">M32+N32+O32</f>
        <v>2247997</v>
      </c>
      <c r="Q32" s="12">
        <f t="shared" ref="Q32:Q41" si="55">M32-N32-O32-H32</f>
        <v>55163</v>
      </c>
      <c r="R32" s="35">
        <f t="shared" si="8"/>
        <v>9237</v>
      </c>
    </row>
    <row r="33" spans="1:18" x14ac:dyDescent="0.25">
      <c r="A33" s="11" t="s">
        <v>39</v>
      </c>
      <c r="B33" s="10">
        <v>42797</v>
      </c>
      <c r="C33" s="3">
        <v>48.45</v>
      </c>
      <c r="D33" s="3">
        <v>20</v>
      </c>
      <c r="E33" s="3">
        <v>0.4</v>
      </c>
      <c r="F33" s="7">
        <f t="shared" si="48"/>
        <v>969000</v>
      </c>
      <c r="G33" s="7">
        <f t="shared" si="49"/>
        <v>552</v>
      </c>
      <c r="H33" s="7">
        <f t="shared" si="50"/>
        <v>969552</v>
      </c>
      <c r="I33" s="27">
        <v>42975</v>
      </c>
      <c r="J33" s="13">
        <v>48.7</v>
      </c>
      <c r="K33" s="2">
        <v>20</v>
      </c>
      <c r="L33" s="2">
        <v>0.4</v>
      </c>
      <c r="M33" s="16">
        <f t="shared" si="51"/>
        <v>974000</v>
      </c>
      <c r="N33" s="16">
        <f t="shared" si="52"/>
        <v>555</v>
      </c>
      <c r="O33" s="16">
        <f t="shared" si="53"/>
        <v>2922</v>
      </c>
      <c r="P33" s="16">
        <f t="shared" si="54"/>
        <v>977477</v>
      </c>
      <c r="Q33" s="12">
        <f t="shared" si="55"/>
        <v>971</v>
      </c>
      <c r="R33" s="35">
        <f t="shared" si="8"/>
        <v>4029</v>
      </c>
    </row>
    <row r="34" spans="1:18" x14ac:dyDescent="0.25">
      <c r="A34" s="11" t="s">
        <v>39</v>
      </c>
      <c r="B34" s="10">
        <v>42815</v>
      </c>
      <c r="C34" s="3">
        <v>50.5</v>
      </c>
      <c r="D34" s="3">
        <v>30</v>
      </c>
      <c r="E34" s="3">
        <v>0.4</v>
      </c>
      <c r="F34" s="7">
        <f t="shared" si="48"/>
        <v>1515000</v>
      </c>
      <c r="G34" s="7">
        <f t="shared" si="49"/>
        <v>864</v>
      </c>
      <c r="H34" s="7">
        <f t="shared" si="50"/>
        <v>1515864</v>
      </c>
      <c r="I34" s="27">
        <v>42975</v>
      </c>
      <c r="J34" s="13">
        <v>48.7</v>
      </c>
      <c r="K34" s="2">
        <v>30</v>
      </c>
      <c r="L34" s="2">
        <v>0.4</v>
      </c>
      <c r="M34" s="16">
        <f t="shared" si="51"/>
        <v>1461000</v>
      </c>
      <c r="N34" s="16">
        <f t="shared" si="52"/>
        <v>833</v>
      </c>
      <c r="O34" s="16">
        <f t="shared" si="53"/>
        <v>4383</v>
      </c>
      <c r="P34" s="16">
        <f t="shared" si="54"/>
        <v>1466216</v>
      </c>
      <c r="Q34" s="12">
        <f t="shared" si="55"/>
        <v>-60080</v>
      </c>
      <c r="R34" s="35">
        <f t="shared" si="8"/>
        <v>6080</v>
      </c>
    </row>
    <row r="35" spans="1:18" x14ac:dyDescent="0.25">
      <c r="A35" s="11" t="s">
        <v>39</v>
      </c>
      <c r="B35" s="10">
        <v>42873</v>
      </c>
      <c r="C35" s="3">
        <v>49.6</v>
      </c>
      <c r="D35" s="3">
        <v>100</v>
      </c>
      <c r="E35" s="3">
        <v>0.4</v>
      </c>
      <c r="F35" s="7">
        <f t="shared" si="48"/>
        <v>4960000</v>
      </c>
      <c r="G35" s="7">
        <f t="shared" si="49"/>
        <v>2827</v>
      </c>
      <c r="H35" s="7">
        <f t="shared" si="50"/>
        <v>4962827</v>
      </c>
      <c r="I35" s="27">
        <v>42975</v>
      </c>
      <c r="J35" s="13">
        <v>48.7</v>
      </c>
      <c r="K35" s="2">
        <v>100</v>
      </c>
      <c r="L35" s="2">
        <v>0.4</v>
      </c>
      <c r="M35" s="16">
        <f t="shared" si="51"/>
        <v>4870000</v>
      </c>
      <c r="N35" s="16">
        <f t="shared" si="52"/>
        <v>2776</v>
      </c>
      <c r="O35" s="16">
        <f t="shared" si="53"/>
        <v>14610</v>
      </c>
      <c r="P35" s="16">
        <f t="shared" si="54"/>
        <v>4887386</v>
      </c>
      <c r="Q35" s="12">
        <f t="shared" si="55"/>
        <v>-110213</v>
      </c>
      <c r="R35" s="35">
        <f t="shared" si="8"/>
        <v>20213</v>
      </c>
    </row>
    <row r="36" spans="1:18" x14ac:dyDescent="0.25">
      <c r="A36" s="11" t="s">
        <v>39</v>
      </c>
      <c r="B36" s="10">
        <v>42962</v>
      </c>
      <c r="C36" s="3">
        <v>48.1</v>
      </c>
      <c r="D36" s="3">
        <v>45</v>
      </c>
      <c r="E36" s="3">
        <v>0.4</v>
      </c>
      <c r="F36" s="7">
        <f t="shared" si="48"/>
        <v>2164500</v>
      </c>
      <c r="G36" s="7">
        <f t="shared" si="49"/>
        <v>1234</v>
      </c>
      <c r="H36" s="7">
        <f t="shared" si="50"/>
        <v>2165734</v>
      </c>
      <c r="I36" s="27">
        <v>42975</v>
      </c>
      <c r="J36" s="2">
        <v>48.7</v>
      </c>
      <c r="K36" s="2">
        <v>45</v>
      </c>
      <c r="L36" s="2">
        <v>0.4</v>
      </c>
      <c r="M36" s="16">
        <f t="shared" si="51"/>
        <v>2191500</v>
      </c>
      <c r="N36" s="16">
        <f t="shared" si="52"/>
        <v>1249</v>
      </c>
      <c r="O36" s="16">
        <f t="shared" si="53"/>
        <v>6575</v>
      </c>
      <c r="P36" s="16">
        <f t="shared" si="54"/>
        <v>2199324</v>
      </c>
      <c r="Q36" s="12">
        <f t="shared" si="55"/>
        <v>17942</v>
      </c>
      <c r="R36" s="35">
        <f t="shared" si="8"/>
        <v>9058</v>
      </c>
    </row>
    <row r="37" spans="1:18" x14ac:dyDescent="0.25">
      <c r="A37" s="11" t="s">
        <v>44</v>
      </c>
      <c r="B37" s="10">
        <v>42782</v>
      </c>
      <c r="C37" s="3">
        <v>51</v>
      </c>
      <c r="D37" s="3">
        <v>90</v>
      </c>
      <c r="E37" s="3">
        <v>0.4</v>
      </c>
      <c r="F37" s="7">
        <f t="shared" si="48"/>
        <v>4590000</v>
      </c>
      <c r="G37" s="7">
        <f t="shared" si="49"/>
        <v>2616</v>
      </c>
      <c r="H37" s="7">
        <f t="shared" si="50"/>
        <v>4592616</v>
      </c>
      <c r="I37" s="27">
        <v>42982</v>
      </c>
      <c r="J37" s="13">
        <v>48.1</v>
      </c>
      <c r="K37" s="2">
        <v>90</v>
      </c>
      <c r="L37" s="2">
        <v>0.4</v>
      </c>
      <c r="M37" s="16">
        <f t="shared" si="51"/>
        <v>4329000</v>
      </c>
      <c r="N37" s="16">
        <f t="shared" si="52"/>
        <v>2468</v>
      </c>
      <c r="O37" s="16">
        <f t="shared" si="53"/>
        <v>12987</v>
      </c>
      <c r="P37" s="16">
        <f t="shared" si="54"/>
        <v>4344455</v>
      </c>
      <c r="Q37" s="12">
        <f t="shared" si="55"/>
        <v>-279071</v>
      </c>
      <c r="R37" s="35">
        <f t="shared" si="8"/>
        <v>18071</v>
      </c>
    </row>
    <row r="38" spans="1:18" x14ac:dyDescent="0.25">
      <c r="A38" s="11" t="s">
        <v>24</v>
      </c>
      <c r="B38" s="10">
        <v>42783</v>
      </c>
      <c r="C38" s="3">
        <v>50.8</v>
      </c>
      <c r="D38" s="3">
        <v>20</v>
      </c>
      <c r="E38" s="3">
        <v>0.4</v>
      </c>
      <c r="F38" s="7">
        <f t="shared" si="48"/>
        <v>1016000</v>
      </c>
      <c r="G38" s="7">
        <f t="shared" si="49"/>
        <v>579</v>
      </c>
      <c r="H38" s="7">
        <f t="shared" si="50"/>
        <v>1016579</v>
      </c>
      <c r="I38" s="27">
        <v>42982</v>
      </c>
      <c r="J38" s="13">
        <v>48.1</v>
      </c>
      <c r="K38" s="2">
        <v>20</v>
      </c>
      <c r="L38" s="2">
        <v>0.4</v>
      </c>
      <c r="M38" s="16">
        <f t="shared" si="51"/>
        <v>962000</v>
      </c>
      <c r="N38" s="16">
        <f t="shared" si="52"/>
        <v>548</v>
      </c>
      <c r="O38" s="16">
        <f t="shared" si="53"/>
        <v>2886</v>
      </c>
      <c r="P38" s="16">
        <f t="shared" si="54"/>
        <v>965434</v>
      </c>
      <c r="Q38" s="12">
        <f t="shared" si="55"/>
        <v>-58013</v>
      </c>
      <c r="R38" s="35">
        <f t="shared" si="8"/>
        <v>4013</v>
      </c>
    </row>
    <row r="39" spans="1:18" x14ac:dyDescent="0.25">
      <c r="A39" s="11" t="s">
        <v>24</v>
      </c>
      <c r="B39" s="10">
        <v>42821</v>
      </c>
      <c r="C39" s="3">
        <v>51.6</v>
      </c>
      <c r="D39" s="3">
        <v>50</v>
      </c>
      <c r="E39" s="3">
        <v>0.4</v>
      </c>
      <c r="F39" s="7">
        <f t="shared" si="48"/>
        <v>2580000</v>
      </c>
      <c r="G39" s="7">
        <f t="shared" si="49"/>
        <v>1471</v>
      </c>
      <c r="H39" s="7">
        <f t="shared" si="50"/>
        <v>2581471</v>
      </c>
      <c r="I39" s="27">
        <v>42982</v>
      </c>
      <c r="J39" s="13">
        <v>48.1</v>
      </c>
      <c r="K39" s="2">
        <v>50</v>
      </c>
      <c r="L39" s="2">
        <v>0.4</v>
      </c>
      <c r="M39" s="16">
        <f t="shared" si="51"/>
        <v>2405000</v>
      </c>
      <c r="N39" s="16">
        <f t="shared" si="52"/>
        <v>1371</v>
      </c>
      <c r="O39" s="16">
        <f t="shared" si="53"/>
        <v>7215</v>
      </c>
      <c r="P39" s="16">
        <f t="shared" si="54"/>
        <v>2413586</v>
      </c>
      <c r="Q39" s="12">
        <f t="shared" si="55"/>
        <v>-185057</v>
      </c>
      <c r="R39" s="35">
        <f t="shared" si="8"/>
        <v>10057</v>
      </c>
    </row>
    <row r="40" spans="1:18" x14ac:dyDescent="0.25">
      <c r="A40" s="11" t="s">
        <v>24</v>
      </c>
      <c r="B40" s="10">
        <v>42823</v>
      </c>
      <c r="C40" s="3">
        <v>50.3</v>
      </c>
      <c r="D40" s="3">
        <v>23</v>
      </c>
      <c r="E40" s="3">
        <v>0.4</v>
      </c>
      <c r="F40" s="7">
        <f t="shared" si="48"/>
        <v>1156899.9999999998</v>
      </c>
      <c r="G40" s="7">
        <f t="shared" si="49"/>
        <v>659</v>
      </c>
      <c r="H40" s="7">
        <f t="shared" si="50"/>
        <v>1157558.9999999998</v>
      </c>
      <c r="I40" s="27">
        <v>42982</v>
      </c>
      <c r="J40" s="13">
        <v>48.1</v>
      </c>
      <c r="K40" s="2">
        <v>23</v>
      </c>
      <c r="L40" s="2">
        <v>0.4</v>
      </c>
      <c r="M40" s="16">
        <f t="shared" si="51"/>
        <v>1106300</v>
      </c>
      <c r="N40" s="16">
        <f t="shared" si="52"/>
        <v>631</v>
      </c>
      <c r="O40" s="16">
        <f t="shared" si="53"/>
        <v>3319</v>
      </c>
      <c r="P40" s="16">
        <f t="shared" si="54"/>
        <v>1110250</v>
      </c>
      <c r="Q40" s="12">
        <f t="shared" si="55"/>
        <v>-55208.999999999767</v>
      </c>
      <c r="R40" s="35">
        <f t="shared" si="8"/>
        <v>4609</v>
      </c>
    </row>
    <row r="41" spans="1:18" x14ac:dyDescent="0.25">
      <c r="A41" s="11" t="s">
        <v>24</v>
      </c>
      <c r="B41" s="10">
        <v>42873</v>
      </c>
      <c r="C41" s="3">
        <v>47.6</v>
      </c>
      <c r="D41" s="3">
        <v>5</v>
      </c>
      <c r="E41" s="3">
        <v>0.4</v>
      </c>
      <c r="F41" s="7">
        <f t="shared" si="48"/>
        <v>238000</v>
      </c>
      <c r="G41" s="7">
        <f t="shared" si="49"/>
        <v>136</v>
      </c>
      <c r="H41" s="7">
        <f t="shared" si="50"/>
        <v>238136</v>
      </c>
      <c r="I41" s="27">
        <v>42982</v>
      </c>
      <c r="J41" s="2">
        <v>48.1</v>
      </c>
      <c r="K41" s="2">
        <v>5</v>
      </c>
      <c r="L41" s="2">
        <v>0.4</v>
      </c>
      <c r="M41" s="16">
        <f t="shared" si="51"/>
        <v>240500</v>
      </c>
      <c r="N41" s="16">
        <f t="shared" si="52"/>
        <v>137</v>
      </c>
      <c r="O41" s="16">
        <f t="shared" si="53"/>
        <v>722</v>
      </c>
      <c r="P41" s="16">
        <f t="shared" si="54"/>
        <v>241359</v>
      </c>
      <c r="Q41" s="12">
        <f t="shared" si="55"/>
        <v>1505</v>
      </c>
      <c r="R41" s="35">
        <f t="shared" si="8"/>
        <v>995</v>
      </c>
    </row>
    <row r="42" spans="1:18" x14ac:dyDescent="0.25">
      <c r="A42" s="11" t="s">
        <v>48</v>
      </c>
      <c r="B42" s="10">
        <v>42977</v>
      </c>
      <c r="C42" s="3">
        <v>23.85</v>
      </c>
      <c r="D42" s="3">
        <v>300</v>
      </c>
      <c r="E42" s="3">
        <v>0.4</v>
      </c>
      <c r="F42" s="7">
        <f t="shared" ref="F42:F52" si="56">C42*D42*1000</f>
        <v>7155000</v>
      </c>
      <c r="G42" s="7">
        <f t="shared" ref="G42:G52" si="57">ROUND(F42*0.001425*E42,0)</f>
        <v>4078</v>
      </c>
      <c r="H42" s="7">
        <f t="shared" ref="H42:H52" si="58">F42+G42</f>
        <v>7159078</v>
      </c>
      <c r="I42" s="27">
        <v>42993</v>
      </c>
      <c r="J42" s="2">
        <v>24.8</v>
      </c>
      <c r="K42" s="2">
        <v>300</v>
      </c>
      <c r="L42" s="2">
        <v>0.4</v>
      </c>
      <c r="M42" s="16">
        <f t="shared" ref="M42:M52" si="59">J42*K42*1000</f>
        <v>7440000</v>
      </c>
      <c r="N42" s="16">
        <f t="shared" ref="N42:N52" si="60">ROUND(M42*0.001425*L42,0)</f>
        <v>4241</v>
      </c>
      <c r="O42" s="16">
        <f t="shared" ref="O42:O52" si="61">ROUND(M42*0.003,0)</f>
        <v>22320</v>
      </c>
      <c r="P42" s="16">
        <f t="shared" ref="P42:P52" si="62">M42+N42+O42</f>
        <v>7466561</v>
      </c>
      <c r="Q42" s="12">
        <f t="shared" ref="Q42:Q52" si="63">M42-N42-O42-H42</f>
        <v>254361</v>
      </c>
      <c r="R42" s="35">
        <f t="shared" si="8"/>
        <v>30639</v>
      </c>
    </row>
    <row r="43" spans="1:18" x14ac:dyDescent="0.25">
      <c r="A43" s="11" t="s">
        <v>50</v>
      </c>
      <c r="B43" s="10">
        <v>42985</v>
      </c>
      <c r="C43" s="3">
        <v>47</v>
      </c>
      <c r="D43" s="3">
        <v>100</v>
      </c>
      <c r="E43" s="3">
        <v>0.4</v>
      </c>
      <c r="F43" s="7">
        <f t="shared" si="56"/>
        <v>4700000</v>
      </c>
      <c r="G43" s="7">
        <f t="shared" si="57"/>
        <v>2679</v>
      </c>
      <c r="H43" s="7">
        <f t="shared" si="58"/>
        <v>4702679</v>
      </c>
      <c r="I43" s="27">
        <v>42996</v>
      </c>
      <c r="J43" s="2">
        <v>49.5</v>
      </c>
      <c r="K43" s="2">
        <v>100</v>
      </c>
      <c r="L43" s="2">
        <v>0.4</v>
      </c>
      <c r="M43" s="16">
        <f t="shared" si="59"/>
        <v>4950000</v>
      </c>
      <c r="N43" s="16">
        <f t="shared" si="60"/>
        <v>2822</v>
      </c>
      <c r="O43" s="16">
        <f t="shared" si="61"/>
        <v>14850</v>
      </c>
      <c r="P43" s="16">
        <f t="shared" si="62"/>
        <v>4967672</v>
      </c>
      <c r="Q43" s="12">
        <f t="shared" si="63"/>
        <v>229649</v>
      </c>
      <c r="R43" s="35">
        <f t="shared" si="8"/>
        <v>20351</v>
      </c>
    </row>
    <row r="44" spans="1:18" x14ac:dyDescent="0.25">
      <c r="A44" s="11" t="s">
        <v>42</v>
      </c>
      <c r="B44" s="10">
        <v>42984</v>
      </c>
      <c r="C44" s="3">
        <v>88</v>
      </c>
      <c r="D44" s="3">
        <v>70</v>
      </c>
      <c r="E44" s="3">
        <v>0.4</v>
      </c>
      <c r="F44" s="7">
        <f t="shared" si="56"/>
        <v>6160000</v>
      </c>
      <c r="G44" s="7">
        <f t="shared" si="57"/>
        <v>3511</v>
      </c>
      <c r="H44" s="7">
        <f t="shared" si="58"/>
        <v>6163511</v>
      </c>
      <c r="I44" s="27">
        <v>43005</v>
      </c>
      <c r="J44" s="2">
        <v>95</v>
      </c>
      <c r="K44" s="2">
        <v>70</v>
      </c>
      <c r="L44" s="2">
        <v>0.4</v>
      </c>
      <c r="M44" s="16">
        <f t="shared" si="59"/>
        <v>6650000</v>
      </c>
      <c r="N44" s="16">
        <f t="shared" si="60"/>
        <v>3791</v>
      </c>
      <c r="O44" s="16">
        <f t="shared" si="61"/>
        <v>19950</v>
      </c>
      <c r="P44" s="16">
        <f t="shared" si="62"/>
        <v>6673741</v>
      </c>
      <c r="Q44" s="12">
        <f t="shared" si="63"/>
        <v>462748</v>
      </c>
      <c r="R44" s="35">
        <f t="shared" si="8"/>
        <v>27252</v>
      </c>
    </row>
    <row r="45" spans="1:18" x14ac:dyDescent="0.25">
      <c r="A45" s="11" t="s">
        <v>42</v>
      </c>
      <c r="B45" s="10">
        <v>43000</v>
      </c>
      <c r="C45" s="3">
        <v>92.8</v>
      </c>
      <c r="D45" s="3">
        <v>80</v>
      </c>
      <c r="E45" s="3">
        <v>0.4</v>
      </c>
      <c r="F45" s="7">
        <f t="shared" si="56"/>
        <v>7424000</v>
      </c>
      <c r="G45" s="7">
        <f t="shared" si="57"/>
        <v>4232</v>
      </c>
      <c r="H45" s="7">
        <f t="shared" si="58"/>
        <v>7428232</v>
      </c>
      <c r="I45" s="27">
        <v>43005</v>
      </c>
      <c r="J45" s="2">
        <v>95</v>
      </c>
      <c r="K45" s="2">
        <v>80</v>
      </c>
      <c r="L45" s="2">
        <v>0.4</v>
      </c>
      <c r="M45" s="16">
        <f t="shared" si="59"/>
        <v>7600000</v>
      </c>
      <c r="N45" s="16">
        <f t="shared" si="60"/>
        <v>4332</v>
      </c>
      <c r="O45" s="16">
        <f t="shared" si="61"/>
        <v>22800</v>
      </c>
      <c r="P45" s="16">
        <f t="shared" si="62"/>
        <v>7627132</v>
      </c>
      <c r="Q45" s="12">
        <f t="shared" si="63"/>
        <v>144636</v>
      </c>
      <c r="R45" s="35">
        <f t="shared" si="8"/>
        <v>31364</v>
      </c>
    </row>
    <row r="46" spans="1:18" x14ac:dyDescent="0.25">
      <c r="A46" s="11" t="s">
        <v>42</v>
      </c>
      <c r="B46" s="10">
        <v>43003</v>
      </c>
      <c r="C46" s="3">
        <v>90.5</v>
      </c>
      <c r="D46" s="3">
        <v>50</v>
      </c>
      <c r="E46" s="3">
        <v>0.4</v>
      </c>
      <c r="F46" s="7">
        <f t="shared" si="56"/>
        <v>4525000</v>
      </c>
      <c r="G46" s="7">
        <f t="shared" si="57"/>
        <v>2579</v>
      </c>
      <c r="H46" s="7">
        <f t="shared" si="58"/>
        <v>4527579</v>
      </c>
      <c r="I46" s="27">
        <v>43005</v>
      </c>
      <c r="J46" s="2">
        <v>95</v>
      </c>
      <c r="K46" s="2">
        <v>50</v>
      </c>
      <c r="L46" s="2">
        <v>0.4</v>
      </c>
      <c r="M46" s="16">
        <f t="shared" si="59"/>
        <v>4750000</v>
      </c>
      <c r="N46" s="16">
        <f t="shared" si="60"/>
        <v>2708</v>
      </c>
      <c r="O46" s="16">
        <f t="shared" si="61"/>
        <v>14250</v>
      </c>
      <c r="P46" s="16">
        <f t="shared" si="62"/>
        <v>4766958</v>
      </c>
      <c r="Q46" s="12">
        <f t="shared" si="63"/>
        <v>205463</v>
      </c>
      <c r="R46" s="35">
        <f t="shared" si="8"/>
        <v>19537</v>
      </c>
    </row>
    <row r="47" spans="1:18" x14ac:dyDescent="0.25">
      <c r="A47" s="11" t="s">
        <v>80</v>
      </c>
      <c r="B47" s="10">
        <v>43006</v>
      </c>
      <c r="C47" s="3">
        <v>44</v>
      </c>
      <c r="D47" s="3">
        <v>150</v>
      </c>
      <c r="E47" s="3">
        <v>0.4</v>
      </c>
      <c r="F47" s="7">
        <f t="shared" si="56"/>
        <v>6600000</v>
      </c>
      <c r="G47" s="7">
        <f t="shared" si="57"/>
        <v>3762</v>
      </c>
      <c r="H47" s="7">
        <f t="shared" si="58"/>
        <v>6603762</v>
      </c>
      <c r="I47" s="27">
        <v>43014</v>
      </c>
      <c r="J47" s="2">
        <v>50.3</v>
      </c>
      <c r="K47" s="2">
        <v>150</v>
      </c>
      <c r="L47" s="2">
        <v>0.4</v>
      </c>
      <c r="M47" s="16">
        <f t="shared" si="59"/>
        <v>7545000</v>
      </c>
      <c r="N47" s="16">
        <f t="shared" si="60"/>
        <v>4301</v>
      </c>
      <c r="O47" s="16">
        <f t="shared" si="61"/>
        <v>22635</v>
      </c>
      <c r="P47" s="16">
        <f t="shared" si="62"/>
        <v>7571936</v>
      </c>
      <c r="Q47" s="12">
        <f t="shared" si="63"/>
        <v>914302</v>
      </c>
      <c r="R47" s="35">
        <f t="shared" si="8"/>
        <v>30698</v>
      </c>
    </row>
    <row r="48" spans="1:18" x14ac:dyDescent="0.25">
      <c r="A48" s="11" t="s">
        <v>50</v>
      </c>
      <c r="B48" s="10">
        <v>43006</v>
      </c>
      <c r="C48" s="3">
        <v>43.85</v>
      </c>
      <c r="D48" s="3">
        <v>20</v>
      </c>
      <c r="E48" s="3">
        <v>0.4</v>
      </c>
      <c r="F48" s="7">
        <f t="shared" si="56"/>
        <v>877000</v>
      </c>
      <c r="G48" s="7">
        <f t="shared" si="57"/>
        <v>500</v>
      </c>
      <c r="H48" s="7">
        <f t="shared" si="58"/>
        <v>877500</v>
      </c>
      <c r="I48" s="27">
        <v>43014</v>
      </c>
      <c r="J48" s="2">
        <v>50.3</v>
      </c>
      <c r="K48" s="2">
        <v>20</v>
      </c>
      <c r="L48" s="2">
        <v>0.4</v>
      </c>
      <c r="M48" s="16">
        <f t="shared" si="59"/>
        <v>1006000</v>
      </c>
      <c r="N48" s="16">
        <f t="shared" si="60"/>
        <v>573</v>
      </c>
      <c r="O48" s="16">
        <f t="shared" si="61"/>
        <v>3018</v>
      </c>
      <c r="P48" s="16">
        <f t="shared" si="62"/>
        <v>1009591</v>
      </c>
      <c r="Q48" s="12">
        <f t="shared" si="63"/>
        <v>124909</v>
      </c>
      <c r="R48" s="35">
        <f t="shared" si="8"/>
        <v>4091</v>
      </c>
    </row>
    <row r="49" spans="1:18" x14ac:dyDescent="0.25">
      <c r="A49" s="11" t="s">
        <v>42</v>
      </c>
      <c r="B49" s="10">
        <v>43007</v>
      </c>
      <c r="C49" s="3">
        <v>97</v>
      </c>
      <c r="D49" s="3">
        <v>20</v>
      </c>
      <c r="E49" s="3">
        <v>0.4</v>
      </c>
      <c r="F49" s="7">
        <f t="shared" si="56"/>
        <v>1940000</v>
      </c>
      <c r="G49" s="7">
        <f t="shared" si="57"/>
        <v>1106</v>
      </c>
      <c r="H49" s="7">
        <f t="shared" si="58"/>
        <v>1941106</v>
      </c>
      <c r="I49" s="27">
        <v>43032</v>
      </c>
      <c r="J49" s="2">
        <v>102</v>
      </c>
      <c r="K49" s="2">
        <v>20</v>
      </c>
      <c r="L49" s="2">
        <v>0.4</v>
      </c>
      <c r="M49" s="16">
        <f t="shared" si="59"/>
        <v>2040000</v>
      </c>
      <c r="N49" s="16">
        <f t="shared" si="60"/>
        <v>1163</v>
      </c>
      <c r="O49" s="16">
        <f t="shared" si="61"/>
        <v>6120</v>
      </c>
      <c r="P49" s="16">
        <f t="shared" si="62"/>
        <v>2047283</v>
      </c>
      <c r="Q49" s="12">
        <f t="shared" si="63"/>
        <v>91611</v>
      </c>
      <c r="R49" s="35">
        <f t="shared" si="8"/>
        <v>8389</v>
      </c>
    </row>
    <row r="50" spans="1:18" x14ac:dyDescent="0.25">
      <c r="A50" s="11" t="s">
        <v>42</v>
      </c>
      <c r="B50" s="10">
        <v>43014</v>
      </c>
      <c r="C50" s="3">
        <v>97</v>
      </c>
      <c r="D50" s="3">
        <v>45</v>
      </c>
      <c r="E50" s="3">
        <v>0.4</v>
      </c>
      <c r="F50" s="7">
        <f t="shared" si="56"/>
        <v>4365000</v>
      </c>
      <c r="G50" s="7">
        <f t="shared" si="57"/>
        <v>2488</v>
      </c>
      <c r="H50" s="7">
        <f t="shared" si="58"/>
        <v>4367488</v>
      </c>
      <c r="I50" s="27">
        <v>43032</v>
      </c>
      <c r="J50" s="2">
        <v>102</v>
      </c>
      <c r="K50" s="2">
        <v>45</v>
      </c>
      <c r="L50" s="2">
        <v>0.4</v>
      </c>
      <c r="M50" s="16">
        <f t="shared" si="59"/>
        <v>4590000</v>
      </c>
      <c r="N50" s="16">
        <f t="shared" si="60"/>
        <v>2616</v>
      </c>
      <c r="O50" s="16">
        <f t="shared" si="61"/>
        <v>13770</v>
      </c>
      <c r="P50" s="16">
        <f t="shared" si="62"/>
        <v>4606386</v>
      </c>
      <c r="Q50" s="12">
        <f t="shared" si="63"/>
        <v>206126</v>
      </c>
      <c r="R50" s="35">
        <f t="shared" si="8"/>
        <v>18874</v>
      </c>
    </row>
    <row r="51" spans="1:18" x14ac:dyDescent="0.25">
      <c r="A51" s="11" t="s">
        <v>42</v>
      </c>
      <c r="B51" s="10">
        <v>43026</v>
      </c>
      <c r="C51" s="3">
        <v>95.2</v>
      </c>
      <c r="D51" s="3">
        <v>7</v>
      </c>
      <c r="E51" s="3">
        <v>0.4</v>
      </c>
      <c r="F51" s="7">
        <f t="shared" si="56"/>
        <v>666400</v>
      </c>
      <c r="G51" s="7">
        <f t="shared" si="57"/>
        <v>380</v>
      </c>
      <c r="H51" s="7">
        <f t="shared" si="58"/>
        <v>666780</v>
      </c>
      <c r="I51" s="27">
        <v>43032</v>
      </c>
      <c r="J51" s="2">
        <v>102</v>
      </c>
      <c r="K51" s="2">
        <v>7</v>
      </c>
      <c r="L51" s="2">
        <v>0.4</v>
      </c>
      <c r="M51" s="16">
        <f t="shared" si="59"/>
        <v>714000</v>
      </c>
      <c r="N51" s="16">
        <f t="shared" si="60"/>
        <v>407</v>
      </c>
      <c r="O51" s="16">
        <f t="shared" si="61"/>
        <v>2142</v>
      </c>
      <c r="P51" s="16">
        <f t="shared" si="62"/>
        <v>716549</v>
      </c>
      <c r="Q51" s="12">
        <f t="shared" si="63"/>
        <v>44671</v>
      </c>
      <c r="R51" s="35">
        <f t="shared" si="8"/>
        <v>2929</v>
      </c>
    </row>
    <row r="52" spans="1:18" x14ac:dyDescent="0.25">
      <c r="A52" s="11" t="s">
        <v>75</v>
      </c>
      <c r="B52" s="10">
        <v>43028</v>
      </c>
      <c r="C52" s="3">
        <v>88.2</v>
      </c>
      <c r="D52" s="3">
        <v>20</v>
      </c>
      <c r="E52" s="3">
        <v>0.4</v>
      </c>
      <c r="F52" s="7">
        <f t="shared" si="56"/>
        <v>1764000</v>
      </c>
      <c r="G52" s="7">
        <f t="shared" si="57"/>
        <v>1005</v>
      </c>
      <c r="H52" s="7">
        <f t="shared" si="58"/>
        <v>1765005</v>
      </c>
      <c r="I52" s="27">
        <v>43035</v>
      </c>
      <c r="J52" s="2">
        <v>90</v>
      </c>
      <c r="K52" s="2">
        <v>20</v>
      </c>
      <c r="L52" s="2">
        <v>0.4</v>
      </c>
      <c r="M52" s="16">
        <f t="shared" si="59"/>
        <v>1800000</v>
      </c>
      <c r="N52" s="16">
        <f t="shared" si="60"/>
        <v>1026</v>
      </c>
      <c r="O52" s="16">
        <f t="shared" si="61"/>
        <v>5400</v>
      </c>
      <c r="P52" s="16">
        <f t="shared" si="62"/>
        <v>1806426</v>
      </c>
      <c r="Q52" s="12">
        <f t="shared" si="63"/>
        <v>28569</v>
      </c>
      <c r="R52" s="35">
        <f t="shared" si="8"/>
        <v>7431</v>
      </c>
    </row>
    <row r="53" spans="1:18" x14ac:dyDescent="0.25">
      <c r="A53" s="11" t="s">
        <v>42</v>
      </c>
      <c r="B53" s="10">
        <v>43007</v>
      </c>
      <c r="C53" s="3">
        <v>97</v>
      </c>
      <c r="D53" s="3">
        <v>50</v>
      </c>
      <c r="E53" s="3">
        <v>0.4</v>
      </c>
      <c r="F53" s="7">
        <f>C53*D53*1000</f>
        <v>4850000</v>
      </c>
      <c r="G53" s="7">
        <f>ROUND(F53*0.001425*E53,0)</f>
        <v>2765</v>
      </c>
      <c r="H53" s="7">
        <f>F53+G53</f>
        <v>4852765</v>
      </c>
      <c r="I53" s="27">
        <v>43053</v>
      </c>
      <c r="J53" s="2">
        <v>100</v>
      </c>
      <c r="K53" s="2">
        <v>50</v>
      </c>
      <c r="L53" s="2">
        <v>0.4</v>
      </c>
      <c r="M53" s="16">
        <f>J53*K53*1000</f>
        <v>5000000</v>
      </c>
      <c r="N53" s="16">
        <f>ROUND(M53*0.001425*L53,0)</f>
        <v>2850</v>
      </c>
      <c r="O53" s="16">
        <f>ROUND(M53*0.003,0)</f>
        <v>15000</v>
      </c>
      <c r="P53" s="16">
        <f>M53+N53+O53</f>
        <v>5017850</v>
      </c>
      <c r="Q53" s="12">
        <f>M53-N53-O53-H53</f>
        <v>129385</v>
      </c>
      <c r="R53" s="35">
        <f t="shared" si="8"/>
        <v>20615</v>
      </c>
    </row>
    <row r="54" spans="1:18" x14ac:dyDescent="0.25">
      <c r="A54" s="11" t="s">
        <v>48</v>
      </c>
      <c r="B54" s="10">
        <v>43033</v>
      </c>
      <c r="C54" s="3">
        <v>26.3</v>
      </c>
      <c r="D54" s="3">
        <v>250</v>
      </c>
      <c r="E54" s="3">
        <v>0.4</v>
      </c>
      <c r="F54" s="7">
        <f t="shared" ref="F54:F55" si="64">C54*D54*1000</f>
        <v>6575000</v>
      </c>
      <c r="G54" s="7">
        <f t="shared" ref="G54:G55" si="65">ROUND(F54*0.001425*E54,0)</f>
        <v>3748</v>
      </c>
      <c r="H54" s="7">
        <f t="shared" ref="H54:H55" si="66">F54+G54</f>
        <v>6578748</v>
      </c>
      <c r="I54" s="27">
        <v>43056</v>
      </c>
      <c r="J54" s="2">
        <v>28.6</v>
      </c>
      <c r="K54" s="2">
        <v>250</v>
      </c>
      <c r="L54" s="2">
        <v>0.4</v>
      </c>
      <c r="M54" s="16">
        <f t="shared" ref="M54:M55" si="67">J54*K54*1000</f>
        <v>7150000</v>
      </c>
      <c r="N54" s="16">
        <f t="shared" ref="N54:N55" si="68">ROUND(M54*0.001425*L54,0)</f>
        <v>4076</v>
      </c>
      <c r="O54" s="16">
        <f t="shared" ref="O54:O55" si="69">ROUND(M54*0.003,0)</f>
        <v>21450</v>
      </c>
      <c r="P54" s="16">
        <f t="shared" ref="P54:P55" si="70">M54+N54+O54</f>
        <v>7175526</v>
      </c>
      <c r="Q54" s="12">
        <f t="shared" ref="Q54:Q55" si="71">M54-N54-O54-H54</f>
        <v>545726</v>
      </c>
      <c r="R54" s="35">
        <f t="shared" si="8"/>
        <v>29274</v>
      </c>
    </row>
    <row r="55" spans="1:18" x14ac:dyDescent="0.25">
      <c r="A55" s="11" t="s">
        <v>48</v>
      </c>
      <c r="B55" s="10">
        <v>43033</v>
      </c>
      <c r="C55" s="3">
        <v>26.2</v>
      </c>
      <c r="D55" s="3">
        <v>30</v>
      </c>
      <c r="E55" s="3">
        <v>0.4</v>
      </c>
      <c r="F55" s="7">
        <f t="shared" si="64"/>
        <v>786000</v>
      </c>
      <c r="G55" s="7">
        <f t="shared" si="65"/>
        <v>448</v>
      </c>
      <c r="H55" s="7">
        <f t="shared" si="66"/>
        <v>786448</v>
      </c>
      <c r="I55" s="27">
        <v>43056</v>
      </c>
      <c r="J55" s="2">
        <v>28.6</v>
      </c>
      <c r="K55" s="2">
        <v>30</v>
      </c>
      <c r="L55" s="2">
        <v>0.4</v>
      </c>
      <c r="M55" s="16">
        <f t="shared" si="67"/>
        <v>858000</v>
      </c>
      <c r="N55" s="16">
        <f t="shared" si="68"/>
        <v>489</v>
      </c>
      <c r="O55" s="16">
        <f t="shared" si="69"/>
        <v>2574</v>
      </c>
      <c r="P55" s="16">
        <f t="shared" si="70"/>
        <v>861063</v>
      </c>
      <c r="Q55" s="12">
        <f t="shared" si="71"/>
        <v>68489</v>
      </c>
      <c r="R55" s="35">
        <f t="shared" si="8"/>
        <v>3511</v>
      </c>
    </row>
    <row r="56" spans="1:18" x14ac:dyDescent="0.25">
      <c r="A56" s="11" t="s">
        <v>48</v>
      </c>
      <c r="B56" s="10">
        <v>43026</v>
      </c>
      <c r="C56" s="3">
        <v>27.2</v>
      </c>
      <c r="D56" s="3">
        <v>20</v>
      </c>
      <c r="E56" s="3">
        <v>0.4</v>
      </c>
      <c r="F56" s="7">
        <f>C56*D56*1000</f>
        <v>544000</v>
      </c>
      <c r="G56" s="7">
        <f>ROUND(F56*0.001425*E56,0)</f>
        <v>310</v>
      </c>
      <c r="H56" s="7">
        <f>F56+G56</f>
        <v>544310</v>
      </c>
      <c r="I56" s="27">
        <v>43056</v>
      </c>
      <c r="J56" s="2">
        <v>28.6</v>
      </c>
      <c r="K56" s="2">
        <v>20</v>
      </c>
      <c r="L56" s="2">
        <v>0.4</v>
      </c>
      <c r="M56" s="16">
        <f>J56*K56*1000</f>
        <v>572000</v>
      </c>
      <c r="N56" s="16">
        <f>ROUND(M56*0.001425*L56,0)</f>
        <v>326</v>
      </c>
      <c r="O56" s="16">
        <f>ROUND(M56*0.003,0)</f>
        <v>1716</v>
      </c>
      <c r="P56" s="16">
        <f>M56+N56+O56</f>
        <v>574042</v>
      </c>
      <c r="Q56" s="12">
        <f>M56-N56-O56-H56</f>
        <v>25648</v>
      </c>
      <c r="R56" s="35">
        <f t="shared" si="8"/>
        <v>2352</v>
      </c>
    </row>
    <row r="57" spans="1:18" x14ac:dyDescent="0.25">
      <c r="A57" s="11" t="s">
        <v>50</v>
      </c>
      <c r="B57" s="10">
        <v>43035</v>
      </c>
      <c r="C57" s="3">
        <v>56.4</v>
      </c>
      <c r="D57" s="3">
        <v>30</v>
      </c>
      <c r="E57" s="3">
        <v>0.4</v>
      </c>
      <c r="F57" s="7">
        <f>C57*D57*1000</f>
        <v>1692000</v>
      </c>
      <c r="G57" s="7">
        <f>ROUND(F57*0.001425*E57,0)</f>
        <v>964</v>
      </c>
      <c r="H57" s="7">
        <f>F57+G57</f>
        <v>1692964</v>
      </c>
      <c r="I57" s="27">
        <v>43063</v>
      </c>
      <c r="J57" s="13">
        <v>45.4</v>
      </c>
      <c r="K57" s="2">
        <v>30</v>
      </c>
      <c r="L57" s="2">
        <v>0.4</v>
      </c>
      <c r="M57" s="16">
        <f>J57*K57*1000</f>
        <v>1362000</v>
      </c>
      <c r="N57" s="16">
        <f>ROUND(M57*0.001425*L57,0)</f>
        <v>776</v>
      </c>
      <c r="O57" s="16">
        <f>ROUND(M57*0.003,0)</f>
        <v>4086</v>
      </c>
      <c r="P57" s="16">
        <f>M57+N57+O57</f>
        <v>1366862</v>
      </c>
      <c r="Q57" s="12">
        <f>M57-N57-O57-H57</f>
        <v>-335826</v>
      </c>
      <c r="R57" s="35">
        <f t="shared" si="8"/>
        <v>5826</v>
      </c>
    </row>
    <row r="58" spans="1:18" x14ac:dyDescent="0.25">
      <c r="A58" s="11" t="s">
        <v>50</v>
      </c>
      <c r="B58" s="10">
        <v>43062</v>
      </c>
      <c r="C58" s="3">
        <v>48</v>
      </c>
      <c r="D58" s="3">
        <v>100</v>
      </c>
      <c r="E58" s="3">
        <v>0.4</v>
      </c>
      <c r="F58" s="7">
        <f>C58*D58*1000</f>
        <v>4800000</v>
      </c>
      <c r="G58" s="7">
        <f>ROUND(F58*0.001425*E58,0)</f>
        <v>2736</v>
      </c>
      <c r="H58" s="7">
        <f>F58+G58</f>
        <v>4802736</v>
      </c>
      <c r="I58" s="27">
        <v>43063</v>
      </c>
      <c r="J58" s="13">
        <v>45.4</v>
      </c>
      <c r="K58" s="2">
        <v>100</v>
      </c>
      <c r="L58" s="2">
        <v>0.4</v>
      </c>
      <c r="M58" s="16">
        <f>J58*K58*1000</f>
        <v>4540000</v>
      </c>
      <c r="N58" s="16">
        <f>ROUND(M58*0.001425*L58,0)</f>
        <v>2588</v>
      </c>
      <c r="O58" s="16">
        <f>ROUND(M58*0.003,0)</f>
        <v>13620</v>
      </c>
      <c r="P58" s="16">
        <f>M58+N58+O58</f>
        <v>4556208</v>
      </c>
      <c r="Q58" s="12">
        <f>M58-N58-O58-H58</f>
        <v>-278944</v>
      </c>
      <c r="R58" s="35">
        <f t="shared" si="8"/>
        <v>18944</v>
      </c>
    </row>
    <row r="59" spans="1:18" x14ac:dyDescent="0.25">
      <c r="A59" s="11" t="s">
        <v>78</v>
      </c>
      <c r="B59" s="10">
        <v>43066</v>
      </c>
      <c r="C59" s="3">
        <v>85</v>
      </c>
      <c r="D59" s="3">
        <v>3</v>
      </c>
      <c r="E59" s="3">
        <v>0.4</v>
      </c>
      <c r="F59" s="7">
        <f t="shared" ref="F59" si="72">C59*D59*1000</f>
        <v>255000</v>
      </c>
      <c r="G59" s="7">
        <f t="shared" ref="G59" si="73">ROUND(F59*0.001425*E59,0)</f>
        <v>145</v>
      </c>
      <c r="H59" s="7">
        <f t="shared" ref="H59" si="74">F59+G59</f>
        <v>255145</v>
      </c>
      <c r="I59" s="27">
        <v>43073</v>
      </c>
      <c r="J59" s="13">
        <v>73.2</v>
      </c>
      <c r="K59" s="2">
        <v>3</v>
      </c>
      <c r="L59" s="2">
        <v>0.4</v>
      </c>
      <c r="M59" s="16">
        <f t="shared" ref="M59" si="75">J59*K59*1000</f>
        <v>219600.00000000003</v>
      </c>
      <c r="N59" s="16">
        <f t="shared" ref="N59" si="76">ROUND(M59*0.001425*L59,0)</f>
        <v>125</v>
      </c>
      <c r="O59" s="16">
        <f t="shared" ref="O59" si="77">ROUND(M59*0.003,0)</f>
        <v>659</v>
      </c>
      <c r="P59" s="16">
        <f t="shared" ref="P59" si="78">M59+N59+O59</f>
        <v>220384.00000000003</v>
      </c>
      <c r="Q59" s="12">
        <f t="shared" ref="Q59" si="79">M59-N59-O59-H59</f>
        <v>-36328.999999999971</v>
      </c>
      <c r="R59" s="35">
        <f t="shared" si="8"/>
        <v>929</v>
      </c>
    </row>
    <row r="60" spans="1:18" x14ac:dyDescent="0.25">
      <c r="A60" s="11" t="s">
        <v>77</v>
      </c>
      <c r="B60" s="10">
        <v>43061</v>
      </c>
      <c r="C60" s="3">
        <v>59</v>
      </c>
      <c r="D60" s="3">
        <v>100</v>
      </c>
      <c r="E60" s="3">
        <v>0.4</v>
      </c>
      <c r="F60" s="7">
        <f>C60*D60*1000</f>
        <v>5900000</v>
      </c>
      <c r="G60" s="7">
        <f>ROUND(F60*0.001425*E60,0)</f>
        <v>3363</v>
      </c>
      <c r="H60" s="7">
        <f>F60+G60</f>
        <v>5903363</v>
      </c>
      <c r="I60" s="27">
        <v>43051</v>
      </c>
      <c r="J60" s="13">
        <v>47</v>
      </c>
      <c r="K60" s="2">
        <v>100</v>
      </c>
      <c r="L60" s="2">
        <v>0.4</v>
      </c>
      <c r="M60" s="16">
        <f>J60*K60*1000</f>
        <v>4700000</v>
      </c>
      <c r="N60" s="16">
        <f>ROUND(M60*0.001425*L60,0)</f>
        <v>2679</v>
      </c>
      <c r="O60" s="16">
        <f>ROUND(M60*0.003,0)</f>
        <v>14100</v>
      </c>
      <c r="P60" s="16">
        <f>M60+N60+O60</f>
        <v>4716779</v>
      </c>
      <c r="Q60" s="12">
        <f>M60-N60-O60-H60</f>
        <v>-1220142</v>
      </c>
      <c r="R60" s="35">
        <f t="shared" si="8"/>
        <v>20142</v>
      </c>
    </row>
    <row r="61" spans="1:18" x14ac:dyDescent="0.25">
      <c r="A61" s="11" t="s">
        <v>84</v>
      </c>
      <c r="B61" s="10">
        <v>43081</v>
      </c>
      <c r="C61" s="3">
        <v>77.400000000000006</v>
      </c>
      <c r="D61" s="3">
        <v>53</v>
      </c>
      <c r="E61" s="3">
        <v>0.4</v>
      </c>
      <c r="F61" s="7">
        <f t="shared" ref="F61:F62" si="80">C61*D61*1000</f>
        <v>4102200.0000000009</v>
      </c>
      <c r="G61" s="7">
        <f t="shared" ref="G61:G62" si="81">ROUND(F61*0.001425*E61,0)</f>
        <v>2338</v>
      </c>
      <c r="H61" s="7">
        <f t="shared" ref="H61:H62" si="82">F61+G61</f>
        <v>4104538.0000000009</v>
      </c>
      <c r="I61" s="27">
        <v>43084</v>
      </c>
      <c r="J61" s="2">
        <v>78</v>
      </c>
      <c r="K61" s="2">
        <v>53</v>
      </c>
      <c r="L61" s="2">
        <v>0.4</v>
      </c>
      <c r="M61" s="16">
        <f t="shared" ref="M61:M62" si="83">J61*K61*1000</f>
        <v>4134000</v>
      </c>
      <c r="N61" s="16">
        <f t="shared" ref="N61:N62" si="84">ROUND(M61*0.001425*L61,0)</f>
        <v>2356</v>
      </c>
      <c r="O61" s="16">
        <f t="shared" ref="O61:O62" si="85">ROUND(M61*0.003,0)</f>
        <v>12402</v>
      </c>
      <c r="P61" s="16">
        <f t="shared" ref="P61:P62" si="86">M61+N61+O61</f>
        <v>4148758</v>
      </c>
      <c r="Q61" s="12">
        <f t="shared" ref="Q61:Q62" si="87">M61-N61-O61-H61</f>
        <v>14703.999999999069</v>
      </c>
      <c r="R61" s="35">
        <f t="shared" si="8"/>
        <v>17096</v>
      </c>
    </row>
    <row r="62" spans="1:18" x14ac:dyDescent="0.25">
      <c r="A62" s="11" t="s">
        <v>78</v>
      </c>
      <c r="B62" s="10">
        <v>43066</v>
      </c>
      <c r="C62" s="3">
        <v>85</v>
      </c>
      <c r="D62" s="3">
        <v>42</v>
      </c>
      <c r="E62" s="3">
        <v>0.4</v>
      </c>
      <c r="F62" s="7">
        <f t="shared" si="80"/>
        <v>3570000</v>
      </c>
      <c r="G62" s="7">
        <f t="shared" si="81"/>
        <v>2035</v>
      </c>
      <c r="H62" s="7">
        <f t="shared" si="82"/>
        <v>3572035</v>
      </c>
      <c r="I62" s="27">
        <v>43084</v>
      </c>
      <c r="J62" s="13">
        <v>78</v>
      </c>
      <c r="K62" s="2">
        <v>42</v>
      </c>
      <c r="L62" s="2">
        <v>0.4</v>
      </c>
      <c r="M62" s="16">
        <f t="shared" si="83"/>
        <v>3276000</v>
      </c>
      <c r="N62" s="16">
        <f t="shared" si="84"/>
        <v>1867</v>
      </c>
      <c r="O62" s="16">
        <f t="shared" si="85"/>
        <v>9828</v>
      </c>
      <c r="P62" s="16">
        <f t="shared" si="86"/>
        <v>3287695</v>
      </c>
      <c r="Q62" s="12">
        <f t="shared" si="87"/>
        <v>-307730</v>
      </c>
      <c r="R62" s="35">
        <f t="shared" si="8"/>
        <v>13730</v>
      </c>
    </row>
    <row r="63" spans="1:18" x14ac:dyDescent="0.25">
      <c r="A63" s="11" t="s">
        <v>42</v>
      </c>
      <c r="B63" s="10">
        <v>43084</v>
      </c>
      <c r="C63" s="3">
        <v>94.5</v>
      </c>
      <c r="D63" s="3">
        <v>75</v>
      </c>
      <c r="E63" s="3">
        <v>0.4</v>
      </c>
      <c r="F63" s="7">
        <f>C63*D63*1000</f>
        <v>7087500</v>
      </c>
      <c r="G63" s="7">
        <f>ROUND(F63*0.001425*E63,0)</f>
        <v>4040</v>
      </c>
      <c r="H63" s="7">
        <f>F63+G63</f>
        <v>7091540</v>
      </c>
      <c r="I63" s="27">
        <v>43089</v>
      </c>
      <c r="J63" s="2">
        <v>100.5</v>
      </c>
      <c r="K63" s="2">
        <v>75</v>
      </c>
      <c r="L63" s="2">
        <v>0.4</v>
      </c>
      <c r="M63" s="16">
        <f>J63*K63*1000</f>
        <v>7537500</v>
      </c>
      <c r="N63" s="16">
        <f>ROUND(M63*0.001425*L63,0)</f>
        <v>4296</v>
      </c>
      <c r="O63" s="16">
        <f>ROUND(M63*0.003,0)</f>
        <v>22613</v>
      </c>
      <c r="P63" s="16">
        <f>M63+N63+O63</f>
        <v>7564409</v>
      </c>
      <c r="Q63" s="12">
        <f>M63-N63-O63-H63</f>
        <v>419051</v>
      </c>
      <c r="R63" s="35">
        <f t="shared" si="8"/>
        <v>30949</v>
      </c>
    </row>
    <row r="64" spans="1:18" x14ac:dyDescent="0.25">
      <c r="A64" s="11" t="s">
        <v>78</v>
      </c>
      <c r="B64" s="10">
        <v>43066</v>
      </c>
      <c r="C64" s="3">
        <v>85</v>
      </c>
      <c r="D64" s="3">
        <v>40</v>
      </c>
      <c r="E64" s="3">
        <v>0.4</v>
      </c>
      <c r="F64" s="7">
        <f>C64*D64*1000</f>
        <v>3400000</v>
      </c>
      <c r="G64" s="7">
        <f>ROUND(F64*0.001425*E64,0)</f>
        <v>1938</v>
      </c>
      <c r="H64" s="7">
        <f>F64+G64</f>
        <v>3401938</v>
      </c>
      <c r="I64" s="27">
        <v>43096</v>
      </c>
      <c r="J64" s="13">
        <v>73.5</v>
      </c>
      <c r="K64" s="2">
        <v>40</v>
      </c>
      <c r="L64" s="2">
        <v>0.4</v>
      </c>
      <c r="M64" s="16">
        <f>J64*K64*1000</f>
        <v>2940000</v>
      </c>
      <c r="N64" s="16">
        <f>ROUND(M64*0.001425*L64,0)</f>
        <v>1676</v>
      </c>
      <c r="O64" s="16">
        <f>ROUND(M64*0.003,0)</f>
        <v>8820</v>
      </c>
      <c r="P64" s="16">
        <f>M64+N64+O64</f>
        <v>2950496</v>
      </c>
      <c r="Q64" s="12">
        <f>M64-N64-O64-H64</f>
        <v>-472434</v>
      </c>
      <c r="R64" s="35">
        <f t="shared" si="8"/>
        <v>12434</v>
      </c>
    </row>
    <row r="65" spans="1:18" x14ac:dyDescent="0.25">
      <c r="A65" s="11" t="s">
        <v>76</v>
      </c>
      <c r="B65" s="10">
        <v>43026</v>
      </c>
      <c r="C65" s="3">
        <v>27.2</v>
      </c>
      <c r="D65" s="3">
        <v>200</v>
      </c>
      <c r="E65" s="3">
        <v>0.4</v>
      </c>
      <c r="F65" s="7">
        <f t="shared" ref="F65" si="88">C65*D65*1000</f>
        <v>5440000</v>
      </c>
      <c r="G65" s="7">
        <f t="shared" ref="G65" si="89">ROUND(F65*0.001425*E65,0)</f>
        <v>3101</v>
      </c>
      <c r="H65" s="7">
        <f t="shared" ref="H65" si="90">F65+G65</f>
        <v>5443101</v>
      </c>
      <c r="I65" s="27">
        <v>43137</v>
      </c>
      <c r="J65" s="13">
        <v>21.1</v>
      </c>
      <c r="K65" s="2">
        <v>200</v>
      </c>
      <c r="L65" s="2">
        <v>0.4</v>
      </c>
      <c r="M65" s="16">
        <f t="shared" ref="M65" si="91">J65*K65*1000</f>
        <v>4220000</v>
      </c>
      <c r="N65" s="16">
        <f t="shared" ref="N65" si="92">ROUND(M65*0.001425*L65,0)</f>
        <v>2405</v>
      </c>
      <c r="O65" s="16">
        <f t="shared" ref="O65" si="93">ROUND(M65*0.003,0)</f>
        <v>12660</v>
      </c>
      <c r="P65" s="16">
        <f t="shared" ref="P65" si="94">M65+N65+O65</f>
        <v>4235065</v>
      </c>
      <c r="Q65" s="12">
        <f t="shared" ref="Q65" si="95">M65-N65-O65-H65</f>
        <v>-1238166</v>
      </c>
      <c r="R65" s="35">
        <f t="shared" si="8"/>
        <v>18166</v>
      </c>
    </row>
    <row r="66" spans="1:18" x14ac:dyDescent="0.25">
      <c r="A66" s="11" t="s">
        <v>76</v>
      </c>
      <c r="B66" s="10">
        <v>43026</v>
      </c>
      <c r="C66" s="3">
        <v>27.2</v>
      </c>
      <c r="D66" s="3">
        <v>30</v>
      </c>
      <c r="E66" s="3">
        <v>0.4</v>
      </c>
      <c r="F66" s="7">
        <f t="shared" ref="F66:F71" si="96">C66*D66*1000</f>
        <v>816000</v>
      </c>
      <c r="G66" s="7">
        <f t="shared" ref="G66:G71" si="97">ROUND(F66*0.001425*E66,0)</f>
        <v>465</v>
      </c>
      <c r="H66" s="7">
        <f t="shared" ref="H66:H71" si="98">F66+G66</f>
        <v>816465</v>
      </c>
      <c r="I66" s="27">
        <v>43137</v>
      </c>
      <c r="J66" s="13">
        <v>20.100000000000001</v>
      </c>
      <c r="K66" s="2">
        <v>30</v>
      </c>
      <c r="L66" s="2">
        <v>0.4</v>
      </c>
      <c r="M66" s="16">
        <f t="shared" ref="M66:M71" si="99">J66*K66*1000</f>
        <v>603000</v>
      </c>
      <c r="N66" s="16">
        <f t="shared" ref="N66:N71" si="100">ROUND(M66*0.001425*L66,0)</f>
        <v>344</v>
      </c>
      <c r="O66" s="16">
        <f t="shared" ref="O66:O71" si="101">ROUND(M66*0.003,0)</f>
        <v>1809</v>
      </c>
      <c r="P66" s="16">
        <f t="shared" ref="P66:P71" si="102">M66+N66+O66</f>
        <v>605153</v>
      </c>
      <c r="Q66" s="12">
        <f t="shared" ref="Q66:Q71" si="103">M66-N66-O66-H66</f>
        <v>-215618</v>
      </c>
      <c r="R66" s="35">
        <f t="shared" si="8"/>
        <v>2618</v>
      </c>
    </row>
    <row r="67" spans="1:18" x14ac:dyDescent="0.25">
      <c r="A67" s="11" t="s">
        <v>48</v>
      </c>
      <c r="B67" s="10">
        <v>43056</v>
      </c>
      <c r="C67" s="3">
        <v>22</v>
      </c>
      <c r="D67" s="3">
        <v>47</v>
      </c>
      <c r="E67" s="3"/>
      <c r="F67" s="7">
        <f t="shared" si="96"/>
        <v>1034000</v>
      </c>
      <c r="G67" s="7">
        <f t="shared" si="97"/>
        <v>0</v>
      </c>
      <c r="H67" s="7">
        <f t="shared" si="98"/>
        <v>1034000</v>
      </c>
      <c r="I67" s="27">
        <v>43137</v>
      </c>
      <c r="J67" s="13">
        <v>20.100000000000001</v>
      </c>
      <c r="K67" s="2">
        <v>47</v>
      </c>
      <c r="L67" s="2">
        <v>0.4</v>
      </c>
      <c r="M67" s="16">
        <f t="shared" si="99"/>
        <v>944700</v>
      </c>
      <c r="N67" s="16">
        <f t="shared" si="100"/>
        <v>538</v>
      </c>
      <c r="O67" s="16">
        <f t="shared" si="101"/>
        <v>2834</v>
      </c>
      <c r="P67" s="16">
        <f t="shared" si="102"/>
        <v>948072</v>
      </c>
      <c r="Q67" s="12">
        <f t="shared" si="103"/>
        <v>-92672</v>
      </c>
      <c r="R67" s="35">
        <f t="shared" si="8"/>
        <v>3372</v>
      </c>
    </row>
    <row r="68" spans="1:18" x14ac:dyDescent="0.25">
      <c r="A68" s="11" t="s">
        <v>48</v>
      </c>
      <c r="B68" s="10">
        <v>43104</v>
      </c>
      <c r="C68" s="3">
        <v>24.5</v>
      </c>
      <c r="D68" s="3">
        <v>100</v>
      </c>
      <c r="E68" s="3">
        <v>0.4</v>
      </c>
      <c r="F68" s="7">
        <f t="shared" si="96"/>
        <v>2450000</v>
      </c>
      <c r="G68" s="7">
        <f t="shared" si="97"/>
        <v>1397</v>
      </c>
      <c r="H68" s="7">
        <f t="shared" si="98"/>
        <v>2451397</v>
      </c>
      <c r="I68" s="27">
        <v>43137</v>
      </c>
      <c r="J68" s="13">
        <v>20.100000000000001</v>
      </c>
      <c r="K68" s="2">
        <v>100</v>
      </c>
      <c r="L68" s="2">
        <v>0.4</v>
      </c>
      <c r="M68" s="16">
        <f t="shared" si="99"/>
        <v>2010000.0000000002</v>
      </c>
      <c r="N68" s="16">
        <f t="shared" si="100"/>
        <v>1146</v>
      </c>
      <c r="O68" s="16">
        <f t="shared" si="101"/>
        <v>6030</v>
      </c>
      <c r="P68" s="16">
        <f t="shared" si="102"/>
        <v>2017176.0000000002</v>
      </c>
      <c r="Q68" s="12">
        <f t="shared" si="103"/>
        <v>-448572.99999999977</v>
      </c>
      <c r="R68" s="35">
        <f t="shared" si="8"/>
        <v>8573</v>
      </c>
    </row>
    <row r="69" spans="1:18" x14ac:dyDescent="0.25">
      <c r="A69" s="11" t="s">
        <v>77</v>
      </c>
      <c r="B69" s="10">
        <v>43090</v>
      </c>
      <c r="C69" s="3">
        <v>45.4</v>
      </c>
      <c r="D69" s="3">
        <v>100</v>
      </c>
      <c r="E69" s="3">
        <v>0.4</v>
      </c>
      <c r="F69" s="7">
        <f t="shared" si="96"/>
        <v>4540000</v>
      </c>
      <c r="G69" s="7">
        <f t="shared" si="97"/>
        <v>2588</v>
      </c>
      <c r="H69" s="7">
        <f t="shared" si="98"/>
        <v>4542588</v>
      </c>
      <c r="I69" s="27">
        <v>43174</v>
      </c>
      <c r="J69" s="2">
        <v>47.65</v>
      </c>
      <c r="K69" s="2">
        <v>100</v>
      </c>
      <c r="L69" s="2">
        <v>0.4</v>
      </c>
      <c r="M69" s="16">
        <f t="shared" si="99"/>
        <v>4765000</v>
      </c>
      <c r="N69" s="16">
        <f t="shared" si="100"/>
        <v>2716</v>
      </c>
      <c r="O69" s="16">
        <f t="shared" si="101"/>
        <v>14295</v>
      </c>
      <c r="P69" s="16">
        <f t="shared" si="102"/>
        <v>4782011</v>
      </c>
      <c r="Q69" s="12">
        <f t="shared" si="103"/>
        <v>205401</v>
      </c>
      <c r="R69" s="35">
        <f t="shared" si="8"/>
        <v>19599</v>
      </c>
    </row>
    <row r="70" spans="1:18" x14ac:dyDescent="0.25">
      <c r="A70" s="11" t="s">
        <v>77</v>
      </c>
      <c r="B70" s="10">
        <v>43090</v>
      </c>
      <c r="C70" s="3">
        <v>44.5</v>
      </c>
      <c r="D70" s="3">
        <v>65</v>
      </c>
      <c r="E70" s="3">
        <v>0.4</v>
      </c>
      <c r="F70" s="7">
        <f t="shared" si="96"/>
        <v>2892500</v>
      </c>
      <c r="G70" s="7">
        <f t="shared" si="97"/>
        <v>1649</v>
      </c>
      <c r="H70" s="7">
        <f t="shared" si="98"/>
        <v>2894149</v>
      </c>
      <c r="I70" s="27">
        <v>43174</v>
      </c>
      <c r="J70" s="2">
        <v>47.65</v>
      </c>
      <c r="K70" s="2">
        <v>65</v>
      </c>
      <c r="L70" s="2">
        <v>0.4</v>
      </c>
      <c r="M70" s="16">
        <f t="shared" si="99"/>
        <v>3097250</v>
      </c>
      <c r="N70" s="16">
        <f t="shared" si="100"/>
        <v>1765</v>
      </c>
      <c r="O70" s="16">
        <f t="shared" si="101"/>
        <v>9292</v>
      </c>
      <c r="P70" s="16">
        <f t="shared" si="102"/>
        <v>3108307</v>
      </c>
      <c r="Q70" s="12">
        <f t="shared" si="103"/>
        <v>192044</v>
      </c>
      <c r="R70" s="35">
        <f t="shared" si="8"/>
        <v>12706</v>
      </c>
    </row>
    <row r="71" spans="1:18" x14ac:dyDescent="0.25">
      <c r="A71" s="11" t="s">
        <v>77</v>
      </c>
      <c r="B71" s="10">
        <v>43137</v>
      </c>
      <c r="C71" s="3">
        <v>47.1</v>
      </c>
      <c r="D71" s="3">
        <v>35</v>
      </c>
      <c r="E71" s="3">
        <v>0.4</v>
      </c>
      <c r="F71" s="7">
        <f t="shared" si="96"/>
        <v>1648500</v>
      </c>
      <c r="G71" s="7">
        <f t="shared" si="97"/>
        <v>940</v>
      </c>
      <c r="H71" s="7">
        <f t="shared" si="98"/>
        <v>1649440</v>
      </c>
      <c r="I71" s="27">
        <v>43174</v>
      </c>
      <c r="J71" s="2">
        <v>47.65</v>
      </c>
      <c r="K71" s="2">
        <v>35</v>
      </c>
      <c r="L71" s="2">
        <v>0.4</v>
      </c>
      <c r="M71" s="16">
        <f t="shared" si="99"/>
        <v>1667750</v>
      </c>
      <c r="N71" s="16">
        <f t="shared" si="100"/>
        <v>951</v>
      </c>
      <c r="O71" s="16">
        <f t="shared" si="101"/>
        <v>5003</v>
      </c>
      <c r="P71" s="16">
        <f t="shared" si="102"/>
        <v>1673704</v>
      </c>
      <c r="Q71" s="12">
        <f t="shared" si="103"/>
        <v>12356</v>
      </c>
      <c r="R71" s="35">
        <f t="shared" si="8"/>
        <v>6894</v>
      </c>
    </row>
    <row r="72" spans="1:18" x14ac:dyDescent="0.25">
      <c r="A72" s="11" t="s">
        <v>50</v>
      </c>
      <c r="B72" s="10">
        <v>43137</v>
      </c>
      <c r="C72" s="3">
        <v>40.35</v>
      </c>
      <c r="D72" s="3">
        <v>40</v>
      </c>
      <c r="E72" s="3">
        <v>0.4</v>
      </c>
      <c r="F72" s="7">
        <f>C72*D72*1000</f>
        <v>1614000</v>
      </c>
      <c r="G72" s="7">
        <f>ROUND(F72*0.001425*E72,0)</f>
        <v>920</v>
      </c>
      <c r="H72" s="7">
        <f>F72+G72</f>
        <v>1614920</v>
      </c>
      <c r="I72" s="27">
        <v>43186</v>
      </c>
      <c r="J72" s="2">
        <v>50.5</v>
      </c>
      <c r="K72" s="2">
        <v>40</v>
      </c>
      <c r="L72" s="2">
        <v>0.4</v>
      </c>
      <c r="M72" s="16">
        <f>J72*K72*1000</f>
        <v>2020000</v>
      </c>
      <c r="N72" s="16">
        <f>ROUND(M72*0.001425*L72,0)</f>
        <v>1151</v>
      </c>
      <c r="O72" s="16">
        <f>ROUND(M72*0.003,0)</f>
        <v>6060</v>
      </c>
      <c r="P72" s="16">
        <f>M72+N72+O72</f>
        <v>2027211</v>
      </c>
      <c r="Q72" s="12">
        <f>M72-N72-O72-H72</f>
        <v>397869</v>
      </c>
      <c r="R72" s="35">
        <f t="shared" si="8"/>
        <v>8131</v>
      </c>
    </row>
    <row r="73" spans="1:18" x14ac:dyDescent="0.25">
      <c r="A73" s="11" t="s">
        <v>50</v>
      </c>
      <c r="B73" s="10">
        <v>43137</v>
      </c>
      <c r="C73" s="3">
        <v>40</v>
      </c>
      <c r="D73" s="3">
        <v>60</v>
      </c>
      <c r="E73" s="3">
        <v>0.4</v>
      </c>
      <c r="F73" s="7">
        <f>C73*D73*1000</f>
        <v>2400000</v>
      </c>
      <c r="G73" s="7">
        <f>ROUND(F73*0.001425*E73,0)</f>
        <v>1368</v>
      </c>
      <c r="H73" s="7">
        <f>F73+G73</f>
        <v>2401368</v>
      </c>
      <c r="I73" s="27">
        <v>43186</v>
      </c>
      <c r="J73" s="2">
        <v>50.5</v>
      </c>
      <c r="K73" s="2">
        <v>60</v>
      </c>
      <c r="L73" s="2">
        <v>0.4</v>
      </c>
      <c r="M73" s="16">
        <f>J73*K73*1000</f>
        <v>3030000</v>
      </c>
      <c r="N73" s="16">
        <f>ROUND(M73*0.001425*L73,0)</f>
        <v>1727</v>
      </c>
      <c r="O73" s="16">
        <f>ROUND(M73*0.003,0)</f>
        <v>9090</v>
      </c>
      <c r="P73" s="16">
        <f>M73+N73+O73</f>
        <v>3040817</v>
      </c>
      <c r="Q73" s="12">
        <f>M73-N73-O73-H73</f>
        <v>617815</v>
      </c>
      <c r="R73" s="35">
        <f t="shared" si="8"/>
        <v>12185</v>
      </c>
    </row>
    <row r="74" spans="1:18" x14ac:dyDescent="0.25">
      <c r="A74" s="11" t="s">
        <v>50</v>
      </c>
      <c r="B74" s="10">
        <v>43139</v>
      </c>
      <c r="C74" s="3">
        <v>40.5</v>
      </c>
      <c r="D74" s="3">
        <v>100</v>
      </c>
      <c r="E74" s="3">
        <v>0.4</v>
      </c>
      <c r="F74" s="7">
        <f>C74*D74*1000</f>
        <v>4050000</v>
      </c>
      <c r="G74" s="7">
        <f>ROUND(F74*0.001425*E74,0)</f>
        <v>2309</v>
      </c>
      <c r="H74" s="7">
        <f>F74+G74</f>
        <v>4052309</v>
      </c>
      <c r="I74" s="27">
        <v>43186</v>
      </c>
      <c r="J74" s="2">
        <v>50.5</v>
      </c>
      <c r="K74" s="2">
        <v>100</v>
      </c>
      <c r="L74" s="2">
        <v>0.4</v>
      </c>
      <c r="M74" s="16">
        <f>J74*K74*1000</f>
        <v>5050000</v>
      </c>
      <c r="N74" s="16">
        <f>ROUND(M74*0.001425*L74,0)</f>
        <v>2879</v>
      </c>
      <c r="O74" s="16">
        <f>ROUND(M74*0.003,0)</f>
        <v>15150</v>
      </c>
      <c r="P74" s="16">
        <f>M74+N74+O74</f>
        <v>5068029</v>
      </c>
      <c r="Q74" s="12">
        <f>M74-N74-O74-H74</f>
        <v>979662</v>
      </c>
      <c r="R74" s="35">
        <f t="shared" si="8"/>
        <v>20338</v>
      </c>
    </row>
    <row r="75" spans="1:18" x14ac:dyDescent="0.25">
      <c r="A75" s="11" t="s">
        <v>42</v>
      </c>
      <c r="B75" s="10">
        <v>43186</v>
      </c>
      <c r="C75" s="3">
        <v>92.8</v>
      </c>
      <c r="D75" s="3">
        <v>68</v>
      </c>
      <c r="E75" s="3">
        <v>0.4</v>
      </c>
      <c r="F75" s="7">
        <f t="shared" ref="F75:F87" si="104">C75*D75*1000</f>
        <v>6310400</v>
      </c>
      <c r="G75" s="7">
        <f t="shared" ref="G75:G87" si="105">ROUND(F75*0.001425*E75,0)</f>
        <v>3597</v>
      </c>
      <c r="H75" s="7">
        <f t="shared" ref="H75:H87" si="106">F75+G75</f>
        <v>6313997</v>
      </c>
      <c r="I75" s="27">
        <v>43192</v>
      </c>
      <c r="J75" s="2">
        <v>94.2</v>
      </c>
      <c r="K75" s="2">
        <v>68</v>
      </c>
      <c r="L75" s="2">
        <v>0.4</v>
      </c>
      <c r="M75" s="16">
        <f t="shared" ref="M75:M87" si="107">J75*K75*1000</f>
        <v>6405600</v>
      </c>
      <c r="N75" s="16">
        <f t="shared" ref="N75:N87" si="108">ROUND(M75*0.001425*L75,0)</f>
        <v>3651</v>
      </c>
      <c r="O75" s="16">
        <f t="shared" ref="O75:O87" si="109">ROUND(M75*0.003,0)</f>
        <v>19217</v>
      </c>
      <c r="P75" s="16">
        <f t="shared" ref="P75:P87" si="110">M75+N75+O75</f>
        <v>6428468</v>
      </c>
      <c r="Q75" s="12">
        <f t="shared" ref="Q75:Q87" si="111">M75-N75-O75-H75</f>
        <v>68735</v>
      </c>
      <c r="R75" s="35">
        <f t="shared" si="8"/>
        <v>26465</v>
      </c>
    </row>
    <row r="76" spans="1:18" x14ac:dyDescent="0.25">
      <c r="A76" s="11" t="s">
        <v>42</v>
      </c>
      <c r="B76" s="10">
        <v>43181</v>
      </c>
      <c r="C76" s="3">
        <v>110</v>
      </c>
      <c r="D76" s="3">
        <v>68</v>
      </c>
      <c r="E76" s="3">
        <v>0.4</v>
      </c>
      <c r="F76" s="7">
        <f t="shared" si="104"/>
        <v>7480000</v>
      </c>
      <c r="G76" s="7">
        <f t="shared" si="105"/>
        <v>4264</v>
      </c>
      <c r="H76" s="7">
        <f t="shared" si="106"/>
        <v>7484264</v>
      </c>
      <c r="I76" s="27">
        <v>43210</v>
      </c>
      <c r="J76" s="13">
        <v>77.400000000000006</v>
      </c>
      <c r="K76" s="2">
        <v>68</v>
      </c>
      <c r="L76" s="2">
        <v>0.4</v>
      </c>
      <c r="M76" s="16">
        <f t="shared" si="107"/>
        <v>5263200.0000000009</v>
      </c>
      <c r="N76" s="16">
        <f t="shared" si="108"/>
        <v>3000</v>
      </c>
      <c r="O76" s="16">
        <f t="shared" si="109"/>
        <v>15790</v>
      </c>
      <c r="P76" s="16">
        <f t="shared" si="110"/>
        <v>5281990.0000000009</v>
      </c>
      <c r="Q76" s="12">
        <f t="shared" si="111"/>
        <v>-2239853.9999999991</v>
      </c>
      <c r="R76" s="35">
        <f t="shared" si="8"/>
        <v>23054</v>
      </c>
    </row>
    <row r="77" spans="1:18" x14ac:dyDescent="0.25">
      <c r="A77" s="11" t="s">
        <v>42</v>
      </c>
      <c r="B77" s="10">
        <v>43182</v>
      </c>
      <c r="C77" s="3">
        <v>104</v>
      </c>
      <c r="D77" s="3">
        <v>20</v>
      </c>
      <c r="E77" s="3">
        <v>0.4</v>
      </c>
      <c r="F77" s="7">
        <f t="shared" si="104"/>
        <v>2080000</v>
      </c>
      <c r="G77" s="7">
        <f t="shared" si="105"/>
        <v>1186</v>
      </c>
      <c r="H77" s="7">
        <f t="shared" si="106"/>
        <v>2081186</v>
      </c>
      <c r="I77" s="27">
        <v>43210</v>
      </c>
      <c r="J77" s="13">
        <v>77.400000000000006</v>
      </c>
      <c r="K77" s="2">
        <v>20</v>
      </c>
      <c r="L77" s="2">
        <v>0.4</v>
      </c>
      <c r="M77" s="16">
        <f t="shared" si="107"/>
        <v>1548000</v>
      </c>
      <c r="N77" s="16">
        <f t="shared" si="108"/>
        <v>882</v>
      </c>
      <c r="O77" s="16">
        <f t="shared" si="109"/>
        <v>4644</v>
      </c>
      <c r="P77" s="16">
        <f t="shared" si="110"/>
        <v>1553526</v>
      </c>
      <c r="Q77" s="12">
        <f t="shared" si="111"/>
        <v>-538712</v>
      </c>
      <c r="R77" s="35">
        <f t="shared" si="8"/>
        <v>6712</v>
      </c>
    </row>
    <row r="78" spans="1:18" x14ac:dyDescent="0.25">
      <c r="A78" s="11" t="s">
        <v>42</v>
      </c>
      <c r="B78" s="10">
        <v>43186</v>
      </c>
      <c r="C78" s="3">
        <v>92.8</v>
      </c>
      <c r="D78" s="3">
        <v>12</v>
      </c>
      <c r="E78" s="3">
        <v>0.4</v>
      </c>
      <c r="F78" s="7">
        <f t="shared" si="104"/>
        <v>1113600</v>
      </c>
      <c r="G78" s="7">
        <f t="shared" si="105"/>
        <v>635</v>
      </c>
      <c r="H78" s="7">
        <f t="shared" si="106"/>
        <v>1114235</v>
      </c>
      <c r="I78" s="27">
        <v>43210</v>
      </c>
      <c r="J78" s="13">
        <v>77.400000000000006</v>
      </c>
      <c r="K78" s="2">
        <v>12</v>
      </c>
      <c r="L78" s="2">
        <v>0.4</v>
      </c>
      <c r="M78" s="16">
        <f t="shared" si="107"/>
        <v>928800.00000000012</v>
      </c>
      <c r="N78" s="16">
        <f t="shared" si="108"/>
        <v>529</v>
      </c>
      <c r="O78" s="16">
        <f t="shared" si="109"/>
        <v>2786</v>
      </c>
      <c r="P78" s="16">
        <f t="shared" si="110"/>
        <v>932115.00000000012</v>
      </c>
      <c r="Q78" s="12">
        <f t="shared" si="111"/>
        <v>-188749.99999999988</v>
      </c>
      <c r="R78" s="35">
        <f t="shared" si="8"/>
        <v>3950</v>
      </c>
    </row>
    <row r="79" spans="1:18" x14ac:dyDescent="0.25">
      <c r="A79" s="11" t="s">
        <v>42</v>
      </c>
      <c r="B79" s="10">
        <v>43186</v>
      </c>
      <c r="C79" s="3">
        <v>92.5</v>
      </c>
      <c r="D79" s="3">
        <v>2</v>
      </c>
      <c r="E79" s="3">
        <v>0.4</v>
      </c>
      <c r="F79" s="7">
        <f t="shared" si="104"/>
        <v>185000</v>
      </c>
      <c r="G79" s="7">
        <f t="shared" si="105"/>
        <v>105</v>
      </c>
      <c r="H79" s="7">
        <f t="shared" si="106"/>
        <v>185105</v>
      </c>
      <c r="I79" s="27">
        <v>43210</v>
      </c>
      <c r="J79" s="13">
        <v>77.400000000000006</v>
      </c>
      <c r="K79" s="2">
        <v>2</v>
      </c>
      <c r="L79" s="2">
        <v>0.4</v>
      </c>
      <c r="M79" s="16">
        <f t="shared" si="107"/>
        <v>154800</v>
      </c>
      <c r="N79" s="16">
        <f t="shared" si="108"/>
        <v>88</v>
      </c>
      <c r="O79" s="16">
        <f t="shared" si="109"/>
        <v>464</v>
      </c>
      <c r="P79" s="16">
        <f t="shared" si="110"/>
        <v>155352</v>
      </c>
      <c r="Q79" s="12">
        <f t="shared" si="111"/>
        <v>-30857</v>
      </c>
      <c r="R79" s="35">
        <f t="shared" si="8"/>
        <v>657</v>
      </c>
    </row>
    <row r="80" spans="1:18" x14ac:dyDescent="0.25">
      <c r="A80" s="11" t="s">
        <v>42</v>
      </c>
      <c r="B80" s="10">
        <v>43193</v>
      </c>
      <c r="C80" s="3">
        <v>91.2</v>
      </c>
      <c r="D80" s="3">
        <v>80</v>
      </c>
      <c r="E80" s="3">
        <v>0.4</v>
      </c>
      <c r="F80" s="7">
        <f t="shared" si="104"/>
        <v>7296000</v>
      </c>
      <c r="G80" s="7">
        <f t="shared" si="105"/>
        <v>4159</v>
      </c>
      <c r="H80" s="7">
        <f t="shared" si="106"/>
        <v>7300159</v>
      </c>
      <c r="I80" s="27">
        <v>43210</v>
      </c>
      <c r="J80" s="13">
        <v>77.400000000000006</v>
      </c>
      <c r="K80" s="2">
        <v>80</v>
      </c>
      <c r="L80" s="2">
        <v>0.4</v>
      </c>
      <c r="M80" s="16">
        <f t="shared" si="107"/>
        <v>6192000</v>
      </c>
      <c r="N80" s="16">
        <f t="shared" si="108"/>
        <v>3529</v>
      </c>
      <c r="O80" s="16">
        <f t="shared" si="109"/>
        <v>18576</v>
      </c>
      <c r="P80" s="16">
        <f t="shared" si="110"/>
        <v>6214105</v>
      </c>
      <c r="Q80" s="12">
        <f t="shared" si="111"/>
        <v>-1130264</v>
      </c>
      <c r="R80" s="35">
        <f t="shared" si="8"/>
        <v>26264</v>
      </c>
    </row>
    <row r="81" spans="1:19" x14ac:dyDescent="0.25">
      <c r="A81" s="11" t="s">
        <v>42</v>
      </c>
      <c r="B81" s="10">
        <v>43199</v>
      </c>
      <c r="C81" s="3">
        <v>88.2</v>
      </c>
      <c r="D81" s="3">
        <v>20</v>
      </c>
      <c r="E81" s="3">
        <v>0.4</v>
      </c>
      <c r="F81" s="7">
        <f t="shared" si="104"/>
        <v>1764000</v>
      </c>
      <c r="G81" s="7">
        <f t="shared" si="105"/>
        <v>1005</v>
      </c>
      <c r="H81" s="7">
        <f t="shared" si="106"/>
        <v>1765005</v>
      </c>
      <c r="I81" s="27">
        <v>43210</v>
      </c>
      <c r="J81" s="13">
        <v>77.400000000000006</v>
      </c>
      <c r="K81" s="2">
        <v>20</v>
      </c>
      <c r="L81" s="2">
        <v>0.4</v>
      </c>
      <c r="M81" s="16">
        <f t="shared" si="107"/>
        <v>1548000</v>
      </c>
      <c r="N81" s="16">
        <f t="shared" si="108"/>
        <v>882</v>
      </c>
      <c r="O81" s="16">
        <f t="shared" si="109"/>
        <v>4644</v>
      </c>
      <c r="P81" s="16">
        <f t="shared" si="110"/>
        <v>1553526</v>
      </c>
      <c r="Q81" s="12">
        <f t="shared" si="111"/>
        <v>-222531</v>
      </c>
      <c r="R81" s="35">
        <f t="shared" si="8"/>
        <v>6531</v>
      </c>
    </row>
    <row r="82" spans="1:19" x14ac:dyDescent="0.25">
      <c r="A82" s="11" t="s">
        <v>81</v>
      </c>
      <c r="B82" s="10">
        <v>43223</v>
      </c>
      <c r="C82" s="3">
        <v>92.8</v>
      </c>
      <c r="D82" s="3">
        <v>80</v>
      </c>
      <c r="E82" s="3">
        <v>0.4</v>
      </c>
      <c r="F82" s="7">
        <f t="shared" si="104"/>
        <v>7424000</v>
      </c>
      <c r="G82" s="7">
        <f t="shared" si="105"/>
        <v>4232</v>
      </c>
      <c r="H82" s="7">
        <f t="shared" si="106"/>
        <v>7428232</v>
      </c>
      <c r="I82" s="27">
        <v>43228</v>
      </c>
      <c r="J82" s="2">
        <v>95.5</v>
      </c>
      <c r="K82" s="2">
        <v>80</v>
      </c>
      <c r="L82" s="2">
        <v>0.4</v>
      </c>
      <c r="M82" s="16">
        <f t="shared" si="107"/>
        <v>7640000</v>
      </c>
      <c r="N82" s="16">
        <f t="shared" si="108"/>
        <v>4355</v>
      </c>
      <c r="O82" s="16">
        <f t="shared" si="109"/>
        <v>22920</v>
      </c>
      <c r="P82" s="16">
        <f t="shared" si="110"/>
        <v>7667275</v>
      </c>
      <c r="Q82" s="12">
        <f t="shared" si="111"/>
        <v>184493</v>
      </c>
      <c r="R82" s="35">
        <f t="shared" si="8"/>
        <v>31507</v>
      </c>
      <c r="S82" t="s">
        <v>82</v>
      </c>
    </row>
    <row r="83" spans="1:19" x14ac:dyDescent="0.25">
      <c r="A83" s="11" t="s">
        <v>83</v>
      </c>
      <c r="B83" s="10">
        <v>43224</v>
      </c>
      <c r="C83" s="3">
        <v>90.8</v>
      </c>
      <c r="D83" s="3">
        <v>20</v>
      </c>
      <c r="E83" s="3">
        <v>0.4</v>
      </c>
      <c r="F83" s="7">
        <f t="shared" si="104"/>
        <v>1816000</v>
      </c>
      <c r="G83" s="7">
        <f t="shared" si="105"/>
        <v>1035</v>
      </c>
      <c r="H83" s="7">
        <f t="shared" si="106"/>
        <v>1817035</v>
      </c>
      <c r="I83" s="27">
        <v>43228</v>
      </c>
      <c r="J83" s="2">
        <v>95.5</v>
      </c>
      <c r="K83" s="2">
        <v>20</v>
      </c>
      <c r="L83" s="2">
        <v>0.4</v>
      </c>
      <c r="M83" s="16">
        <f t="shared" si="107"/>
        <v>1910000</v>
      </c>
      <c r="N83" s="16">
        <f t="shared" si="108"/>
        <v>1089</v>
      </c>
      <c r="O83" s="16">
        <f t="shared" si="109"/>
        <v>5730</v>
      </c>
      <c r="P83" s="16">
        <f t="shared" si="110"/>
        <v>1916819</v>
      </c>
      <c r="Q83" s="12">
        <f t="shared" si="111"/>
        <v>86146</v>
      </c>
      <c r="R83" s="35">
        <f t="shared" si="8"/>
        <v>7854</v>
      </c>
      <c r="S83" t="s">
        <v>82</v>
      </c>
    </row>
    <row r="84" spans="1:19" x14ac:dyDescent="0.25">
      <c r="A84" s="11" t="s">
        <v>42</v>
      </c>
      <c r="B84" s="10">
        <v>43229</v>
      </c>
      <c r="C84" s="3">
        <v>75.5</v>
      </c>
      <c r="D84" s="3">
        <v>50</v>
      </c>
      <c r="E84" s="3">
        <v>0.4</v>
      </c>
      <c r="F84" s="7">
        <f t="shared" si="104"/>
        <v>3775000</v>
      </c>
      <c r="G84" s="7">
        <f t="shared" si="105"/>
        <v>2152</v>
      </c>
      <c r="H84" s="7">
        <f t="shared" si="106"/>
        <v>3777152</v>
      </c>
      <c r="I84" s="27">
        <v>43294</v>
      </c>
      <c r="J84" s="2">
        <v>100.5</v>
      </c>
      <c r="K84" s="2">
        <v>50</v>
      </c>
      <c r="L84" s="2">
        <v>0.4</v>
      </c>
      <c r="M84" s="16">
        <f t="shared" si="107"/>
        <v>5025000</v>
      </c>
      <c r="N84" s="16">
        <f t="shared" si="108"/>
        <v>2864</v>
      </c>
      <c r="O84" s="16">
        <f t="shared" si="109"/>
        <v>15075</v>
      </c>
      <c r="P84" s="16">
        <f t="shared" si="110"/>
        <v>5042939</v>
      </c>
      <c r="Q84" s="12">
        <f t="shared" si="111"/>
        <v>1229909</v>
      </c>
      <c r="R84" s="35">
        <f t="shared" si="8"/>
        <v>20091</v>
      </c>
    </row>
    <row r="85" spans="1:19" x14ac:dyDescent="0.25">
      <c r="A85" s="11" t="s">
        <v>42</v>
      </c>
      <c r="B85" s="10">
        <v>43229</v>
      </c>
      <c r="C85" s="3">
        <v>75.400000000000006</v>
      </c>
      <c r="D85" s="3">
        <v>50</v>
      </c>
      <c r="E85" s="3">
        <v>0.4</v>
      </c>
      <c r="F85" s="7">
        <f t="shared" si="104"/>
        <v>3770000.0000000005</v>
      </c>
      <c r="G85" s="7">
        <f t="shared" si="105"/>
        <v>2149</v>
      </c>
      <c r="H85" s="7">
        <f t="shared" si="106"/>
        <v>3772149.0000000005</v>
      </c>
      <c r="I85" s="27">
        <v>43294</v>
      </c>
      <c r="J85" s="2">
        <v>100.5</v>
      </c>
      <c r="K85" s="2">
        <v>50</v>
      </c>
      <c r="L85" s="2">
        <v>0.4</v>
      </c>
      <c r="M85" s="16">
        <f t="shared" si="107"/>
        <v>5025000</v>
      </c>
      <c r="N85" s="16">
        <f t="shared" si="108"/>
        <v>2864</v>
      </c>
      <c r="O85" s="16">
        <f t="shared" si="109"/>
        <v>15075</v>
      </c>
      <c r="P85" s="16">
        <f t="shared" si="110"/>
        <v>5042939</v>
      </c>
      <c r="Q85" s="12">
        <f t="shared" si="111"/>
        <v>1234911.9999999995</v>
      </c>
      <c r="R85" s="35">
        <f t="shared" si="8"/>
        <v>20088</v>
      </c>
    </row>
    <row r="86" spans="1:19" x14ac:dyDescent="0.25">
      <c r="A86" s="11" t="s">
        <v>42</v>
      </c>
      <c r="B86" s="10">
        <v>43235</v>
      </c>
      <c r="C86" s="3">
        <v>72</v>
      </c>
      <c r="D86" s="3">
        <v>70</v>
      </c>
      <c r="E86" s="3">
        <v>0.4</v>
      </c>
      <c r="F86" s="7">
        <f t="shared" si="104"/>
        <v>5040000</v>
      </c>
      <c r="G86" s="7">
        <f t="shared" si="105"/>
        <v>2873</v>
      </c>
      <c r="H86" s="7">
        <f t="shared" si="106"/>
        <v>5042873</v>
      </c>
      <c r="I86" s="27">
        <v>43294</v>
      </c>
      <c r="J86" s="2">
        <v>100.5</v>
      </c>
      <c r="K86" s="2">
        <v>70</v>
      </c>
      <c r="L86" s="2">
        <v>0.4</v>
      </c>
      <c r="M86" s="16">
        <f t="shared" si="107"/>
        <v>7035000</v>
      </c>
      <c r="N86" s="16">
        <f t="shared" si="108"/>
        <v>4010</v>
      </c>
      <c r="O86" s="16">
        <f t="shared" si="109"/>
        <v>21105</v>
      </c>
      <c r="P86" s="16">
        <f t="shared" si="110"/>
        <v>7060115</v>
      </c>
      <c r="Q86" s="12">
        <f t="shared" si="111"/>
        <v>1967012</v>
      </c>
      <c r="R86" s="35">
        <f t="shared" si="8"/>
        <v>27988</v>
      </c>
    </row>
    <row r="87" spans="1:19" x14ac:dyDescent="0.25">
      <c r="A87" s="11" t="s">
        <v>42</v>
      </c>
      <c r="B87" s="10">
        <v>43235</v>
      </c>
      <c r="C87" s="3">
        <v>71.5</v>
      </c>
      <c r="D87" s="3">
        <v>36</v>
      </c>
      <c r="E87" s="3">
        <v>0.4</v>
      </c>
      <c r="F87" s="7">
        <f t="shared" si="104"/>
        <v>2574000</v>
      </c>
      <c r="G87" s="7">
        <f t="shared" si="105"/>
        <v>1467</v>
      </c>
      <c r="H87" s="7">
        <f t="shared" si="106"/>
        <v>2575467</v>
      </c>
      <c r="I87" s="27">
        <v>43294</v>
      </c>
      <c r="J87" s="2">
        <v>100.5</v>
      </c>
      <c r="K87" s="2">
        <v>36</v>
      </c>
      <c r="L87" s="2">
        <v>0.4</v>
      </c>
      <c r="M87" s="16">
        <f t="shared" si="107"/>
        <v>3618000</v>
      </c>
      <c r="N87" s="16">
        <f t="shared" si="108"/>
        <v>2062</v>
      </c>
      <c r="O87" s="16">
        <f t="shared" si="109"/>
        <v>10854</v>
      </c>
      <c r="P87" s="16">
        <f t="shared" si="110"/>
        <v>3630916</v>
      </c>
      <c r="Q87" s="12">
        <f t="shared" si="111"/>
        <v>1029617</v>
      </c>
      <c r="R87" s="35">
        <f t="shared" si="8"/>
        <v>14383</v>
      </c>
    </row>
    <row r="88" spans="1:19" x14ac:dyDescent="0.25">
      <c r="A88" s="11" t="s">
        <v>85</v>
      </c>
      <c r="B88" s="10">
        <v>43299</v>
      </c>
      <c r="C88" s="3">
        <v>85.5</v>
      </c>
      <c r="D88" s="3">
        <v>90</v>
      </c>
      <c r="E88" s="3">
        <v>0.4</v>
      </c>
      <c r="F88" s="7">
        <f>C88*D88*1000</f>
        <v>7695000</v>
      </c>
      <c r="G88" s="7">
        <f>ROUND(F88*0.001425*E88,0)</f>
        <v>4386</v>
      </c>
      <c r="H88" s="7">
        <f>F88+G88</f>
        <v>7699386</v>
      </c>
      <c r="I88" s="27">
        <v>43300</v>
      </c>
      <c r="J88" s="60">
        <v>81.3</v>
      </c>
      <c r="K88" s="2">
        <v>90</v>
      </c>
      <c r="L88" s="2">
        <v>0.4</v>
      </c>
      <c r="M88" s="16">
        <f>J88*K88*1000</f>
        <v>7317000</v>
      </c>
      <c r="N88" s="16">
        <f>ROUND(M88*0.001425*L88,0)</f>
        <v>4171</v>
      </c>
      <c r="O88" s="16">
        <f>ROUND(M88*0.003,0)</f>
        <v>21951</v>
      </c>
      <c r="P88" s="16">
        <f>M88+N88+O88</f>
        <v>7343122</v>
      </c>
      <c r="Q88" s="12">
        <f>M88-N88-O88-H88</f>
        <v>-408508</v>
      </c>
      <c r="R88" s="35">
        <f t="shared" si="8"/>
        <v>30508</v>
      </c>
    </row>
    <row r="89" spans="1:19" x14ac:dyDescent="0.25">
      <c r="A89" s="11" t="s">
        <v>42</v>
      </c>
      <c r="B89" s="10">
        <v>43298</v>
      </c>
      <c r="C89" s="3">
        <v>102</v>
      </c>
      <c r="D89" s="3">
        <v>75</v>
      </c>
      <c r="E89" s="3">
        <v>0.4</v>
      </c>
      <c r="F89" s="7">
        <f t="shared" ref="F89:F91" si="112">C89*D89*1000</f>
        <v>7650000</v>
      </c>
      <c r="G89" s="7">
        <f t="shared" ref="G89:G91" si="113">ROUND(F89*0.001425*E89,0)</f>
        <v>4361</v>
      </c>
      <c r="H89" s="7">
        <f t="shared" ref="H89:H91" si="114">F89+G89</f>
        <v>7654361</v>
      </c>
      <c r="I89" s="27">
        <v>43327</v>
      </c>
      <c r="J89" s="2">
        <v>109</v>
      </c>
      <c r="K89" s="2">
        <v>75</v>
      </c>
      <c r="L89" s="2">
        <v>0.4</v>
      </c>
      <c r="M89" s="16">
        <f t="shared" ref="M89:M91" si="115">J89*K89*1000</f>
        <v>8175000</v>
      </c>
      <c r="N89" s="16">
        <f t="shared" ref="N89:N91" si="116">ROUND(M89*0.001425*L89,0)</f>
        <v>4660</v>
      </c>
      <c r="O89" s="16">
        <f t="shared" ref="O89:O91" si="117">ROUND(M89*0.003,0)</f>
        <v>24525</v>
      </c>
      <c r="P89" s="16">
        <f t="shared" ref="P89:P91" si="118">M89+N89+O89</f>
        <v>8204185</v>
      </c>
      <c r="Q89" s="12">
        <f t="shared" ref="Q89:Q91" si="119">M89-N89-O89-H89</f>
        <v>491454</v>
      </c>
      <c r="R89" s="35">
        <f t="shared" si="8"/>
        <v>33546</v>
      </c>
    </row>
    <row r="90" spans="1:19" x14ac:dyDescent="0.25">
      <c r="A90" s="11" t="s">
        <v>42</v>
      </c>
      <c r="B90" s="10">
        <v>43300</v>
      </c>
      <c r="C90" s="3">
        <v>100</v>
      </c>
      <c r="D90" s="3">
        <v>128</v>
      </c>
      <c r="E90" s="3">
        <v>0.4</v>
      </c>
      <c r="F90" s="7">
        <f t="shared" si="112"/>
        <v>12800000</v>
      </c>
      <c r="G90" s="7">
        <f t="shared" si="113"/>
        <v>7296</v>
      </c>
      <c r="H90" s="7">
        <f t="shared" si="114"/>
        <v>12807296</v>
      </c>
      <c r="I90" s="27">
        <v>43327</v>
      </c>
      <c r="J90" s="2">
        <v>109</v>
      </c>
      <c r="K90" s="2">
        <v>128</v>
      </c>
      <c r="L90" s="2">
        <v>0.4</v>
      </c>
      <c r="M90" s="16">
        <f t="shared" si="115"/>
        <v>13952000</v>
      </c>
      <c r="N90" s="16">
        <f t="shared" si="116"/>
        <v>7953</v>
      </c>
      <c r="O90" s="16">
        <f t="shared" si="117"/>
        <v>41856</v>
      </c>
      <c r="P90" s="16">
        <f t="shared" si="118"/>
        <v>14001809</v>
      </c>
      <c r="Q90" s="12">
        <f t="shared" si="119"/>
        <v>1094895</v>
      </c>
      <c r="R90" s="35">
        <f t="shared" si="8"/>
        <v>57105</v>
      </c>
    </row>
    <row r="91" spans="1:19" x14ac:dyDescent="0.25">
      <c r="A91" s="11" t="s">
        <v>42</v>
      </c>
      <c r="B91" s="10">
        <v>43314</v>
      </c>
      <c r="C91" s="3">
        <v>100.5</v>
      </c>
      <c r="D91" s="3">
        <v>10</v>
      </c>
      <c r="E91" s="3">
        <v>0.4</v>
      </c>
      <c r="F91" s="7">
        <f t="shared" si="112"/>
        <v>1005000</v>
      </c>
      <c r="G91" s="7">
        <f t="shared" si="113"/>
        <v>573</v>
      </c>
      <c r="H91" s="7">
        <f t="shared" si="114"/>
        <v>1005573</v>
      </c>
      <c r="I91" s="27">
        <v>43327</v>
      </c>
      <c r="J91" s="2">
        <v>109</v>
      </c>
      <c r="K91" s="2">
        <v>10</v>
      </c>
      <c r="L91" s="2">
        <v>0.4</v>
      </c>
      <c r="M91" s="16">
        <f t="shared" si="115"/>
        <v>1090000</v>
      </c>
      <c r="N91" s="16">
        <f t="shared" si="116"/>
        <v>621</v>
      </c>
      <c r="O91" s="16">
        <f t="shared" si="117"/>
        <v>3270</v>
      </c>
      <c r="P91" s="16">
        <f t="shared" si="118"/>
        <v>1093891</v>
      </c>
      <c r="Q91" s="12">
        <f t="shared" si="119"/>
        <v>80536</v>
      </c>
      <c r="R91" s="35">
        <f t="shared" si="8"/>
        <v>4464</v>
      </c>
    </row>
    <row r="92" spans="1:19" x14ac:dyDescent="0.25">
      <c r="A92" s="11" t="s">
        <v>42</v>
      </c>
      <c r="B92" s="10">
        <v>43350</v>
      </c>
      <c r="C92" s="3">
        <v>105.5</v>
      </c>
      <c r="D92" s="3">
        <v>4</v>
      </c>
      <c r="E92" s="3">
        <v>0.4</v>
      </c>
      <c r="F92" s="7">
        <f>C92*D92*1000</f>
        <v>422000</v>
      </c>
      <c r="G92" s="7">
        <f>ROUND(F92*0.001425*E92,0)</f>
        <v>241</v>
      </c>
      <c r="H92" s="7">
        <f>F92+G92</f>
        <v>422241</v>
      </c>
      <c r="I92" s="27">
        <v>43350</v>
      </c>
      <c r="J92" s="2">
        <v>106</v>
      </c>
      <c r="K92" s="2">
        <v>4</v>
      </c>
      <c r="L92" s="2">
        <v>0.4</v>
      </c>
      <c r="M92" s="16">
        <f>J92*K92*1000</f>
        <v>424000</v>
      </c>
      <c r="N92" s="16">
        <f>ROUND(M92*0.001425*L92,0)</f>
        <v>242</v>
      </c>
      <c r="O92" s="16">
        <f>ROUND(M92*0.003,0)</f>
        <v>1272</v>
      </c>
      <c r="P92" s="16">
        <f>M92+N92+O92</f>
        <v>425514</v>
      </c>
      <c r="Q92" s="12">
        <f>M92-N92-O92-H92</f>
        <v>245</v>
      </c>
      <c r="R92" s="35">
        <f t="shared" si="8"/>
        <v>1755</v>
      </c>
    </row>
    <row r="93" spans="1:19" x14ac:dyDescent="0.25">
      <c r="A93" s="11" t="s">
        <v>42</v>
      </c>
      <c r="B93" s="10">
        <v>43327</v>
      </c>
      <c r="C93" s="3">
        <v>98.2</v>
      </c>
      <c r="D93" s="3">
        <v>146</v>
      </c>
      <c r="E93" s="3">
        <v>0.4</v>
      </c>
      <c r="F93" s="7">
        <f t="shared" ref="F93:F97" si="120">C93*D93*1000</f>
        <v>14337200</v>
      </c>
      <c r="G93" s="7">
        <f t="shared" ref="G93:G97" si="121">ROUND(F93*0.001425*E93,0)</f>
        <v>8172</v>
      </c>
      <c r="H93" s="7">
        <f t="shared" ref="H93:H97" si="122">F93+G93</f>
        <v>14345372</v>
      </c>
      <c r="I93" s="27">
        <v>43364</v>
      </c>
      <c r="J93" s="2">
        <v>90.3</v>
      </c>
      <c r="K93" s="2">
        <v>146</v>
      </c>
      <c r="L93" s="2">
        <v>0.4</v>
      </c>
      <c r="M93" s="16">
        <f t="shared" ref="M93:M97" si="123">J93*K93*1000</f>
        <v>13183800</v>
      </c>
      <c r="N93" s="16">
        <f t="shared" ref="N93:N97" si="124">ROUND(M93*0.001425*L93,0)</f>
        <v>7515</v>
      </c>
      <c r="O93" s="16">
        <f t="shared" ref="O93:O97" si="125">ROUND(M93*0.003,0)</f>
        <v>39551</v>
      </c>
      <c r="P93" s="16">
        <f t="shared" ref="P93:P97" si="126">M93+N93+O93</f>
        <v>13230866</v>
      </c>
      <c r="Q93" s="12">
        <f t="shared" ref="Q93:Q97" si="127">M93-N93-O93-H93</f>
        <v>-1208638</v>
      </c>
      <c r="R93" s="35">
        <f t="shared" si="8"/>
        <v>55238</v>
      </c>
    </row>
    <row r="94" spans="1:19" x14ac:dyDescent="0.25">
      <c r="A94" s="11" t="s">
        <v>42</v>
      </c>
      <c r="B94" s="10">
        <v>43327</v>
      </c>
      <c r="C94" s="3">
        <v>98.1</v>
      </c>
      <c r="D94" s="3">
        <v>24</v>
      </c>
      <c r="E94" s="3">
        <v>0.4</v>
      </c>
      <c r="F94" s="7">
        <f t="shared" si="120"/>
        <v>2354399.9999999995</v>
      </c>
      <c r="G94" s="7">
        <f t="shared" si="121"/>
        <v>1342</v>
      </c>
      <c r="H94" s="7">
        <f t="shared" si="122"/>
        <v>2355741.9999999995</v>
      </c>
      <c r="I94" s="27">
        <v>43364</v>
      </c>
      <c r="J94" s="2">
        <v>90.3</v>
      </c>
      <c r="K94" s="2">
        <v>24</v>
      </c>
      <c r="L94" s="2">
        <v>0.4</v>
      </c>
      <c r="M94" s="16">
        <f t="shared" si="123"/>
        <v>2167200</v>
      </c>
      <c r="N94" s="16">
        <f t="shared" si="124"/>
        <v>1235</v>
      </c>
      <c r="O94" s="16">
        <f t="shared" si="125"/>
        <v>6502</v>
      </c>
      <c r="P94" s="16">
        <f t="shared" si="126"/>
        <v>2174937</v>
      </c>
      <c r="Q94" s="12">
        <f t="shared" si="127"/>
        <v>-196278.99999999953</v>
      </c>
      <c r="R94" s="35">
        <f t="shared" si="8"/>
        <v>9079</v>
      </c>
    </row>
    <row r="95" spans="1:19" x14ac:dyDescent="0.25">
      <c r="A95" s="11" t="s">
        <v>42</v>
      </c>
      <c r="B95" s="10">
        <v>43334</v>
      </c>
      <c r="C95" s="3">
        <v>100</v>
      </c>
      <c r="D95" s="3">
        <v>73</v>
      </c>
      <c r="E95" s="3">
        <v>0.4</v>
      </c>
      <c r="F95" s="7">
        <f t="shared" si="120"/>
        <v>7300000</v>
      </c>
      <c r="G95" s="7">
        <f t="shared" si="121"/>
        <v>4161</v>
      </c>
      <c r="H95" s="7">
        <f t="shared" si="122"/>
        <v>7304161</v>
      </c>
      <c r="I95" s="27">
        <v>43364</v>
      </c>
      <c r="J95" s="2">
        <v>90.3</v>
      </c>
      <c r="K95" s="2">
        <v>73</v>
      </c>
      <c r="L95" s="2">
        <v>0.4</v>
      </c>
      <c r="M95" s="16">
        <f t="shared" si="123"/>
        <v>6591900</v>
      </c>
      <c r="N95" s="16">
        <f t="shared" si="124"/>
        <v>3757</v>
      </c>
      <c r="O95" s="16">
        <f t="shared" si="125"/>
        <v>19776</v>
      </c>
      <c r="P95" s="16">
        <f t="shared" si="126"/>
        <v>6615433</v>
      </c>
      <c r="Q95" s="12">
        <f t="shared" si="127"/>
        <v>-735794</v>
      </c>
      <c r="R95" s="35">
        <f t="shared" si="8"/>
        <v>27694</v>
      </c>
    </row>
    <row r="96" spans="1:19" x14ac:dyDescent="0.25">
      <c r="A96" s="11" t="s">
        <v>42</v>
      </c>
      <c r="B96" s="10">
        <v>43350</v>
      </c>
      <c r="C96" s="3">
        <v>105.5</v>
      </c>
      <c r="D96" s="3">
        <v>3</v>
      </c>
      <c r="E96" s="3">
        <v>0.4</v>
      </c>
      <c r="F96" s="7">
        <f t="shared" si="120"/>
        <v>316500</v>
      </c>
      <c r="G96" s="7">
        <f t="shared" si="121"/>
        <v>180</v>
      </c>
      <c r="H96" s="7">
        <f t="shared" si="122"/>
        <v>316680</v>
      </c>
      <c r="I96" s="27">
        <v>43364</v>
      </c>
      <c r="J96" s="2">
        <v>90.3</v>
      </c>
      <c r="K96" s="2">
        <v>3</v>
      </c>
      <c r="L96" s="2">
        <v>0.4</v>
      </c>
      <c r="M96" s="16">
        <f t="shared" si="123"/>
        <v>270900</v>
      </c>
      <c r="N96" s="16">
        <f t="shared" si="124"/>
        <v>154</v>
      </c>
      <c r="O96" s="16">
        <f t="shared" si="125"/>
        <v>813</v>
      </c>
      <c r="P96" s="16">
        <f t="shared" si="126"/>
        <v>271867</v>
      </c>
      <c r="Q96" s="12">
        <f t="shared" si="127"/>
        <v>-46747</v>
      </c>
      <c r="R96" s="35">
        <f t="shared" si="8"/>
        <v>1147</v>
      </c>
    </row>
    <row r="97" spans="1:18" x14ac:dyDescent="0.25">
      <c r="A97" s="11" t="s">
        <v>42</v>
      </c>
      <c r="B97" s="10">
        <v>43376</v>
      </c>
      <c r="C97" s="3">
        <v>85</v>
      </c>
      <c r="D97" s="3">
        <v>50</v>
      </c>
      <c r="E97" s="3">
        <v>0.4</v>
      </c>
      <c r="F97" s="7">
        <f t="shared" si="120"/>
        <v>4250000</v>
      </c>
      <c r="G97" s="7">
        <f t="shared" si="121"/>
        <v>2423</v>
      </c>
      <c r="H97" s="7">
        <f t="shared" si="122"/>
        <v>4252423</v>
      </c>
      <c r="I97" s="27">
        <v>43389</v>
      </c>
      <c r="J97" s="2">
        <v>86.5</v>
      </c>
      <c r="K97" s="2">
        <v>50</v>
      </c>
      <c r="L97" s="2">
        <v>0.4</v>
      </c>
      <c r="M97" s="16">
        <f t="shared" si="123"/>
        <v>4325000</v>
      </c>
      <c r="N97" s="16">
        <f t="shared" si="124"/>
        <v>2465</v>
      </c>
      <c r="O97" s="16">
        <f t="shared" si="125"/>
        <v>12975</v>
      </c>
      <c r="P97" s="16">
        <f t="shared" si="126"/>
        <v>4340440</v>
      </c>
      <c r="Q97" s="12">
        <f t="shared" si="127"/>
        <v>57137</v>
      </c>
      <c r="R97" s="35">
        <f t="shared" si="8"/>
        <v>17863</v>
      </c>
    </row>
    <row r="98" spans="1:18" x14ac:dyDescent="0.25">
      <c r="A98" s="11" t="s">
        <v>42</v>
      </c>
      <c r="B98" s="10">
        <v>43376</v>
      </c>
      <c r="C98" s="3">
        <v>85</v>
      </c>
      <c r="D98" s="3">
        <v>50</v>
      </c>
      <c r="E98" s="3">
        <v>0.4</v>
      </c>
      <c r="F98" s="7">
        <f t="shared" ref="F98:F99" si="128">C98*D98*1000</f>
        <v>4250000</v>
      </c>
      <c r="G98" s="7">
        <f t="shared" ref="G98:G99" si="129">ROUND(F98*0.001425*E98,0)</f>
        <v>2423</v>
      </c>
      <c r="H98" s="7">
        <f t="shared" ref="H98:H99" si="130">F98+G98</f>
        <v>4252423</v>
      </c>
      <c r="I98" s="27">
        <v>43389</v>
      </c>
      <c r="J98" s="2">
        <v>87</v>
      </c>
      <c r="K98" s="2">
        <v>50</v>
      </c>
      <c r="L98" s="2">
        <v>0.4</v>
      </c>
      <c r="M98" s="16">
        <f t="shared" ref="M98:M99" si="131">J98*K98*1000</f>
        <v>4350000</v>
      </c>
      <c r="N98" s="16">
        <f t="shared" ref="N98:N99" si="132">ROUND(M98*0.001425*L98,0)</f>
        <v>2480</v>
      </c>
      <c r="O98" s="16">
        <f t="shared" ref="O98:O99" si="133">ROUND(M98*0.003,0)</f>
        <v>13050</v>
      </c>
      <c r="P98" s="16">
        <f t="shared" ref="P98:P99" si="134">M98+N98+O98</f>
        <v>4365530</v>
      </c>
      <c r="Q98" s="12">
        <f t="shared" ref="Q98:Q99" si="135">M98-N98-O98-H98</f>
        <v>82047</v>
      </c>
      <c r="R98" s="35">
        <f t="shared" si="8"/>
        <v>17953</v>
      </c>
    </row>
    <row r="99" spans="1:18" x14ac:dyDescent="0.25">
      <c r="A99" s="11" t="s">
        <v>42</v>
      </c>
      <c r="B99" s="10">
        <v>43399</v>
      </c>
      <c r="C99" s="3">
        <v>81.5</v>
      </c>
      <c r="D99" s="3">
        <v>4</v>
      </c>
      <c r="E99" s="3">
        <v>0.4</v>
      </c>
      <c r="F99" s="7">
        <f t="shared" si="128"/>
        <v>326000</v>
      </c>
      <c r="G99" s="7">
        <f t="shared" si="129"/>
        <v>186</v>
      </c>
      <c r="H99" s="7">
        <f t="shared" si="130"/>
        <v>326186</v>
      </c>
      <c r="I99" s="27">
        <v>43409</v>
      </c>
      <c r="J99" s="2">
        <v>89.9</v>
      </c>
      <c r="K99" s="2">
        <v>4</v>
      </c>
      <c r="L99" s="2">
        <v>0.4</v>
      </c>
      <c r="M99" s="16">
        <f t="shared" si="131"/>
        <v>359600</v>
      </c>
      <c r="N99" s="16">
        <f t="shared" si="132"/>
        <v>205</v>
      </c>
      <c r="O99" s="16">
        <f t="shared" si="133"/>
        <v>1079</v>
      </c>
      <c r="P99" s="16">
        <f t="shared" si="134"/>
        <v>360884</v>
      </c>
      <c r="Q99" s="12">
        <f t="shared" si="135"/>
        <v>32130</v>
      </c>
      <c r="R99" s="35">
        <f t="shared" si="8"/>
        <v>1470</v>
      </c>
    </row>
    <row r="100" spans="1:18" x14ac:dyDescent="0.25">
      <c r="A100" s="11" t="s">
        <v>42</v>
      </c>
      <c r="B100" s="10">
        <v>43399</v>
      </c>
      <c r="C100" s="3">
        <v>82</v>
      </c>
      <c r="D100" s="3">
        <v>50</v>
      </c>
      <c r="E100" s="3">
        <v>0.4</v>
      </c>
      <c r="F100" s="7">
        <f>C100*D100*1000</f>
        <v>4100000</v>
      </c>
      <c r="G100" s="7">
        <f>ROUND(F100*0.001425*E100,0)</f>
        <v>2337</v>
      </c>
      <c r="H100" s="7">
        <f>F100+G100</f>
        <v>4102337</v>
      </c>
      <c r="I100" s="27">
        <v>43410</v>
      </c>
      <c r="J100" s="2">
        <v>91</v>
      </c>
      <c r="K100" s="2">
        <v>50</v>
      </c>
      <c r="L100" s="2">
        <v>0.4</v>
      </c>
      <c r="M100" s="16">
        <f>J100*K100*1000</f>
        <v>4550000</v>
      </c>
      <c r="N100" s="16">
        <f>ROUND(M100*0.001425*L100,0)</f>
        <v>2594</v>
      </c>
      <c r="O100" s="16">
        <f>ROUND(M100*0.003,0)</f>
        <v>13650</v>
      </c>
      <c r="P100" s="16">
        <f>M100+N100+O100</f>
        <v>4566244</v>
      </c>
      <c r="Q100" s="12">
        <f>M100-N100-O100-H100</f>
        <v>431419</v>
      </c>
      <c r="R100" s="35">
        <f t="shared" si="8"/>
        <v>18581</v>
      </c>
    </row>
    <row r="101" spans="1:18" x14ac:dyDescent="0.25">
      <c r="A101" s="11" t="s">
        <v>42</v>
      </c>
      <c r="B101" s="10">
        <v>43399</v>
      </c>
      <c r="C101" s="3">
        <v>81.5</v>
      </c>
      <c r="D101" s="3">
        <v>46</v>
      </c>
      <c r="E101" s="3">
        <v>0.4</v>
      </c>
      <c r="F101" s="7">
        <f>C101*D101*1000</f>
        <v>3749000</v>
      </c>
      <c r="G101" s="7">
        <f>ROUND(F101*0.001425*E101,0)</f>
        <v>2137</v>
      </c>
      <c r="H101" s="7">
        <f>F101+G101</f>
        <v>3751137</v>
      </c>
      <c r="I101" s="27">
        <v>43410</v>
      </c>
      <c r="J101" s="2">
        <v>91.5</v>
      </c>
      <c r="K101" s="2">
        <v>46</v>
      </c>
      <c r="L101" s="2">
        <v>0.4</v>
      </c>
      <c r="M101" s="16">
        <f>J101*K101*1000</f>
        <v>4209000</v>
      </c>
      <c r="N101" s="16">
        <f>ROUND(M101*0.001425*L101,0)</f>
        <v>2399</v>
      </c>
      <c r="O101" s="16">
        <f>ROUND(M101*0.003,0)</f>
        <v>12627</v>
      </c>
      <c r="P101" s="16">
        <f>M101+N101+O101</f>
        <v>4224026</v>
      </c>
      <c r="Q101" s="12">
        <f>M101-N101-O101-H101</f>
        <v>442837</v>
      </c>
      <c r="R101" s="35">
        <f t="shared" si="8"/>
        <v>17163</v>
      </c>
    </row>
    <row r="102" spans="1:18" x14ac:dyDescent="0.25">
      <c r="A102" s="11" t="s">
        <v>42</v>
      </c>
      <c r="B102" s="10">
        <v>43399</v>
      </c>
      <c r="C102" s="3">
        <v>84</v>
      </c>
      <c r="D102" s="3">
        <v>4</v>
      </c>
      <c r="E102" s="3">
        <v>0.4</v>
      </c>
      <c r="F102" s="7">
        <f>C102*D102*1000</f>
        <v>336000</v>
      </c>
      <c r="G102" s="7">
        <f>ROUND(F102*0.001425*E102,0)</f>
        <v>192</v>
      </c>
      <c r="H102" s="7">
        <f>F102+G102</f>
        <v>336192</v>
      </c>
      <c r="I102" s="27">
        <v>43410</v>
      </c>
      <c r="J102" s="2">
        <v>91.5</v>
      </c>
      <c r="K102" s="2">
        <v>4</v>
      </c>
      <c r="L102" s="2">
        <v>0.4</v>
      </c>
      <c r="M102" s="16">
        <f>J102*K102*1000</f>
        <v>366000</v>
      </c>
      <c r="N102" s="16">
        <f>ROUND(M102*0.001425*L102,0)</f>
        <v>209</v>
      </c>
      <c r="O102" s="16">
        <f>ROUND(M102*0.003,0)</f>
        <v>1098</v>
      </c>
      <c r="P102" s="16">
        <f>M102+N102+O102</f>
        <v>367307</v>
      </c>
      <c r="Q102" s="12">
        <f>M102-N102-O102-H102</f>
        <v>28501</v>
      </c>
      <c r="R102" s="35">
        <f t="shared" si="8"/>
        <v>1499</v>
      </c>
    </row>
    <row r="103" spans="1:18" x14ac:dyDescent="0.25">
      <c r="A103" s="11" t="s">
        <v>42</v>
      </c>
      <c r="B103" s="10">
        <v>43399</v>
      </c>
      <c r="C103" s="3">
        <v>84</v>
      </c>
      <c r="D103" s="3">
        <v>46</v>
      </c>
      <c r="E103" s="3">
        <v>0.4</v>
      </c>
      <c r="F103" s="7">
        <f>C103*D103*1000</f>
        <v>3864000</v>
      </c>
      <c r="G103" s="7">
        <f>ROUND(F103*0.001425*E103,0)</f>
        <v>2202</v>
      </c>
      <c r="H103" s="7">
        <f>F103+G103</f>
        <v>3866202</v>
      </c>
      <c r="I103" s="27">
        <v>43411</v>
      </c>
      <c r="J103" s="2">
        <v>89.9</v>
      </c>
      <c r="K103" s="2">
        <v>46</v>
      </c>
      <c r="L103" s="2">
        <v>0.4</v>
      </c>
      <c r="M103" s="16">
        <f>J103*K103*1000</f>
        <v>4135400.0000000005</v>
      </c>
      <c r="N103" s="16">
        <f>ROUND(M103*0.001425*L103,0)</f>
        <v>2357</v>
      </c>
      <c r="O103" s="16">
        <f>ROUND(M103*0.003,0)</f>
        <v>12406</v>
      </c>
      <c r="P103" s="16">
        <f>M103+N103+O103</f>
        <v>4150163.0000000005</v>
      </c>
      <c r="Q103" s="12">
        <f>M103-N103-O103-H103</f>
        <v>254435.00000000047</v>
      </c>
      <c r="R103" s="35">
        <f t="shared" ref="R103" si="136">G103+N103+O103</f>
        <v>16965</v>
      </c>
    </row>
    <row r="104" spans="1:18" x14ac:dyDescent="0.25">
      <c r="A104" s="11" t="s">
        <v>42</v>
      </c>
      <c r="B104" s="10">
        <v>43399</v>
      </c>
      <c r="C104" s="3">
        <v>84</v>
      </c>
      <c r="D104" s="3">
        <v>100</v>
      </c>
      <c r="E104" s="3">
        <v>0.4</v>
      </c>
      <c r="F104" s="7">
        <f>C104*D104*1000</f>
        <v>8400000</v>
      </c>
      <c r="G104" s="7">
        <f>ROUND(F104*0.001425*E104,0)</f>
        <v>4788</v>
      </c>
      <c r="H104" s="7">
        <f>F104+G104</f>
        <v>8404788</v>
      </c>
      <c r="I104" s="27">
        <v>43411</v>
      </c>
      <c r="J104" s="2">
        <v>90.5</v>
      </c>
      <c r="K104" s="2">
        <v>100</v>
      </c>
      <c r="L104" s="2">
        <v>0.4</v>
      </c>
      <c r="M104" s="16">
        <f>J104*K104*1000</f>
        <v>9050000</v>
      </c>
      <c r="N104" s="16">
        <f>ROUND(M104*0.001425*L104,0)</f>
        <v>5159</v>
      </c>
      <c r="O104" s="16">
        <f>ROUND(M104*0.003,0)</f>
        <v>27150</v>
      </c>
      <c r="P104" s="16">
        <f>M104+N104+O104</f>
        <v>9082309</v>
      </c>
      <c r="Q104" s="12">
        <f>M104-N104-O104-H104</f>
        <v>612903</v>
      </c>
      <c r="R104" s="35">
        <f t="shared" si="8"/>
        <v>37097</v>
      </c>
    </row>
    <row r="105" spans="1:18" x14ac:dyDescent="0.25">
      <c r="A105" s="11" t="s">
        <v>42</v>
      </c>
      <c r="B105" s="10">
        <v>43424</v>
      </c>
      <c r="C105" s="3">
        <v>98.5</v>
      </c>
      <c r="D105" s="3">
        <v>40</v>
      </c>
      <c r="E105" s="3">
        <v>0.4</v>
      </c>
      <c r="F105" s="7">
        <f t="shared" ref="F105:F114" si="137">C105*D105*1000</f>
        <v>3940000</v>
      </c>
      <c r="G105" s="7">
        <f t="shared" ref="G105:G114" si="138">ROUND(F105*0.001425*E105,0)</f>
        <v>2246</v>
      </c>
      <c r="H105" s="7">
        <f t="shared" ref="H105:H114" si="139">F105+G105</f>
        <v>3942246</v>
      </c>
      <c r="I105" s="27">
        <v>43433</v>
      </c>
      <c r="J105" s="2">
        <v>98</v>
      </c>
      <c r="K105" s="2">
        <v>40</v>
      </c>
      <c r="L105" s="2">
        <v>0.4</v>
      </c>
      <c r="M105" s="16">
        <f t="shared" ref="M105:M114" si="140">J105*K105*1000</f>
        <v>3920000</v>
      </c>
      <c r="N105" s="16">
        <f t="shared" ref="N105:N114" si="141">ROUND(M105*0.001425*L105,0)</f>
        <v>2234</v>
      </c>
      <c r="O105" s="16">
        <f t="shared" ref="O105:O114" si="142">ROUND(M105*0.003,0)</f>
        <v>11760</v>
      </c>
      <c r="P105" s="16">
        <f t="shared" ref="P105:P114" si="143">M105+N105+O105</f>
        <v>3933994</v>
      </c>
      <c r="Q105" s="12">
        <f t="shared" ref="Q105:Q114" si="144">M105-N105-O105-H105</f>
        <v>-36240</v>
      </c>
      <c r="R105" s="35">
        <f t="shared" si="8"/>
        <v>16240</v>
      </c>
    </row>
    <row r="106" spans="1:18" x14ac:dyDescent="0.25">
      <c r="A106" s="11" t="s">
        <v>42</v>
      </c>
      <c r="B106" s="10">
        <v>43424</v>
      </c>
      <c r="C106" s="3">
        <v>98</v>
      </c>
      <c r="D106" s="3">
        <v>50</v>
      </c>
      <c r="E106" s="3">
        <v>0.4</v>
      </c>
      <c r="F106" s="7">
        <f t="shared" si="137"/>
        <v>4900000</v>
      </c>
      <c r="G106" s="7">
        <f t="shared" si="138"/>
        <v>2793</v>
      </c>
      <c r="H106" s="7">
        <f t="shared" si="139"/>
        <v>4902793</v>
      </c>
      <c r="I106" s="27">
        <v>43445</v>
      </c>
      <c r="J106" s="2">
        <v>96.9</v>
      </c>
      <c r="K106" s="2">
        <v>50</v>
      </c>
      <c r="L106" s="2">
        <v>0.4</v>
      </c>
      <c r="M106" s="16">
        <f t="shared" si="140"/>
        <v>4845000</v>
      </c>
      <c r="N106" s="16">
        <f t="shared" si="141"/>
        <v>2762</v>
      </c>
      <c r="O106" s="16">
        <f t="shared" si="142"/>
        <v>14535</v>
      </c>
      <c r="P106" s="16">
        <f t="shared" si="143"/>
        <v>4862297</v>
      </c>
      <c r="Q106" s="12">
        <f t="shared" si="144"/>
        <v>-75090</v>
      </c>
      <c r="R106" s="35">
        <f t="shared" si="8"/>
        <v>20090</v>
      </c>
    </row>
    <row r="107" spans="1:18" x14ac:dyDescent="0.25">
      <c r="A107" s="11" t="s">
        <v>42</v>
      </c>
      <c r="B107" s="10">
        <v>43424</v>
      </c>
      <c r="C107" s="3">
        <v>95.7</v>
      </c>
      <c r="D107" s="3">
        <v>40</v>
      </c>
      <c r="E107" s="3">
        <v>0.4</v>
      </c>
      <c r="F107" s="7">
        <f t="shared" si="137"/>
        <v>3828000</v>
      </c>
      <c r="G107" s="7">
        <f t="shared" si="138"/>
        <v>2182</v>
      </c>
      <c r="H107" s="7">
        <f t="shared" si="139"/>
        <v>3830182</v>
      </c>
      <c r="I107" s="27">
        <v>43445</v>
      </c>
      <c r="J107" s="2">
        <v>97</v>
      </c>
      <c r="K107" s="2">
        <v>40</v>
      </c>
      <c r="L107" s="2">
        <v>0.4</v>
      </c>
      <c r="M107" s="16">
        <f t="shared" si="140"/>
        <v>3880000</v>
      </c>
      <c r="N107" s="16">
        <f t="shared" si="141"/>
        <v>2212</v>
      </c>
      <c r="O107" s="16">
        <f t="shared" si="142"/>
        <v>11640</v>
      </c>
      <c r="P107" s="16">
        <f t="shared" si="143"/>
        <v>3893852</v>
      </c>
      <c r="Q107" s="12">
        <f t="shared" si="144"/>
        <v>35966</v>
      </c>
      <c r="R107" s="35">
        <f t="shared" si="8"/>
        <v>16034</v>
      </c>
    </row>
    <row r="108" spans="1:18" x14ac:dyDescent="0.25">
      <c r="A108" s="11" t="s">
        <v>42</v>
      </c>
      <c r="B108" s="10">
        <v>43424</v>
      </c>
      <c r="C108" s="3">
        <v>97</v>
      </c>
      <c r="D108" s="3">
        <v>2</v>
      </c>
      <c r="E108" s="3">
        <v>0.4</v>
      </c>
      <c r="F108" s="7">
        <f t="shared" si="137"/>
        <v>194000</v>
      </c>
      <c r="G108" s="7">
        <f t="shared" si="138"/>
        <v>111</v>
      </c>
      <c r="H108" s="7">
        <f t="shared" si="139"/>
        <v>194111</v>
      </c>
      <c r="I108" s="27">
        <v>43445</v>
      </c>
      <c r="J108" s="2">
        <v>97.5</v>
      </c>
      <c r="K108" s="2">
        <v>2</v>
      </c>
      <c r="L108" s="2">
        <v>0.4</v>
      </c>
      <c r="M108" s="16">
        <f t="shared" si="140"/>
        <v>195000</v>
      </c>
      <c r="N108" s="16">
        <f t="shared" si="141"/>
        <v>111</v>
      </c>
      <c r="O108" s="16">
        <f t="shared" si="142"/>
        <v>585</v>
      </c>
      <c r="P108" s="16">
        <f t="shared" si="143"/>
        <v>195696</v>
      </c>
      <c r="Q108" s="12">
        <f t="shared" si="144"/>
        <v>193</v>
      </c>
      <c r="R108" s="35">
        <f t="shared" si="8"/>
        <v>807</v>
      </c>
    </row>
    <row r="109" spans="1:18" x14ac:dyDescent="0.25">
      <c r="A109" s="11" t="s">
        <v>42</v>
      </c>
      <c r="B109" s="10">
        <v>43425</v>
      </c>
      <c r="C109" s="3">
        <v>95</v>
      </c>
      <c r="D109" s="3">
        <v>48</v>
      </c>
      <c r="E109" s="3">
        <v>0.4</v>
      </c>
      <c r="F109" s="7">
        <f t="shared" si="137"/>
        <v>4560000</v>
      </c>
      <c r="G109" s="7">
        <f t="shared" si="138"/>
        <v>2599</v>
      </c>
      <c r="H109" s="7">
        <f t="shared" si="139"/>
        <v>4562599</v>
      </c>
      <c r="I109" s="27">
        <v>43445</v>
      </c>
      <c r="J109" s="2">
        <v>97.5</v>
      </c>
      <c r="K109" s="2">
        <v>48</v>
      </c>
      <c r="L109" s="2">
        <v>0.4</v>
      </c>
      <c r="M109" s="16">
        <f t="shared" si="140"/>
        <v>4680000</v>
      </c>
      <c r="N109" s="16">
        <f t="shared" si="141"/>
        <v>2668</v>
      </c>
      <c r="O109" s="16">
        <f t="shared" si="142"/>
        <v>14040</v>
      </c>
      <c r="P109" s="16">
        <f t="shared" si="143"/>
        <v>4696708</v>
      </c>
      <c r="Q109" s="12">
        <f t="shared" si="144"/>
        <v>100693</v>
      </c>
      <c r="R109" s="35">
        <f t="shared" si="8"/>
        <v>19307</v>
      </c>
    </row>
    <row r="110" spans="1:18" x14ac:dyDescent="0.25">
      <c r="A110" s="11" t="s">
        <v>42</v>
      </c>
      <c r="B110" s="10">
        <v>43424</v>
      </c>
      <c r="C110" s="3">
        <v>97.7</v>
      </c>
      <c r="D110" s="3">
        <v>30</v>
      </c>
      <c r="E110" s="3">
        <v>0.4</v>
      </c>
      <c r="F110" s="7">
        <f t="shared" si="137"/>
        <v>2931000</v>
      </c>
      <c r="G110" s="7">
        <f t="shared" si="138"/>
        <v>1671</v>
      </c>
      <c r="H110" s="7">
        <f t="shared" si="139"/>
        <v>2932671</v>
      </c>
      <c r="I110" s="27">
        <v>43445</v>
      </c>
      <c r="J110" s="2">
        <v>97.9</v>
      </c>
      <c r="K110" s="2">
        <v>30</v>
      </c>
      <c r="L110" s="2">
        <v>0.4</v>
      </c>
      <c r="M110" s="16">
        <f t="shared" si="140"/>
        <v>2937000</v>
      </c>
      <c r="N110" s="16">
        <f t="shared" si="141"/>
        <v>1674</v>
      </c>
      <c r="O110" s="16">
        <f t="shared" si="142"/>
        <v>8811</v>
      </c>
      <c r="P110" s="16">
        <f t="shared" si="143"/>
        <v>2947485</v>
      </c>
      <c r="Q110" s="12">
        <f t="shared" si="144"/>
        <v>-6156</v>
      </c>
      <c r="R110" s="35">
        <f t="shared" si="8"/>
        <v>12156</v>
      </c>
    </row>
    <row r="111" spans="1:18" x14ac:dyDescent="0.25">
      <c r="A111" s="11" t="s">
        <v>42</v>
      </c>
      <c r="B111" s="10">
        <v>43425</v>
      </c>
      <c r="C111" s="3">
        <v>95</v>
      </c>
      <c r="D111" s="3">
        <v>20</v>
      </c>
      <c r="E111" s="3">
        <v>0.4</v>
      </c>
      <c r="F111" s="7">
        <f t="shared" si="137"/>
        <v>1900000</v>
      </c>
      <c r="G111" s="7">
        <f t="shared" si="138"/>
        <v>1083</v>
      </c>
      <c r="H111" s="7">
        <f t="shared" si="139"/>
        <v>1901083</v>
      </c>
      <c r="I111" s="27">
        <v>43445</v>
      </c>
      <c r="J111" s="2">
        <v>97.9</v>
      </c>
      <c r="K111" s="2">
        <v>20</v>
      </c>
      <c r="L111" s="2">
        <v>0.4</v>
      </c>
      <c r="M111" s="16">
        <f t="shared" si="140"/>
        <v>1958000</v>
      </c>
      <c r="N111" s="16">
        <f t="shared" si="141"/>
        <v>1116</v>
      </c>
      <c r="O111" s="16">
        <f t="shared" si="142"/>
        <v>5874</v>
      </c>
      <c r="P111" s="16">
        <f t="shared" si="143"/>
        <v>1964990</v>
      </c>
      <c r="Q111" s="12">
        <f t="shared" si="144"/>
        <v>49927</v>
      </c>
      <c r="R111" s="35">
        <f t="shared" si="8"/>
        <v>8073</v>
      </c>
    </row>
    <row r="112" spans="1:18" x14ac:dyDescent="0.25">
      <c r="A112" s="11" t="s">
        <v>42</v>
      </c>
      <c r="B112" s="10">
        <v>43424</v>
      </c>
      <c r="C112" s="3">
        <v>98.5</v>
      </c>
      <c r="D112" s="3">
        <v>10</v>
      </c>
      <c r="E112" s="3">
        <v>0.4</v>
      </c>
      <c r="F112" s="7">
        <f t="shared" si="137"/>
        <v>985000</v>
      </c>
      <c r="G112" s="7">
        <f t="shared" si="138"/>
        <v>561</v>
      </c>
      <c r="H112" s="7">
        <f t="shared" si="139"/>
        <v>985561</v>
      </c>
      <c r="I112" s="27">
        <v>43446</v>
      </c>
      <c r="J112" s="2">
        <v>99.5</v>
      </c>
      <c r="K112" s="2">
        <v>10</v>
      </c>
      <c r="L112" s="2">
        <v>0.4</v>
      </c>
      <c r="M112" s="16">
        <f t="shared" si="140"/>
        <v>995000</v>
      </c>
      <c r="N112" s="16">
        <f t="shared" si="141"/>
        <v>567</v>
      </c>
      <c r="O112" s="16">
        <f t="shared" si="142"/>
        <v>2985</v>
      </c>
      <c r="P112" s="16">
        <f t="shared" si="143"/>
        <v>998552</v>
      </c>
      <c r="Q112" s="12">
        <f t="shared" si="144"/>
        <v>5887</v>
      </c>
      <c r="R112" s="35">
        <f t="shared" si="8"/>
        <v>4113</v>
      </c>
    </row>
    <row r="113" spans="1:18" x14ac:dyDescent="0.25">
      <c r="A113" s="11" t="s">
        <v>42</v>
      </c>
      <c r="B113" s="10">
        <v>43440</v>
      </c>
      <c r="C113" s="3">
        <v>97.7</v>
      </c>
      <c r="D113" s="3">
        <v>40</v>
      </c>
      <c r="E113" s="3">
        <v>0.4</v>
      </c>
      <c r="F113" s="7">
        <f t="shared" si="137"/>
        <v>3908000</v>
      </c>
      <c r="G113" s="7">
        <f t="shared" si="138"/>
        <v>2228</v>
      </c>
      <c r="H113" s="7">
        <f t="shared" si="139"/>
        <v>3910228</v>
      </c>
      <c r="I113" s="27">
        <v>43446</v>
      </c>
      <c r="J113" s="2">
        <v>99.5</v>
      </c>
      <c r="K113" s="2">
        <v>40</v>
      </c>
      <c r="L113" s="2">
        <v>0.4</v>
      </c>
      <c r="M113" s="16">
        <f t="shared" si="140"/>
        <v>3980000</v>
      </c>
      <c r="N113" s="16">
        <f t="shared" si="141"/>
        <v>2269</v>
      </c>
      <c r="O113" s="16">
        <f t="shared" si="142"/>
        <v>11940</v>
      </c>
      <c r="P113" s="16">
        <f t="shared" si="143"/>
        <v>3994209</v>
      </c>
      <c r="Q113" s="12">
        <f t="shared" si="144"/>
        <v>55563</v>
      </c>
      <c r="R113" s="35">
        <f t="shared" si="8"/>
        <v>16437</v>
      </c>
    </row>
    <row r="114" spans="1:18" x14ac:dyDescent="0.25">
      <c r="A114" s="11" t="s">
        <v>94</v>
      </c>
      <c r="B114" s="10" t="s">
        <v>95</v>
      </c>
      <c r="C114" s="3">
        <v>309</v>
      </c>
      <c r="D114" s="3">
        <v>50</v>
      </c>
      <c r="E114" s="3">
        <v>0.4</v>
      </c>
      <c r="F114" s="7">
        <f t="shared" si="137"/>
        <v>15450000</v>
      </c>
      <c r="G114" s="7">
        <f t="shared" si="138"/>
        <v>8807</v>
      </c>
      <c r="H114" s="7">
        <f t="shared" si="139"/>
        <v>15458807</v>
      </c>
      <c r="I114" s="27">
        <v>43454</v>
      </c>
      <c r="J114" s="2">
        <v>289</v>
      </c>
      <c r="K114" s="2">
        <v>50</v>
      </c>
      <c r="L114" s="2">
        <v>0.4</v>
      </c>
      <c r="M114" s="16">
        <f t="shared" si="140"/>
        <v>14450000</v>
      </c>
      <c r="N114" s="16">
        <f t="shared" si="141"/>
        <v>8237</v>
      </c>
      <c r="O114" s="16">
        <f t="shared" si="142"/>
        <v>43350</v>
      </c>
      <c r="P114" s="16">
        <f t="shared" si="143"/>
        <v>14501587</v>
      </c>
      <c r="Q114" s="12">
        <f t="shared" si="144"/>
        <v>-1060394</v>
      </c>
      <c r="R114" s="35">
        <f t="shared" si="8"/>
        <v>60394</v>
      </c>
    </row>
    <row r="115" spans="1:18" x14ac:dyDescent="0.25">
      <c r="A115" s="11" t="s">
        <v>94</v>
      </c>
      <c r="B115" s="10">
        <v>43454</v>
      </c>
      <c r="C115" s="3">
        <v>304</v>
      </c>
      <c r="D115" s="3">
        <v>18</v>
      </c>
      <c r="E115" s="3">
        <v>0.4</v>
      </c>
      <c r="F115" s="7">
        <f t="shared" ref="F115:F120" si="145">C115*D115*1000</f>
        <v>5472000</v>
      </c>
      <c r="G115" s="7">
        <f t="shared" ref="G115:G120" si="146">ROUND(F115*0.001425*E115,0)</f>
        <v>3119</v>
      </c>
      <c r="H115" s="7">
        <f t="shared" ref="H115:H120" si="147">F115+G115</f>
        <v>5475119</v>
      </c>
      <c r="I115" s="27">
        <v>43468</v>
      </c>
      <c r="J115" s="2">
        <v>259.5</v>
      </c>
      <c r="K115" s="2">
        <v>18</v>
      </c>
      <c r="L115" s="2">
        <v>0.4</v>
      </c>
      <c r="M115" s="16">
        <f t="shared" ref="M115:M120" si="148">J115*K115*1000</f>
        <v>4671000</v>
      </c>
      <c r="N115" s="16">
        <f t="shared" ref="N115:N120" si="149">ROUND(M115*0.001425*L115,0)</f>
        <v>2662</v>
      </c>
      <c r="O115" s="16">
        <f t="shared" ref="O115:O120" si="150">ROUND(M115*0.003,0)</f>
        <v>14013</v>
      </c>
      <c r="P115" s="16">
        <f t="shared" ref="P115:P120" si="151">M115+N115+O115</f>
        <v>4687675</v>
      </c>
      <c r="Q115" s="12">
        <f t="shared" ref="Q115:Q120" si="152">M115-N115-O115-H115</f>
        <v>-820794</v>
      </c>
      <c r="R115" s="35">
        <f t="shared" si="8"/>
        <v>19794</v>
      </c>
    </row>
    <row r="116" spans="1:18" x14ac:dyDescent="0.25">
      <c r="A116" s="11" t="s">
        <v>94</v>
      </c>
      <c r="B116" s="10">
        <v>43459</v>
      </c>
      <c r="C116" s="3">
        <v>274</v>
      </c>
      <c r="D116" s="3">
        <v>18</v>
      </c>
      <c r="E116" s="3">
        <v>0.4</v>
      </c>
      <c r="F116" s="7">
        <f t="shared" si="145"/>
        <v>4932000</v>
      </c>
      <c r="G116" s="7">
        <f t="shared" si="146"/>
        <v>2811</v>
      </c>
      <c r="H116" s="7">
        <f t="shared" si="147"/>
        <v>4934811</v>
      </c>
      <c r="I116" s="27">
        <v>43468</v>
      </c>
      <c r="J116" s="2">
        <v>259.5</v>
      </c>
      <c r="K116" s="2">
        <v>18</v>
      </c>
      <c r="L116" s="2">
        <v>0.4</v>
      </c>
      <c r="M116" s="16">
        <f t="shared" si="148"/>
        <v>4671000</v>
      </c>
      <c r="N116" s="16">
        <f t="shared" si="149"/>
        <v>2662</v>
      </c>
      <c r="O116" s="16">
        <f t="shared" si="150"/>
        <v>14013</v>
      </c>
      <c r="P116" s="16">
        <f t="shared" si="151"/>
        <v>4687675</v>
      </c>
      <c r="Q116" s="12">
        <f t="shared" si="152"/>
        <v>-280486</v>
      </c>
      <c r="R116" s="35">
        <f t="shared" si="8"/>
        <v>19486</v>
      </c>
    </row>
    <row r="117" spans="1:18" x14ac:dyDescent="0.25">
      <c r="A117" s="11" t="s">
        <v>42</v>
      </c>
      <c r="B117" s="10">
        <v>43459</v>
      </c>
      <c r="C117" s="3">
        <v>91</v>
      </c>
      <c r="D117" s="3">
        <v>50</v>
      </c>
      <c r="E117" s="3">
        <v>0.4</v>
      </c>
      <c r="F117" s="7">
        <f t="shared" si="145"/>
        <v>4550000</v>
      </c>
      <c r="G117" s="7">
        <f t="shared" si="146"/>
        <v>2594</v>
      </c>
      <c r="H117" s="7">
        <f t="shared" si="147"/>
        <v>4552594</v>
      </c>
      <c r="I117" s="27">
        <v>43479</v>
      </c>
      <c r="J117" s="2">
        <v>104</v>
      </c>
      <c r="K117" s="2">
        <v>50</v>
      </c>
      <c r="L117" s="2">
        <v>0.4</v>
      </c>
      <c r="M117" s="16">
        <f t="shared" si="148"/>
        <v>5200000</v>
      </c>
      <c r="N117" s="16">
        <f t="shared" si="149"/>
        <v>2964</v>
      </c>
      <c r="O117" s="16">
        <f t="shared" si="150"/>
        <v>15600</v>
      </c>
      <c r="P117" s="16">
        <f t="shared" si="151"/>
        <v>5218564</v>
      </c>
      <c r="Q117" s="12">
        <f t="shared" si="152"/>
        <v>628842</v>
      </c>
      <c r="R117" s="35">
        <f t="shared" si="8"/>
        <v>21158</v>
      </c>
    </row>
    <row r="118" spans="1:18" x14ac:dyDescent="0.25">
      <c r="A118" s="11" t="s">
        <v>42</v>
      </c>
      <c r="B118" s="10">
        <v>43459</v>
      </c>
      <c r="C118" s="3">
        <v>100.5</v>
      </c>
      <c r="D118" s="3">
        <v>50</v>
      </c>
      <c r="E118" s="3">
        <v>0.4</v>
      </c>
      <c r="F118" s="7">
        <f t="shared" si="145"/>
        <v>5025000</v>
      </c>
      <c r="G118" s="7">
        <f t="shared" si="146"/>
        <v>2864</v>
      </c>
      <c r="H118" s="7">
        <f t="shared" si="147"/>
        <v>5027864</v>
      </c>
      <c r="I118" s="27">
        <v>43479</v>
      </c>
      <c r="J118" s="2">
        <v>104</v>
      </c>
      <c r="K118" s="2">
        <v>50</v>
      </c>
      <c r="L118" s="2">
        <v>0.4</v>
      </c>
      <c r="M118" s="16">
        <f t="shared" si="148"/>
        <v>5200000</v>
      </c>
      <c r="N118" s="16">
        <f t="shared" si="149"/>
        <v>2964</v>
      </c>
      <c r="O118" s="16">
        <f t="shared" si="150"/>
        <v>15600</v>
      </c>
      <c r="P118" s="16">
        <f t="shared" si="151"/>
        <v>5218564</v>
      </c>
      <c r="Q118" s="12">
        <f t="shared" si="152"/>
        <v>153572</v>
      </c>
      <c r="R118" s="35">
        <f t="shared" si="8"/>
        <v>21428</v>
      </c>
    </row>
    <row r="119" spans="1:18" x14ac:dyDescent="0.25">
      <c r="A119" s="11" t="s">
        <v>42</v>
      </c>
      <c r="B119" s="10">
        <v>43451</v>
      </c>
      <c r="C119" s="3">
        <v>97.3</v>
      </c>
      <c r="D119" s="3">
        <v>50</v>
      </c>
      <c r="E119" s="3">
        <v>0.4</v>
      </c>
      <c r="F119" s="7">
        <f t="shared" si="145"/>
        <v>4865000</v>
      </c>
      <c r="G119" s="7">
        <f t="shared" si="146"/>
        <v>2773</v>
      </c>
      <c r="H119" s="7">
        <f t="shared" si="147"/>
        <v>4867773</v>
      </c>
      <c r="I119" s="27">
        <v>43479</v>
      </c>
      <c r="J119" s="2">
        <v>104</v>
      </c>
      <c r="K119" s="2">
        <v>50</v>
      </c>
      <c r="L119" s="2">
        <v>0.4</v>
      </c>
      <c r="M119" s="16">
        <f t="shared" si="148"/>
        <v>5200000</v>
      </c>
      <c r="N119" s="16">
        <f t="shared" si="149"/>
        <v>2964</v>
      </c>
      <c r="O119" s="16">
        <f t="shared" si="150"/>
        <v>15600</v>
      </c>
      <c r="P119" s="16">
        <f t="shared" si="151"/>
        <v>5218564</v>
      </c>
      <c r="Q119" s="12">
        <f t="shared" si="152"/>
        <v>313663</v>
      </c>
      <c r="R119" s="35">
        <f t="shared" si="8"/>
        <v>21337</v>
      </c>
    </row>
    <row r="120" spans="1:18" x14ac:dyDescent="0.25">
      <c r="A120" s="11" t="s">
        <v>42</v>
      </c>
      <c r="B120" s="10">
        <v>43458</v>
      </c>
      <c r="C120" s="3">
        <v>94.5</v>
      </c>
      <c r="D120" s="3">
        <v>50</v>
      </c>
      <c r="E120" s="3">
        <v>0.4</v>
      </c>
      <c r="F120" s="7">
        <f t="shared" si="145"/>
        <v>4725000</v>
      </c>
      <c r="G120" s="7">
        <f t="shared" si="146"/>
        <v>2693</v>
      </c>
      <c r="H120" s="7">
        <f t="shared" si="147"/>
        <v>4727693</v>
      </c>
      <c r="I120" s="27">
        <v>43479</v>
      </c>
      <c r="J120" s="2">
        <v>104</v>
      </c>
      <c r="K120" s="2">
        <v>50</v>
      </c>
      <c r="L120" s="2">
        <v>0.4</v>
      </c>
      <c r="M120" s="16">
        <f t="shared" si="148"/>
        <v>5200000</v>
      </c>
      <c r="N120" s="16">
        <f t="shared" si="149"/>
        <v>2964</v>
      </c>
      <c r="O120" s="16">
        <f t="shared" si="150"/>
        <v>15600</v>
      </c>
      <c r="P120" s="16">
        <f t="shared" si="151"/>
        <v>5218564</v>
      </c>
      <c r="Q120" s="12">
        <f t="shared" si="152"/>
        <v>453743</v>
      </c>
      <c r="R120" s="35">
        <f t="shared" si="8"/>
        <v>21257</v>
      </c>
    </row>
    <row r="121" spans="1:18" x14ac:dyDescent="0.25">
      <c r="A121" s="11" t="s">
        <v>42</v>
      </c>
      <c r="B121" s="10">
        <v>43482</v>
      </c>
      <c r="C121" s="3">
        <v>105.5</v>
      </c>
      <c r="D121" s="3">
        <v>200</v>
      </c>
      <c r="E121" s="3">
        <v>0.4</v>
      </c>
      <c r="F121" s="7">
        <f t="shared" ref="F121:F127" si="153">C121*D121*1000</f>
        <v>21100000</v>
      </c>
      <c r="G121" s="7">
        <f t="shared" ref="G121:G127" si="154">ROUND(F121*0.001425*E121,0)</f>
        <v>12027</v>
      </c>
      <c r="H121" s="7">
        <f t="shared" ref="H121:H127" si="155">F121+G121</f>
        <v>21112027</v>
      </c>
      <c r="I121" s="27">
        <v>43507</v>
      </c>
      <c r="J121" s="2">
        <v>110</v>
      </c>
      <c r="K121" s="2">
        <v>200</v>
      </c>
      <c r="L121" s="2">
        <v>0.4</v>
      </c>
      <c r="M121" s="16">
        <f t="shared" ref="M121:M127" si="156">J121*K121*1000</f>
        <v>22000000</v>
      </c>
      <c r="N121" s="16">
        <f t="shared" ref="N121:N127" si="157">ROUND(M121*0.001425*L121,0)</f>
        <v>12540</v>
      </c>
      <c r="O121" s="16">
        <f t="shared" ref="O121:O127" si="158">ROUND(M121*0.003,0)</f>
        <v>66000</v>
      </c>
      <c r="P121" s="16">
        <f t="shared" ref="P121:P127" si="159">M121+N121+O121</f>
        <v>22078540</v>
      </c>
      <c r="Q121" s="12">
        <f t="shared" ref="Q121:Q127" si="160">M121-N121-O121-H121</f>
        <v>809433</v>
      </c>
      <c r="R121" s="35">
        <f t="shared" si="8"/>
        <v>90567</v>
      </c>
    </row>
    <row r="122" spans="1:18" x14ac:dyDescent="0.25">
      <c r="A122" s="11" t="s">
        <v>102</v>
      </c>
      <c r="B122" s="10">
        <v>43509</v>
      </c>
      <c r="C122" s="3">
        <v>95</v>
      </c>
      <c r="D122" s="3">
        <v>8</v>
      </c>
      <c r="E122" s="3">
        <v>0.4</v>
      </c>
      <c r="F122" s="7">
        <f t="shared" si="153"/>
        <v>760000</v>
      </c>
      <c r="G122" s="7">
        <f t="shared" si="154"/>
        <v>433</v>
      </c>
      <c r="H122" s="7">
        <f t="shared" si="155"/>
        <v>760433</v>
      </c>
      <c r="I122" s="27">
        <v>43511</v>
      </c>
      <c r="J122" s="2">
        <v>98.5</v>
      </c>
      <c r="K122" s="2">
        <v>8</v>
      </c>
      <c r="L122" s="2">
        <v>0.4</v>
      </c>
      <c r="M122" s="16">
        <f t="shared" si="156"/>
        <v>788000</v>
      </c>
      <c r="N122" s="16">
        <f t="shared" si="157"/>
        <v>449</v>
      </c>
      <c r="O122" s="16">
        <f t="shared" si="158"/>
        <v>2364</v>
      </c>
      <c r="P122" s="16">
        <f t="shared" si="159"/>
        <v>790813</v>
      </c>
      <c r="Q122" s="12">
        <f t="shared" si="160"/>
        <v>24754</v>
      </c>
      <c r="R122" s="35">
        <f>M122-H122</f>
        <v>27567</v>
      </c>
    </row>
    <row r="123" spans="1:18" x14ac:dyDescent="0.25">
      <c r="A123" s="11" t="s">
        <v>102</v>
      </c>
      <c r="B123" s="10">
        <v>43539</v>
      </c>
      <c r="C123" s="3">
        <v>86.3</v>
      </c>
      <c r="D123" s="3">
        <v>20</v>
      </c>
      <c r="E123" s="3">
        <v>0.4</v>
      </c>
      <c r="F123" s="7">
        <f t="shared" si="153"/>
        <v>1726000</v>
      </c>
      <c r="G123" s="7">
        <f t="shared" si="154"/>
        <v>984</v>
      </c>
      <c r="H123" s="7">
        <f t="shared" si="155"/>
        <v>1726984</v>
      </c>
      <c r="I123" s="27">
        <v>43546</v>
      </c>
      <c r="J123" s="2">
        <v>92.5</v>
      </c>
      <c r="K123" s="2">
        <v>20</v>
      </c>
      <c r="L123" s="2">
        <v>0.4</v>
      </c>
      <c r="M123" s="16">
        <f t="shared" si="156"/>
        <v>1850000</v>
      </c>
      <c r="N123" s="16">
        <f t="shared" si="157"/>
        <v>1055</v>
      </c>
      <c r="O123" s="16">
        <f t="shared" si="158"/>
        <v>5550</v>
      </c>
      <c r="P123" s="16">
        <f t="shared" si="159"/>
        <v>1856605</v>
      </c>
      <c r="Q123" s="12">
        <f t="shared" si="160"/>
        <v>116411</v>
      </c>
      <c r="R123" s="35">
        <f>M123-H123</f>
        <v>123016</v>
      </c>
    </row>
    <row r="124" spans="1:18" x14ac:dyDescent="0.25">
      <c r="A124" s="11" t="s">
        <v>42</v>
      </c>
      <c r="B124" s="10">
        <v>43510</v>
      </c>
      <c r="C124" s="3">
        <v>103</v>
      </c>
      <c r="D124" s="3">
        <v>70</v>
      </c>
      <c r="E124" s="3">
        <v>0.4</v>
      </c>
      <c r="F124" s="7">
        <f t="shared" si="153"/>
        <v>7210000</v>
      </c>
      <c r="G124" s="7">
        <f t="shared" si="154"/>
        <v>4110</v>
      </c>
      <c r="H124" s="7">
        <f t="shared" si="155"/>
        <v>7214110</v>
      </c>
      <c r="I124" s="27">
        <v>43578</v>
      </c>
      <c r="J124" s="2">
        <v>136</v>
      </c>
      <c r="K124" s="2">
        <v>70</v>
      </c>
      <c r="L124" s="2">
        <v>0.4</v>
      </c>
      <c r="M124" s="16">
        <f t="shared" si="156"/>
        <v>9520000</v>
      </c>
      <c r="N124" s="16">
        <f t="shared" si="157"/>
        <v>5426</v>
      </c>
      <c r="O124" s="16">
        <f t="shared" si="158"/>
        <v>28560</v>
      </c>
      <c r="P124" s="16">
        <f t="shared" si="159"/>
        <v>9553986</v>
      </c>
      <c r="Q124" s="12">
        <f t="shared" si="160"/>
        <v>2271904</v>
      </c>
      <c r="R124" s="35">
        <f t="shared" ref="R124:R148" si="161">M124-H124</f>
        <v>2305890</v>
      </c>
    </row>
    <row r="125" spans="1:18" x14ac:dyDescent="0.25">
      <c r="A125" s="11" t="s">
        <v>42</v>
      </c>
      <c r="B125" s="10">
        <v>43511</v>
      </c>
      <c r="C125" s="3">
        <v>101</v>
      </c>
      <c r="D125" s="3">
        <v>18</v>
      </c>
      <c r="E125" s="3">
        <v>0.4</v>
      </c>
      <c r="F125" s="7">
        <f t="shared" si="153"/>
        <v>1818000</v>
      </c>
      <c r="G125" s="7">
        <f t="shared" si="154"/>
        <v>1036</v>
      </c>
      <c r="H125" s="7">
        <f t="shared" si="155"/>
        <v>1819036</v>
      </c>
      <c r="I125" s="27">
        <v>43578</v>
      </c>
      <c r="J125" s="2">
        <v>136</v>
      </c>
      <c r="K125" s="2">
        <v>18</v>
      </c>
      <c r="L125" s="2">
        <v>0.4</v>
      </c>
      <c r="M125" s="16">
        <f t="shared" si="156"/>
        <v>2448000</v>
      </c>
      <c r="N125" s="16">
        <f t="shared" si="157"/>
        <v>1395</v>
      </c>
      <c r="O125" s="16">
        <f t="shared" si="158"/>
        <v>7344</v>
      </c>
      <c r="P125" s="16">
        <f t="shared" si="159"/>
        <v>2456739</v>
      </c>
      <c r="Q125" s="12">
        <f t="shared" si="160"/>
        <v>620225</v>
      </c>
      <c r="R125" s="35">
        <f t="shared" si="161"/>
        <v>628964</v>
      </c>
    </row>
    <row r="126" spans="1:18" x14ac:dyDescent="0.25">
      <c r="A126" s="11" t="s">
        <v>42</v>
      </c>
      <c r="B126" s="10">
        <v>43557</v>
      </c>
      <c r="C126" s="3">
        <v>127</v>
      </c>
      <c r="D126" s="3">
        <v>40</v>
      </c>
      <c r="E126" s="3">
        <v>0.4</v>
      </c>
      <c r="F126" s="7">
        <f t="shared" si="153"/>
        <v>5080000</v>
      </c>
      <c r="G126" s="7">
        <f t="shared" si="154"/>
        <v>2896</v>
      </c>
      <c r="H126" s="7">
        <f t="shared" si="155"/>
        <v>5082896</v>
      </c>
      <c r="I126" s="27">
        <v>43578</v>
      </c>
      <c r="J126" s="2">
        <v>136</v>
      </c>
      <c r="K126" s="2">
        <v>40</v>
      </c>
      <c r="L126" s="2">
        <v>0.4</v>
      </c>
      <c r="M126" s="16">
        <f t="shared" si="156"/>
        <v>5440000</v>
      </c>
      <c r="N126" s="16">
        <f t="shared" si="157"/>
        <v>3101</v>
      </c>
      <c r="O126" s="16">
        <f t="shared" si="158"/>
        <v>16320</v>
      </c>
      <c r="P126" s="16">
        <f t="shared" si="159"/>
        <v>5459421</v>
      </c>
      <c r="Q126" s="12">
        <f t="shared" si="160"/>
        <v>337683</v>
      </c>
      <c r="R126" s="35">
        <f t="shared" si="161"/>
        <v>357104</v>
      </c>
    </row>
    <row r="127" spans="1:18" x14ac:dyDescent="0.25">
      <c r="A127" s="11" t="s">
        <v>42</v>
      </c>
      <c r="B127" s="10">
        <v>43509</v>
      </c>
      <c r="C127" s="3">
        <v>105</v>
      </c>
      <c r="D127" s="3">
        <v>22</v>
      </c>
      <c r="E127" s="3">
        <v>0.4</v>
      </c>
      <c r="F127" s="7">
        <f t="shared" si="153"/>
        <v>2310000</v>
      </c>
      <c r="G127" s="7">
        <f t="shared" si="154"/>
        <v>1317</v>
      </c>
      <c r="H127" s="7">
        <f t="shared" si="155"/>
        <v>2311317</v>
      </c>
      <c r="I127" s="27">
        <v>43578</v>
      </c>
      <c r="J127" s="2">
        <v>136</v>
      </c>
      <c r="K127" s="2">
        <v>22</v>
      </c>
      <c r="L127" s="2">
        <v>0.4</v>
      </c>
      <c r="M127" s="16">
        <f t="shared" si="156"/>
        <v>2992000</v>
      </c>
      <c r="N127" s="16">
        <f t="shared" si="157"/>
        <v>1705</v>
      </c>
      <c r="O127" s="16">
        <f t="shared" si="158"/>
        <v>8976</v>
      </c>
      <c r="P127" s="16">
        <f t="shared" si="159"/>
        <v>3002681</v>
      </c>
      <c r="Q127" s="12">
        <f t="shared" si="160"/>
        <v>670002</v>
      </c>
      <c r="R127" s="35">
        <f t="shared" si="161"/>
        <v>680683</v>
      </c>
    </row>
    <row r="128" spans="1:18" x14ac:dyDescent="0.25">
      <c r="A128" s="11" t="s">
        <v>42</v>
      </c>
      <c r="B128" s="10">
        <v>43509</v>
      </c>
      <c r="C128" s="3">
        <v>105</v>
      </c>
      <c r="D128" s="3">
        <v>178</v>
      </c>
      <c r="E128" s="3">
        <v>0.4</v>
      </c>
      <c r="F128" s="7">
        <f t="shared" ref="F128:F135" si="162">C128*D128*1000</f>
        <v>18690000</v>
      </c>
      <c r="G128" s="7">
        <f t="shared" ref="G128:G135" si="163">ROUND(F128*0.001425*E128,0)</f>
        <v>10653</v>
      </c>
      <c r="H128" s="7">
        <f t="shared" ref="H128:H135" si="164">F128+G128</f>
        <v>18700653</v>
      </c>
      <c r="I128" s="27">
        <v>43578</v>
      </c>
      <c r="J128" s="2">
        <v>139</v>
      </c>
      <c r="K128" s="2">
        <v>178</v>
      </c>
      <c r="L128" s="2">
        <v>0.4</v>
      </c>
      <c r="M128" s="16">
        <f t="shared" ref="M128:M135" si="165">J128*K128*1000</f>
        <v>24742000</v>
      </c>
      <c r="N128" s="16">
        <f t="shared" ref="N128:N135" si="166">ROUND(M128*0.001425*L128,0)</f>
        <v>14103</v>
      </c>
      <c r="O128" s="16">
        <f t="shared" ref="O128:O135" si="167">ROUND(M128*0.003,0)</f>
        <v>74226</v>
      </c>
      <c r="P128" s="16">
        <f t="shared" ref="P128:P135" si="168">M128+N128+O128</f>
        <v>24830329</v>
      </c>
      <c r="Q128" s="12">
        <f t="shared" ref="Q128:Q135" si="169">M128-N128-O128-H128</f>
        <v>5953018</v>
      </c>
      <c r="R128" s="35">
        <f t="shared" si="161"/>
        <v>6041347</v>
      </c>
    </row>
    <row r="129" spans="1:18" x14ac:dyDescent="0.25">
      <c r="A129" s="11" t="s">
        <v>42</v>
      </c>
      <c r="B129" s="10">
        <v>43581</v>
      </c>
      <c r="C129" s="3">
        <v>128</v>
      </c>
      <c r="D129" s="3">
        <v>50</v>
      </c>
      <c r="E129" s="3">
        <v>0.4</v>
      </c>
      <c r="F129" s="7">
        <f t="shared" si="162"/>
        <v>6400000</v>
      </c>
      <c r="G129" s="7">
        <f t="shared" si="163"/>
        <v>3648</v>
      </c>
      <c r="H129" s="7">
        <f t="shared" si="164"/>
        <v>6403648</v>
      </c>
      <c r="I129" s="27">
        <v>43613</v>
      </c>
      <c r="J129" s="2">
        <v>115</v>
      </c>
      <c r="K129" s="2">
        <v>50</v>
      </c>
      <c r="L129" s="2">
        <v>0.4</v>
      </c>
      <c r="M129" s="16">
        <f t="shared" si="165"/>
        <v>5750000</v>
      </c>
      <c r="N129" s="16">
        <f t="shared" si="166"/>
        <v>3278</v>
      </c>
      <c r="O129" s="16">
        <f t="shared" si="167"/>
        <v>17250</v>
      </c>
      <c r="P129" s="16">
        <f t="shared" si="168"/>
        <v>5770528</v>
      </c>
      <c r="Q129" s="12">
        <f t="shared" si="169"/>
        <v>-674176</v>
      </c>
      <c r="R129" s="35">
        <f t="shared" si="161"/>
        <v>-653648</v>
      </c>
    </row>
    <row r="130" spans="1:18" x14ac:dyDescent="0.25">
      <c r="A130" s="11" t="s">
        <v>42</v>
      </c>
      <c r="B130" s="10">
        <v>43581</v>
      </c>
      <c r="C130" s="3">
        <v>128</v>
      </c>
      <c r="D130" s="3">
        <v>50</v>
      </c>
      <c r="E130" s="3">
        <v>0.4</v>
      </c>
      <c r="F130" s="7">
        <f t="shared" si="162"/>
        <v>6400000</v>
      </c>
      <c r="G130" s="7">
        <f t="shared" si="163"/>
        <v>3648</v>
      </c>
      <c r="H130" s="7">
        <f t="shared" si="164"/>
        <v>6403648</v>
      </c>
      <c r="I130" s="27">
        <v>43613</v>
      </c>
      <c r="J130" s="2">
        <v>115.5</v>
      </c>
      <c r="K130" s="2">
        <v>50</v>
      </c>
      <c r="L130" s="2">
        <v>0.4</v>
      </c>
      <c r="M130" s="16">
        <f t="shared" si="165"/>
        <v>5775000</v>
      </c>
      <c r="N130" s="16">
        <f t="shared" si="166"/>
        <v>3292</v>
      </c>
      <c r="O130" s="16">
        <f t="shared" si="167"/>
        <v>17325</v>
      </c>
      <c r="P130" s="16">
        <f t="shared" si="168"/>
        <v>5795617</v>
      </c>
      <c r="Q130" s="12">
        <f t="shared" si="169"/>
        <v>-649265</v>
      </c>
      <c r="R130" s="35">
        <f t="shared" si="161"/>
        <v>-628648</v>
      </c>
    </row>
    <row r="131" spans="1:18" x14ac:dyDescent="0.25">
      <c r="A131" s="11" t="s">
        <v>42</v>
      </c>
      <c r="B131" s="10">
        <v>43581</v>
      </c>
      <c r="C131" s="3">
        <v>128</v>
      </c>
      <c r="D131" s="3">
        <v>50</v>
      </c>
      <c r="E131" s="3">
        <v>0.4</v>
      </c>
      <c r="F131" s="7">
        <f t="shared" si="162"/>
        <v>6400000</v>
      </c>
      <c r="G131" s="7">
        <f t="shared" si="163"/>
        <v>3648</v>
      </c>
      <c r="H131" s="7">
        <f t="shared" si="164"/>
        <v>6403648</v>
      </c>
      <c r="I131" s="27">
        <v>43613</v>
      </c>
      <c r="J131" s="2">
        <v>116.5</v>
      </c>
      <c r="K131" s="2">
        <v>50</v>
      </c>
      <c r="L131" s="2">
        <v>0.4</v>
      </c>
      <c r="M131" s="16">
        <f t="shared" si="165"/>
        <v>5825000</v>
      </c>
      <c r="N131" s="16">
        <f t="shared" si="166"/>
        <v>3320</v>
      </c>
      <c r="O131" s="16">
        <f t="shared" si="167"/>
        <v>17475</v>
      </c>
      <c r="P131" s="16">
        <f t="shared" si="168"/>
        <v>5845795</v>
      </c>
      <c r="Q131" s="12">
        <f t="shared" si="169"/>
        <v>-599443</v>
      </c>
      <c r="R131" s="35">
        <f t="shared" si="161"/>
        <v>-578648</v>
      </c>
    </row>
    <row r="132" spans="1:18" x14ac:dyDescent="0.25">
      <c r="A132" s="11" t="s">
        <v>42</v>
      </c>
      <c r="B132" s="10">
        <v>43616</v>
      </c>
      <c r="C132" s="3">
        <v>121</v>
      </c>
      <c r="D132" s="3">
        <v>50</v>
      </c>
      <c r="E132" s="3">
        <v>0.4</v>
      </c>
      <c r="F132" s="7">
        <f t="shared" si="162"/>
        <v>6050000</v>
      </c>
      <c r="G132" s="7">
        <f t="shared" si="163"/>
        <v>3449</v>
      </c>
      <c r="H132" s="7">
        <f t="shared" si="164"/>
        <v>6053449</v>
      </c>
      <c r="I132" s="27">
        <v>43641</v>
      </c>
      <c r="J132" s="2">
        <v>129.5</v>
      </c>
      <c r="K132" s="2">
        <v>50</v>
      </c>
      <c r="L132" s="2">
        <v>0.4</v>
      </c>
      <c r="M132" s="16">
        <f t="shared" si="165"/>
        <v>6475000</v>
      </c>
      <c r="N132" s="16">
        <f t="shared" si="166"/>
        <v>3691</v>
      </c>
      <c r="O132" s="16">
        <f t="shared" si="167"/>
        <v>19425</v>
      </c>
      <c r="P132" s="16">
        <f t="shared" si="168"/>
        <v>6498116</v>
      </c>
      <c r="Q132" s="12">
        <f t="shared" si="169"/>
        <v>398435</v>
      </c>
      <c r="R132" s="35">
        <f t="shared" si="161"/>
        <v>421551</v>
      </c>
    </row>
    <row r="133" spans="1:18" x14ac:dyDescent="0.25">
      <c r="A133" s="11" t="s">
        <v>42</v>
      </c>
      <c r="B133" s="10">
        <v>43620</v>
      </c>
      <c r="C133" s="3">
        <v>121.5</v>
      </c>
      <c r="D133" s="3">
        <v>58</v>
      </c>
      <c r="E133" s="3">
        <v>0.4</v>
      </c>
      <c r="F133" s="7">
        <f t="shared" si="162"/>
        <v>7047000</v>
      </c>
      <c r="G133" s="7">
        <f t="shared" si="163"/>
        <v>4017</v>
      </c>
      <c r="H133" s="7">
        <f t="shared" si="164"/>
        <v>7051017</v>
      </c>
      <c r="I133" s="27">
        <v>43641</v>
      </c>
      <c r="J133" s="2">
        <v>129.5</v>
      </c>
      <c r="K133" s="2">
        <v>58</v>
      </c>
      <c r="L133" s="2">
        <v>0.4</v>
      </c>
      <c r="M133" s="16">
        <f t="shared" si="165"/>
        <v>7511000</v>
      </c>
      <c r="N133" s="16">
        <f t="shared" si="166"/>
        <v>4281</v>
      </c>
      <c r="O133" s="16">
        <f t="shared" si="167"/>
        <v>22533</v>
      </c>
      <c r="P133" s="16">
        <f t="shared" si="168"/>
        <v>7537814</v>
      </c>
      <c r="Q133" s="12">
        <f t="shared" si="169"/>
        <v>433169</v>
      </c>
      <c r="R133" s="35">
        <f t="shared" si="161"/>
        <v>459983</v>
      </c>
    </row>
    <row r="134" spans="1:18" x14ac:dyDescent="0.25">
      <c r="A134" s="11" t="s">
        <v>42</v>
      </c>
      <c r="B134" s="10">
        <v>43637</v>
      </c>
      <c r="C134" s="3">
        <v>122</v>
      </c>
      <c r="D134" s="3">
        <v>35</v>
      </c>
      <c r="E134" s="3">
        <v>0.4</v>
      </c>
      <c r="F134" s="7">
        <f t="shared" si="162"/>
        <v>4270000</v>
      </c>
      <c r="G134" s="7">
        <f t="shared" si="163"/>
        <v>2434</v>
      </c>
      <c r="H134" s="7">
        <f t="shared" si="164"/>
        <v>4272434</v>
      </c>
      <c r="I134" s="27">
        <v>43641</v>
      </c>
      <c r="J134" s="2">
        <v>129.5</v>
      </c>
      <c r="K134" s="2">
        <v>35</v>
      </c>
      <c r="L134" s="2">
        <v>0.4</v>
      </c>
      <c r="M134" s="16">
        <f t="shared" si="165"/>
        <v>4532500</v>
      </c>
      <c r="N134" s="16">
        <f t="shared" si="166"/>
        <v>2584</v>
      </c>
      <c r="O134" s="16">
        <f t="shared" si="167"/>
        <v>13598</v>
      </c>
      <c r="P134" s="16">
        <f t="shared" si="168"/>
        <v>4548682</v>
      </c>
      <c r="Q134" s="12">
        <f t="shared" si="169"/>
        <v>243884</v>
      </c>
      <c r="R134" s="35">
        <f t="shared" si="161"/>
        <v>260066</v>
      </c>
    </row>
    <row r="135" spans="1:18" x14ac:dyDescent="0.25">
      <c r="A135" s="11" t="s">
        <v>42</v>
      </c>
      <c r="B135" s="10">
        <v>43581</v>
      </c>
      <c r="C135" s="3">
        <v>128</v>
      </c>
      <c r="D135" s="3">
        <v>7</v>
      </c>
      <c r="E135" s="3">
        <v>0.4</v>
      </c>
      <c r="F135" s="7">
        <f t="shared" si="162"/>
        <v>896000</v>
      </c>
      <c r="G135" s="7">
        <f t="shared" si="163"/>
        <v>511</v>
      </c>
      <c r="H135" s="7">
        <f t="shared" si="164"/>
        <v>896511</v>
      </c>
      <c r="I135" s="27">
        <v>43641</v>
      </c>
      <c r="J135" s="2">
        <v>129.5</v>
      </c>
      <c r="K135" s="2">
        <v>7</v>
      </c>
      <c r="L135" s="2">
        <v>0.4</v>
      </c>
      <c r="M135" s="16">
        <f t="shared" si="165"/>
        <v>906500</v>
      </c>
      <c r="N135" s="16">
        <f t="shared" si="166"/>
        <v>517</v>
      </c>
      <c r="O135" s="16">
        <f t="shared" si="167"/>
        <v>2720</v>
      </c>
      <c r="P135" s="16">
        <f t="shared" si="168"/>
        <v>909737</v>
      </c>
      <c r="Q135" s="12">
        <f t="shared" si="169"/>
        <v>6752</v>
      </c>
      <c r="R135" s="35">
        <f t="shared" si="161"/>
        <v>9989</v>
      </c>
    </row>
    <row r="136" spans="1:18" x14ac:dyDescent="0.25">
      <c r="A136" s="11" t="s">
        <v>42</v>
      </c>
      <c r="B136" s="10">
        <v>43581</v>
      </c>
      <c r="C136" s="3">
        <v>128</v>
      </c>
      <c r="D136" s="3">
        <v>5</v>
      </c>
      <c r="E136" s="3">
        <v>0.4</v>
      </c>
      <c r="F136" s="7">
        <f t="shared" ref="F136:F143" si="170">C136*D136*1000</f>
        <v>640000</v>
      </c>
      <c r="G136" s="7">
        <f t="shared" ref="G136:G143" si="171">ROUND(F136*0.001425*E136,0)</f>
        <v>365</v>
      </c>
      <c r="H136" s="7">
        <f t="shared" ref="H136:H143" si="172">F136+G136</f>
        <v>640365</v>
      </c>
      <c r="I136" s="27">
        <v>43641</v>
      </c>
      <c r="J136" s="2">
        <v>128</v>
      </c>
      <c r="K136" s="2">
        <v>5</v>
      </c>
      <c r="L136" s="2">
        <v>0.4</v>
      </c>
      <c r="M136" s="16">
        <f t="shared" ref="M136:M143" si="173">J136*K136*1000</f>
        <v>640000</v>
      </c>
      <c r="N136" s="16">
        <f t="shared" ref="N136:N143" si="174">ROUND(M136*0.001425*L136,0)</f>
        <v>365</v>
      </c>
      <c r="O136" s="16">
        <f t="shared" ref="O136:O143" si="175">ROUND(M136*0.003,0)</f>
        <v>1920</v>
      </c>
      <c r="P136" s="16">
        <f t="shared" ref="P136:P143" si="176">M136+N136+O136</f>
        <v>642285</v>
      </c>
      <c r="Q136" s="12">
        <f t="shared" ref="Q136:Q143" si="177">M136-N136-O136-H136</f>
        <v>-2650</v>
      </c>
      <c r="R136" s="35">
        <f t="shared" si="161"/>
        <v>-365</v>
      </c>
    </row>
    <row r="137" spans="1:18" x14ac:dyDescent="0.25">
      <c r="A137" s="11" t="s">
        <v>42</v>
      </c>
      <c r="B137" s="10">
        <v>43580</v>
      </c>
      <c r="C137" s="3">
        <v>133.5</v>
      </c>
      <c r="D137" s="3">
        <v>30</v>
      </c>
      <c r="E137" s="3">
        <v>0.4</v>
      </c>
      <c r="F137" s="7">
        <f t="shared" si="170"/>
        <v>4005000</v>
      </c>
      <c r="G137" s="7">
        <f t="shared" si="171"/>
        <v>2283</v>
      </c>
      <c r="H137" s="7">
        <f t="shared" si="172"/>
        <v>4007283</v>
      </c>
      <c r="I137" s="27">
        <v>43641</v>
      </c>
      <c r="J137" s="2">
        <v>128</v>
      </c>
      <c r="K137" s="2">
        <v>30</v>
      </c>
      <c r="L137" s="2">
        <v>0.4</v>
      </c>
      <c r="M137" s="16">
        <f t="shared" si="173"/>
        <v>3840000</v>
      </c>
      <c r="N137" s="16">
        <f t="shared" si="174"/>
        <v>2189</v>
      </c>
      <c r="O137" s="16">
        <f t="shared" si="175"/>
        <v>11520</v>
      </c>
      <c r="P137" s="16">
        <f t="shared" si="176"/>
        <v>3853709</v>
      </c>
      <c r="Q137" s="12">
        <f t="shared" si="177"/>
        <v>-180992</v>
      </c>
      <c r="R137" s="35">
        <f t="shared" si="161"/>
        <v>-167283</v>
      </c>
    </row>
    <row r="138" spans="1:18" x14ac:dyDescent="0.25">
      <c r="A138" s="11" t="s">
        <v>42</v>
      </c>
      <c r="B138" s="10">
        <v>43580</v>
      </c>
      <c r="C138" s="3">
        <v>133.5</v>
      </c>
      <c r="D138" s="3">
        <v>150</v>
      </c>
      <c r="E138" s="3">
        <v>0.4</v>
      </c>
      <c r="F138" s="7">
        <f t="shared" si="170"/>
        <v>20025000</v>
      </c>
      <c r="G138" s="7">
        <f t="shared" si="171"/>
        <v>11414</v>
      </c>
      <c r="H138" s="7">
        <f t="shared" si="172"/>
        <v>20036414</v>
      </c>
      <c r="I138" s="27">
        <v>43682</v>
      </c>
      <c r="J138" s="2">
        <v>138.5</v>
      </c>
      <c r="K138" s="2">
        <v>150</v>
      </c>
      <c r="L138" s="2">
        <v>0.4</v>
      </c>
      <c r="M138" s="16">
        <f t="shared" si="173"/>
        <v>20775000</v>
      </c>
      <c r="N138" s="16">
        <f t="shared" si="174"/>
        <v>11842</v>
      </c>
      <c r="O138" s="16">
        <f t="shared" si="175"/>
        <v>62325</v>
      </c>
      <c r="P138" s="16">
        <f t="shared" si="176"/>
        <v>20849167</v>
      </c>
      <c r="Q138" s="12">
        <f t="shared" si="177"/>
        <v>664419</v>
      </c>
      <c r="R138" s="35">
        <f t="shared" si="161"/>
        <v>738586</v>
      </c>
    </row>
    <row r="139" spans="1:18" x14ac:dyDescent="0.25">
      <c r="A139" s="11" t="s">
        <v>42</v>
      </c>
      <c r="B139" s="10">
        <v>43647</v>
      </c>
      <c r="C139" s="3">
        <v>134</v>
      </c>
      <c r="D139" s="3">
        <v>50</v>
      </c>
      <c r="E139" s="3">
        <v>0.4</v>
      </c>
      <c r="F139" s="7">
        <f t="shared" si="170"/>
        <v>6700000</v>
      </c>
      <c r="G139" s="7">
        <f t="shared" si="171"/>
        <v>3819</v>
      </c>
      <c r="H139" s="7">
        <f t="shared" si="172"/>
        <v>6703819</v>
      </c>
      <c r="I139" s="27">
        <v>43682</v>
      </c>
      <c r="J139" s="2">
        <v>138</v>
      </c>
      <c r="K139" s="2">
        <v>50</v>
      </c>
      <c r="L139" s="2">
        <v>0.4</v>
      </c>
      <c r="M139" s="16">
        <f t="shared" si="173"/>
        <v>6900000</v>
      </c>
      <c r="N139" s="16">
        <f t="shared" si="174"/>
        <v>3933</v>
      </c>
      <c r="O139" s="16">
        <f t="shared" si="175"/>
        <v>20700</v>
      </c>
      <c r="P139" s="16">
        <f t="shared" si="176"/>
        <v>6924633</v>
      </c>
      <c r="Q139" s="12">
        <f t="shared" si="177"/>
        <v>171548</v>
      </c>
      <c r="R139" s="35">
        <f t="shared" si="161"/>
        <v>196181</v>
      </c>
    </row>
    <row r="140" spans="1:18" x14ac:dyDescent="0.25">
      <c r="A140" s="11" t="s">
        <v>42</v>
      </c>
      <c r="B140" s="10">
        <v>43647</v>
      </c>
      <c r="C140" s="3">
        <v>134</v>
      </c>
      <c r="D140" s="3">
        <v>50</v>
      </c>
      <c r="E140" s="3">
        <v>0.4</v>
      </c>
      <c r="F140" s="7">
        <f t="shared" si="170"/>
        <v>6700000</v>
      </c>
      <c r="G140" s="7">
        <f t="shared" si="171"/>
        <v>3819</v>
      </c>
      <c r="H140" s="7">
        <f t="shared" si="172"/>
        <v>6703819</v>
      </c>
      <c r="I140" s="27">
        <v>43684</v>
      </c>
      <c r="J140" s="2">
        <v>145.5</v>
      </c>
      <c r="K140" s="2">
        <v>50</v>
      </c>
      <c r="L140" s="2">
        <v>0.4</v>
      </c>
      <c r="M140" s="16">
        <f t="shared" si="173"/>
        <v>7275000</v>
      </c>
      <c r="N140" s="16">
        <f t="shared" si="174"/>
        <v>4147</v>
      </c>
      <c r="O140" s="16">
        <f t="shared" si="175"/>
        <v>21825</v>
      </c>
      <c r="P140" s="16">
        <f t="shared" si="176"/>
        <v>7300972</v>
      </c>
      <c r="Q140" s="12">
        <f t="shared" si="177"/>
        <v>545209</v>
      </c>
      <c r="R140" s="35">
        <f t="shared" si="161"/>
        <v>571181</v>
      </c>
    </row>
    <row r="141" spans="1:18" x14ac:dyDescent="0.25">
      <c r="A141" s="11" t="s">
        <v>42</v>
      </c>
      <c r="B141" s="10">
        <v>43647</v>
      </c>
      <c r="C141" s="3">
        <v>133.5</v>
      </c>
      <c r="D141" s="3">
        <v>80</v>
      </c>
      <c r="E141" s="3">
        <v>0.4</v>
      </c>
      <c r="F141" s="7">
        <f t="shared" si="170"/>
        <v>10680000</v>
      </c>
      <c r="G141" s="7">
        <f t="shared" si="171"/>
        <v>6088</v>
      </c>
      <c r="H141" s="7">
        <f t="shared" si="172"/>
        <v>10686088</v>
      </c>
      <c r="I141" s="27">
        <v>43684</v>
      </c>
      <c r="J141" s="2">
        <v>145.5</v>
      </c>
      <c r="K141" s="2">
        <v>80</v>
      </c>
      <c r="L141" s="2">
        <v>0.4</v>
      </c>
      <c r="M141" s="16">
        <f t="shared" si="173"/>
        <v>11640000</v>
      </c>
      <c r="N141" s="16">
        <f t="shared" si="174"/>
        <v>6635</v>
      </c>
      <c r="O141" s="16">
        <f t="shared" si="175"/>
        <v>34920</v>
      </c>
      <c r="P141" s="16">
        <f t="shared" si="176"/>
        <v>11681555</v>
      </c>
      <c r="Q141" s="12">
        <f t="shared" si="177"/>
        <v>912357</v>
      </c>
      <c r="R141" s="35">
        <f t="shared" si="161"/>
        <v>953912</v>
      </c>
    </row>
    <row r="142" spans="1:18" x14ac:dyDescent="0.25">
      <c r="A142" s="11" t="s">
        <v>42</v>
      </c>
      <c r="B142" s="10">
        <v>43651</v>
      </c>
      <c r="C142" s="3">
        <v>129</v>
      </c>
      <c r="D142" s="3">
        <v>3</v>
      </c>
      <c r="E142" s="3">
        <v>0.4</v>
      </c>
      <c r="F142" s="7">
        <f t="shared" si="170"/>
        <v>387000</v>
      </c>
      <c r="G142" s="7">
        <f t="shared" si="171"/>
        <v>221</v>
      </c>
      <c r="H142" s="7">
        <f t="shared" si="172"/>
        <v>387221</v>
      </c>
      <c r="I142" s="27">
        <v>43684</v>
      </c>
      <c r="J142" s="2">
        <v>145.5</v>
      </c>
      <c r="K142" s="2">
        <v>3</v>
      </c>
      <c r="L142" s="2">
        <v>0.4</v>
      </c>
      <c r="M142" s="16">
        <f t="shared" si="173"/>
        <v>436500</v>
      </c>
      <c r="N142" s="16">
        <f t="shared" si="174"/>
        <v>249</v>
      </c>
      <c r="O142" s="16">
        <f t="shared" si="175"/>
        <v>1310</v>
      </c>
      <c r="P142" s="16">
        <f t="shared" si="176"/>
        <v>438059</v>
      </c>
      <c r="Q142" s="12">
        <f t="shared" si="177"/>
        <v>47720</v>
      </c>
      <c r="R142" s="35">
        <f t="shared" si="161"/>
        <v>49279</v>
      </c>
    </row>
    <row r="143" spans="1:18" x14ac:dyDescent="0.25">
      <c r="A143" s="11" t="s">
        <v>42</v>
      </c>
      <c r="B143" s="10">
        <v>43679</v>
      </c>
      <c r="C143" s="3">
        <v>132</v>
      </c>
      <c r="D143" s="3">
        <v>13</v>
      </c>
      <c r="E143" s="3">
        <v>0.4</v>
      </c>
      <c r="F143" s="7">
        <f t="shared" si="170"/>
        <v>1716000</v>
      </c>
      <c r="G143" s="7">
        <f t="shared" si="171"/>
        <v>978</v>
      </c>
      <c r="H143" s="7">
        <f t="shared" si="172"/>
        <v>1716978</v>
      </c>
      <c r="I143" s="27">
        <v>43684</v>
      </c>
      <c r="J143" s="2">
        <v>145.5</v>
      </c>
      <c r="K143" s="2">
        <v>13</v>
      </c>
      <c r="L143" s="2">
        <v>0.4</v>
      </c>
      <c r="M143" s="16">
        <f t="shared" si="173"/>
        <v>1891500</v>
      </c>
      <c r="N143" s="16">
        <f t="shared" si="174"/>
        <v>1078</v>
      </c>
      <c r="O143" s="16">
        <f t="shared" si="175"/>
        <v>5675</v>
      </c>
      <c r="P143" s="16">
        <f t="shared" si="176"/>
        <v>1898253</v>
      </c>
      <c r="Q143" s="12">
        <f t="shared" si="177"/>
        <v>167769</v>
      </c>
      <c r="R143" s="35">
        <f t="shared" si="161"/>
        <v>174522</v>
      </c>
    </row>
    <row r="144" spans="1:18" x14ac:dyDescent="0.25">
      <c r="A144" s="11" t="s">
        <v>117</v>
      </c>
      <c r="B144" s="10">
        <v>43698</v>
      </c>
      <c r="C144" s="3">
        <v>399.5</v>
      </c>
      <c r="D144" s="3">
        <v>20</v>
      </c>
      <c r="E144" s="3">
        <v>0.4</v>
      </c>
      <c r="F144" s="7">
        <f t="shared" ref="F144:F149" si="178">C144*D144*1000</f>
        <v>7990000</v>
      </c>
      <c r="G144" s="7">
        <f t="shared" ref="G144:G149" si="179">ROUND(F144*0.001425*E144,0)</f>
        <v>4554</v>
      </c>
      <c r="H144" s="7">
        <f t="shared" ref="H144:H149" si="180">F144+G144</f>
        <v>7994554</v>
      </c>
      <c r="I144" s="27">
        <v>43711</v>
      </c>
      <c r="J144" s="2">
        <v>428.5</v>
      </c>
      <c r="K144" s="2">
        <v>20</v>
      </c>
      <c r="L144" s="2">
        <v>0.4</v>
      </c>
      <c r="M144" s="16">
        <f t="shared" ref="M144:M149" si="181">J144*K144*1000</f>
        <v>8570000</v>
      </c>
      <c r="N144" s="16">
        <f t="shared" ref="N144:N149" si="182">ROUND(M144*0.001425*L144,0)</f>
        <v>4885</v>
      </c>
      <c r="O144" s="16">
        <f t="shared" ref="O144:O149" si="183">ROUND(M144*0.003,0)</f>
        <v>25710</v>
      </c>
      <c r="P144" s="16">
        <f t="shared" ref="P144:P149" si="184">M144+N144+O144</f>
        <v>8600595</v>
      </c>
      <c r="Q144" s="12">
        <f t="shared" ref="Q144:Q149" si="185">M144-N144-O144-H144</f>
        <v>544851</v>
      </c>
      <c r="R144" s="35">
        <f t="shared" si="161"/>
        <v>575446</v>
      </c>
    </row>
    <row r="145" spans="1:18" x14ac:dyDescent="0.25">
      <c r="A145" s="11" t="s">
        <v>117</v>
      </c>
      <c r="B145" s="10">
        <v>43696</v>
      </c>
      <c r="C145" s="3">
        <v>407</v>
      </c>
      <c r="D145" s="3">
        <v>30</v>
      </c>
      <c r="E145" s="3">
        <v>0.4</v>
      </c>
      <c r="F145" s="7">
        <f t="shared" si="178"/>
        <v>12210000</v>
      </c>
      <c r="G145" s="7">
        <f t="shared" si="179"/>
        <v>6960</v>
      </c>
      <c r="H145" s="7">
        <f t="shared" si="180"/>
        <v>12216960</v>
      </c>
      <c r="I145" s="27">
        <v>43739</v>
      </c>
      <c r="J145" s="2">
        <v>435</v>
      </c>
      <c r="K145" s="2">
        <v>30</v>
      </c>
      <c r="L145" s="2">
        <v>0.4</v>
      </c>
      <c r="M145" s="16">
        <f t="shared" si="181"/>
        <v>13050000</v>
      </c>
      <c r="N145" s="16">
        <f t="shared" si="182"/>
        <v>7439</v>
      </c>
      <c r="O145" s="16">
        <f t="shared" si="183"/>
        <v>39150</v>
      </c>
      <c r="P145" s="16">
        <f t="shared" si="184"/>
        <v>13096589</v>
      </c>
      <c r="Q145" s="12">
        <f t="shared" si="185"/>
        <v>786451</v>
      </c>
      <c r="R145" s="35">
        <f t="shared" si="161"/>
        <v>833040</v>
      </c>
    </row>
    <row r="146" spans="1:18" x14ac:dyDescent="0.25">
      <c r="A146" s="11" t="s">
        <v>117</v>
      </c>
      <c r="B146" s="10">
        <v>43698</v>
      </c>
      <c r="C146" s="3">
        <v>399.5</v>
      </c>
      <c r="D146" s="3">
        <v>5</v>
      </c>
      <c r="E146" s="3">
        <v>0.4</v>
      </c>
      <c r="F146" s="7">
        <f t="shared" si="178"/>
        <v>1997500</v>
      </c>
      <c r="G146" s="7">
        <f t="shared" si="179"/>
        <v>1139</v>
      </c>
      <c r="H146" s="7">
        <f t="shared" si="180"/>
        <v>1998639</v>
      </c>
      <c r="I146" s="27">
        <v>43739</v>
      </c>
      <c r="J146" s="2">
        <v>435</v>
      </c>
      <c r="K146" s="2">
        <v>5</v>
      </c>
      <c r="L146" s="2">
        <v>0.4</v>
      </c>
      <c r="M146" s="16">
        <f t="shared" si="181"/>
        <v>2175000</v>
      </c>
      <c r="N146" s="16">
        <f t="shared" si="182"/>
        <v>1240</v>
      </c>
      <c r="O146" s="16">
        <f t="shared" si="183"/>
        <v>6525</v>
      </c>
      <c r="P146" s="16">
        <f t="shared" si="184"/>
        <v>2182765</v>
      </c>
      <c r="Q146" s="12">
        <f t="shared" si="185"/>
        <v>168596</v>
      </c>
      <c r="R146" s="35">
        <f t="shared" si="161"/>
        <v>176361</v>
      </c>
    </row>
    <row r="147" spans="1:18" x14ac:dyDescent="0.25">
      <c r="A147" s="11" t="s">
        <v>117</v>
      </c>
      <c r="B147" s="10">
        <v>43691</v>
      </c>
      <c r="C147" s="3">
        <v>419</v>
      </c>
      <c r="D147" s="3">
        <v>15</v>
      </c>
      <c r="E147" s="3">
        <v>0.4</v>
      </c>
      <c r="F147" s="7">
        <f t="shared" si="178"/>
        <v>6285000</v>
      </c>
      <c r="G147" s="7">
        <f t="shared" si="179"/>
        <v>3582</v>
      </c>
      <c r="H147" s="7">
        <f t="shared" si="180"/>
        <v>6288582</v>
      </c>
      <c r="I147" s="27">
        <v>43739</v>
      </c>
      <c r="J147" s="2">
        <v>435</v>
      </c>
      <c r="K147" s="2">
        <v>15</v>
      </c>
      <c r="L147" s="2">
        <v>0.4</v>
      </c>
      <c r="M147" s="16">
        <f t="shared" si="181"/>
        <v>6525000</v>
      </c>
      <c r="N147" s="16">
        <f t="shared" si="182"/>
        <v>3719</v>
      </c>
      <c r="O147" s="16">
        <f t="shared" si="183"/>
        <v>19575</v>
      </c>
      <c r="P147" s="16">
        <f t="shared" si="184"/>
        <v>6548294</v>
      </c>
      <c r="Q147" s="12">
        <f t="shared" si="185"/>
        <v>213124</v>
      </c>
      <c r="R147" s="35">
        <f t="shared" si="161"/>
        <v>236418</v>
      </c>
    </row>
    <row r="148" spans="1:18" x14ac:dyDescent="0.25">
      <c r="A148" s="11" t="s">
        <v>117</v>
      </c>
      <c r="B148" s="10">
        <v>43691</v>
      </c>
      <c r="C148" s="3">
        <v>419</v>
      </c>
      <c r="D148" s="3">
        <v>45</v>
      </c>
      <c r="E148" s="3">
        <v>0.4</v>
      </c>
      <c r="F148" s="7">
        <f t="shared" si="178"/>
        <v>18855000</v>
      </c>
      <c r="G148" s="7">
        <f t="shared" si="179"/>
        <v>10747</v>
      </c>
      <c r="H148" s="7">
        <f t="shared" si="180"/>
        <v>18865747</v>
      </c>
      <c r="I148" s="27">
        <v>43739</v>
      </c>
      <c r="J148" s="2">
        <v>434.5</v>
      </c>
      <c r="K148" s="2">
        <v>45</v>
      </c>
      <c r="L148" s="2">
        <v>0.4</v>
      </c>
      <c r="M148" s="16">
        <f t="shared" si="181"/>
        <v>19552500</v>
      </c>
      <c r="N148" s="16">
        <f t="shared" si="182"/>
        <v>11145</v>
      </c>
      <c r="O148" s="16">
        <f t="shared" si="183"/>
        <v>58658</v>
      </c>
      <c r="P148" s="16">
        <f t="shared" si="184"/>
        <v>19622303</v>
      </c>
      <c r="Q148" s="12">
        <f t="shared" si="185"/>
        <v>616950</v>
      </c>
      <c r="R148" s="35">
        <f t="shared" si="161"/>
        <v>686753</v>
      </c>
    </row>
    <row r="149" spans="1:18" x14ac:dyDescent="0.25">
      <c r="A149" s="11" t="s">
        <v>118</v>
      </c>
      <c r="B149" s="10">
        <v>43753</v>
      </c>
      <c r="C149" s="3">
        <v>367.5</v>
      </c>
      <c r="D149" s="3">
        <v>50</v>
      </c>
      <c r="E149" s="3">
        <v>0.4</v>
      </c>
      <c r="F149" s="7">
        <f t="shared" si="178"/>
        <v>18375000</v>
      </c>
      <c r="G149" s="7">
        <f t="shared" si="179"/>
        <v>10474</v>
      </c>
      <c r="H149" s="7">
        <f t="shared" si="180"/>
        <v>18385474</v>
      </c>
      <c r="I149" s="27" t="s">
        <v>119</v>
      </c>
      <c r="J149" s="2">
        <v>406.5</v>
      </c>
      <c r="K149" s="2">
        <v>50</v>
      </c>
      <c r="L149" s="2">
        <v>0.4</v>
      </c>
      <c r="M149" s="16">
        <f t="shared" si="181"/>
        <v>20325000</v>
      </c>
      <c r="N149" s="16">
        <f t="shared" si="182"/>
        <v>11585</v>
      </c>
      <c r="O149" s="16">
        <f t="shared" si="183"/>
        <v>60975</v>
      </c>
      <c r="P149" s="16">
        <f t="shared" si="184"/>
        <v>20397560</v>
      </c>
      <c r="Q149" s="12">
        <f t="shared" si="185"/>
        <v>1866966</v>
      </c>
      <c r="R149" s="35">
        <f t="shared" ref="R149:R156" si="186">M149-H149</f>
        <v>1939526</v>
      </c>
    </row>
    <row r="150" spans="1:18" x14ac:dyDescent="0.25">
      <c r="A150" s="11" t="s">
        <v>42</v>
      </c>
      <c r="B150" s="10">
        <v>43770</v>
      </c>
      <c r="C150" s="3">
        <v>174.5</v>
      </c>
      <c r="D150" s="3">
        <v>39</v>
      </c>
      <c r="E150" s="3">
        <v>0.4</v>
      </c>
      <c r="F150" s="7">
        <f t="shared" ref="F150:F155" si="187">C150*D150*1000</f>
        <v>6805500</v>
      </c>
      <c r="G150" s="7">
        <f t="shared" ref="G150:G155" si="188">ROUND(F150*0.001425*E150,0)</f>
        <v>3879</v>
      </c>
      <c r="H150" s="7">
        <f t="shared" ref="H150:H155" si="189">F150+G150</f>
        <v>6809379</v>
      </c>
      <c r="I150" s="27">
        <v>43780</v>
      </c>
      <c r="J150" s="2">
        <v>174.5</v>
      </c>
      <c r="K150" s="2">
        <v>39</v>
      </c>
      <c r="L150" s="2">
        <v>0.4</v>
      </c>
      <c r="M150" s="16">
        <f t="shared" ref="M150:M155" si="190">J150*K150*1000</f>
        <v>6805500</v>
      </c>
      <c r="N150" s="16">
        <f t="shared" ref="N150:N155" si="191">ROUND(M150*0.001425*L150,0)</f>
        <v>3879</v>
      </c>
      <c r="O150" s="16">
        <f t="shared" ref="O150:O155" si="192">ROUND(M150*0.003,0)</f>
        <v>20417</v>
      </c>
      <c r="P150" s="16">
        <f t="shared" ref="P150:P155" si="193">M150+N150+O150</f>
        <v>6829796</v>
      </c>
      <c r="Q150" s="12">
        <f t="shared" ref="Q150:Q155" si="194">M150-N150-O150-H150</f>
        <v>-28175</v>
      </c>
      <c r="R150" s="35">
        <f t="shared" si="186"/>
        <v>-3879</v>
      </c>
    </row>
    <row r="151" spans="1:18" x14ac:dyDescent="0.25">
      <c r="A151" s="11" t="s">
        <v>117</v>
      </c>
      <c r="B151" s="10">
        <v>43756</v>
      </c>
      <c r="C151" s="3">
        <v>445.5</v>
      </c>
      <c r="D151" s="3">
        <v>50</v>
      </c>
      <c r="E151" s="3">
        <v>0.4</v>
      </c>
      <c r="F151" s="7">
        <f t="shared" si="187"/>
        <v>22275000</v>
      </c>
      <c r="G151" s="7">
        <f t="shared" si="188"/>
        <v>12697</v>
      </c>
      <c r="H151" s="7">
        <f t="shared" si="189"/>
        <v>22287697</v>
      </c>
      <c r="I151" s="27">
        <v>43809</v>
      </c>
      <c r="J151" s="2">
        <v>451</v>
      </c>
      <c r="K151" s="2">
        <v>50</v>
      </c>
      <c r="L151" s="2">
        <v>0.4</v>
      </c>
      <c r="M151" s="16">
        <f t="shared" si="190"/>
        <v>22550000</v>
      </c>
      <c r="N151" s="16">
        <f t="shared" si="191"/>
        <v>12854</v>
      </c>
      <c r="O151" s="16">
        <f t="shared" si="192"/>
        <v>67650</v>
      </c>
      <c r="P151" s="16">
        <f t="shared" si="193"/>
        <v>22630504</v>
      </c>
      <c r="Q151" s="12">
        <f t="shared" si="194"/>
        <v>181799</v>
      </c>
      <c r="R151" s="35">
        <f t="shared" si="186"/>
        <v>262303</v>
      </c>
    </row>
    <row r="152" spans="1:18" x14ac:dyDescent="0.25">
      <c r="A152" s="11" t="s">
        <v>117</v>
      </c>
      <c r="B152" s="10">
        <v>43789</v>
      </c>
      <c r="C152" s="3">
        <v>355</v>
      </c>
      <c r="D152" s="3">
        <v>3</v>
      </c>
      <c r="E152" s="3">
        <v>0</v>
      </c>
      <c r="F152" s="7">
        <f t="shared" si="187"/>
        <v>1065000</v>
      </c>
      <c r="G152" s="7">
        <f t="shared" si="188"/>
        <v>0</v>
      </c>
      <c r="H152" s="7">
        <f t="shared" si="189"/>
        <v>1065000</v>
      </c>
      <c r="I152" s="27">
        <v>43809</v>
      </c>
      <c r="J152" s="2">
        <v>451</v>
      </c>
      <c r="K152" s="2">
        <v>3</v>
      </c>
      <c r="L152" s="2">
        <v>0.4</v>
      </c>
      <c r="M152" s="16">
        <f t="shared" si="190"/>
        <v>1353000</v>
      </c>
      <c r="N152" s="16">
        <f t="shared" si="191"/>
        <v>771</v>
      </c>
      <c r="O152" s="16">
        <f t="shared" si="192"/>
        <v>4059</v>
      </c>
      <c r="P152" s="16">
        <f t="shared" si="193"/>
        <v>1357830</v>
      </c>
      <c r="Q152" s="12">
        <f t="shared" si="194"/>
        <v>283170</v>
      </c>
      <c r="R152" s="35">
        <f t="shared" si="186"/>
        <v>288000</v>
      </c>
    </row>
    <row r="153" spans="1:18" x14ac:dyDescent="0.25">
      <c r="A153" s="11" t="s">
        <v>42</v>
      </c>
      <c r="B153" s="10">
        <v>43770</v>
      </c>
      <c r="C153" s="3">
        <v>174.5</v>
      </c>
      <c r="D153" s="3">
        <v>60</v>
      </c>
      <c r="E153" s="3">
        <v>0.4</v>
      </c>
      <c r="F153" s="7">
        <f t="shared" si="187"/>
        <v>10470000</v>
      </c>
      <c r="G153" s="7">
        <f t="shared" si="188"/>
        <v>5968</v>
      </c>
      <c r="H153" s="7">
        <f t="shared" si="189"/>
        <v>10475968</v>
      </c>
      <c r="I153" s="27">
        <v>43866</v>
      </c>
      <c r="J153" s="2">
        <v>173.5</v>
      </c>
      <c r="K153" s="2">
        <v>60</v>
      </c>
      <c r="L153" s="2">
        <v>0.4</v>
      </c>
      <c r="M153" s="16">
        <f t="shared" si="190"/>
        <v>10410000</v>
      </c>
      <c r="N153" s="16">
        <f t="shared" si="191"/>
        <v>5934</v>
      </c>
      <c r="O153" s="16">
        <f t="shared" si="192"/>
        <v>31230</v>
      </c>
      <c r="P153" s="16">
        <f t="shared" si="193"/>
        <v>10447164</v>
      </c>
      <c r="Q153" s="12">
        <f t="shared" si="194"/>
        <v>-103132</v>
      </c>
      <c r="R153" s="35">
        <f t="shared" si="186"/>
        <v>-65968</v>
      </c>
    </row>
    <row r="154" spans="1:18" x14ac:dyDescent="0.25">
      <c r="A154" s="11" t="s">
        <v>42</v>
      </c>
      <c r="B154" s="10">
        <v>43770</v>
      </c>
      <c r="C154" s="3">
        <v>174.5</v>
      </c>
      <c r="D154" s="3">
        <v>21</v>
      </c>
      <c r="E154" s="3">
        <v>0.4</v>
      </c>
      <c r="F154" s="7">
        <f t="shared" si="187"/>
        <v>3664500</v>
      </c>
      <c r="G154" s="7">
        <f t="shared" si="188"/>
        <v>2089</v>
      </c>
      <c r="H154" s="7">
        <f t="shared" si="189"/>
        <v>3666589</v>
      </c>
      <c r="I154" s="27">
        <v>43866</v>
      </c>
      <c r="J154" s="2">
        <v>173</v>
      </c>
      <c r="K154" s="2">
        <v>21</v>
      </c>
      <c r="L154" s="2">
        <v>0.4</v>
      </c>
      <c r="M154" s="16">
        <f t="shared" si="190"/>
        <v>3633000</v>
      </c>
      <c r="N154" s="16">
        <f t="shared" si="191"/>
        <v>2071</v>
      </c>
      <c r="O154" s="16">
        <f t="shared" si="192"/>
        <v>10899</v>
      </c>
      <c r="P154" s="16">
        <f t="shared" si="193"/>
        <v>3645970</v>
      </c>
      <c r="Q154" s="12">
        <f t="shared" si="194"/>
        <v>-46559</v>
      </c>
      <c r="R154" s="35">
        <f t="shared" si="186"/>
        <v>-33589</v>
      </c>
    </row>
    <row r="155" spans="1:18" x14ac:dyDescent="0.25">
      <c r="A155" s="11" t="s">
        <v>42</v>
      </c>
      <c r="B155" s="10">
        <v>43781</v>
      </c>
      <c r="C155" s="3">
        <v>170.5</v>
      </c>
      <c r="D155" s="3">
        <v>39</v>
      </c>
      <c r="E155" s="3">
        <v>0.4</v>
      </c>
      <c r="F155" s="7">
        <f t="shared" si="187"/>
        <v>6649500</v>
      </c>
      <c r="G155" s="7">
        <f t="shared" si="188"/>
        <v>3790</v>
      </c>
      <c r="H155" s="7">
        <f t="shared" si="189"/>
        <v>6653290</v>
      </c>
      <c r="I155" s="27">
        <v>43866</v>
      </c>
      <c r="J155" s="2">
        <v>173</v>
      </c>
      <c r="K155" s="2">
        <v>39</v>
      </c>
      <c r="L155" s="2">
        <v>0.4</v>
      </c>
      <c r="M155" s="16">
        <f t="shared" si="190"/>
        <v>6747000</v>
      </c>
      <c r="N155" s="16">
        <f t="shared" si="191"/>
        <v>3846</v>
      </c>
      <c r="O155" s="16">
        <f t="shared" si="192"/>
        <v>20241</v>
      </c>
      <c r="P155" s="16">
        <f t="shared" si="193"/>
        <v>6771087</v>
      </c>
      <c r="Q155" s="12">
        <f t="shared" si="194"/>
        <v>69623</v>
      </c>
      <c r="R155" s="35">
        <f t="shared" si="186"/>
        <v>93710</v>
      </c>
    </row>
    <row r="156" spans="1:18" x14ac:dyDescent="0.25">
      <c r="A156" s="11"/>
      <c r="B156" s="3"/>
      <c r="C156" s="3"/>
      <c r="D156" s="3"/>
      <c r="E156" s="3"/>
      <c r="F156" s="7">
        <f t="shared" ref="F156" si="195">C156*D156*1000</f>
        <v>0</v>
      </c>
      <c r="G156" s="7">
        <f t="shared" ref="G156" si="196">ROUND(F156*0.001425*E156,0)</f>
        <v>0</v>
      </c>
      <c r="H156" s="7">
        <f t="shared" ref="H156" si="197">F156+G156</f>
        <v>0</v>
      </c>
      <c r="I156" s="2"/>
      <c r="J156" s="2"/>
      <c r="K156" s="2"/>
      <c r="L156" s="2"/>
      <c r="M156" s="16">
        <f t="shared" ref="M156" si="198">J156*K156*1000</f>
        <v>0</v>
      </c>
      <c r="N156" s="16">
        <f t="shared" ref="N156" si="199">ROUND(M156*0.001425*L156,0)</f>
        <v>0</v>
      </c>
      <c r="O156" s="16">
        <f t="shared" ref="O156" si="200">ROUND(M156*0.003,0)</f>
        <v>0</v>
      </c>
      <c r="P156" s="16">
        <f t="shared" ref="P156" si="201">M156+N156+O156</f>
        <v>0</v>
      </c>
      <c r="Q156" s="12">
        <f t="shared" ref="Q156" si="202">M156-N156-O156-H156</f>
        <v>0</v>
      </c>
      <c r="R156" s="7">
        <f t="shared" si="186"/>
        <v>0</v>
      </c>
    </row>
    <row r="157" spans="1:18" x14ac:dyDescent="0.25">
      <c r="A157" s="11"/>
      <c r="B157" s="3"/>
      <c r="C157" s="3"/>
      <c r="D157" s="3"/>
      <c r="E157" s="3"/>
      <c r="F157" s="7">
        <f t="shared" si="2"/>
        <v>0</v>
      </c>
      <c r="G157" s="7">
        <f t="shared" si="3"/>
        <v>0</v>
      </c>
      <c r="H157" s="7">
        <f t="shared" si="4"/>
        <v>0</v>
      </c>
      <c r="I157" s="2"/>
      <c r="J157" s="2"/>
      <c r="K157" s="2"/>
      <c r="L157" s="2"/>
      <c r="M157" s="16">
        <f t="shared" si="5"/>
        <v>0</v>
      </c>
      <c r="N157" s="16">
        <f t="shared" si="0"/>
        <v>0</v>
      </c>
      <c r="O157" s="16">
        <f t="shared" si="6"/>
        <v>0</v>
      </c>
      <c r="P157" s="16">
        <f t="shared" si="1"/>
        <v>0</v>
      </c>
      <c r="Q157" s="12">
        <f t="shared" si="7"/>
        <v>0</v>
      </c>
      <c r="R157" s="35">
        <f t="shared" si="8"/>
        <v>0</v>
      </c>
    </row>
    <row r="158" spans="1:18" x14ac:dyDescent="0.25">
      <c r="A158" s="28"/>
      <c r="B158" s="29"/>
      <c r="C158" s="28"/>
      <c r="G158" s="17">
        <f>SUM(G3:G157)</f>
        <v>374147</v>
      </c>
      <c r="H158" s="20">
        <f>SUM(H3:H157)</f>
        <v>658859047</v>
      </c>
      <c r="M158" s="21">
        <f>SUM(M3:M157)</f>
        <v>683671350</v>
      </c>
      <c r="N158" s="21">
        <f>SUM(N3:N157)</f>
        <v>389696</v>
      </c>
      <c r="O158" s="21">
        <f>SUM(O3:O157)</f>
        <v>2051021</v>
      </c>
      <c r="P158" s="13" t="s">
        <v>26</v>
      </c>
      <c r="Q158" s="14">
        <f>SUM(Q3:Q157)</f>
        <v>22371586</v>
      </c>
      <c r="R158" s="35">
        <f>SUM(R3:R157)</f>
        <v>18709611</v>
      </c>
    </row>
    <row r="159" spans="1:18" x14ac:dyDescent="0.25">
      <c r="G159" s="17"/>
      <c r="M159" s="101" t="s">
        <v>45</v>
      </c>
      <c r="N159" s="102"/>
      <c r="O159" s="20">
        <f>G158+N158+O158</f>
        <v>2814864</v>
      </c>
    </row>
    <row r="160" spans="1:18" x14ac:dyDescent="0.25">
      <c r="G160" s="17"/>
      <c r="N160" s="17"/>
      <c r="O160" s="17">
        <f>SUM(O115:O152)</f>
        <v>873006</v>
      </c>
      <c r="P160" s="17"/>
      <c r="Q160" s="17"/>
      <c r="R160" s="17">
        <f>SUM(R115:R152)</f>
        <v>17180224</v>
      </c>
    </row>
    <row r="161" spans="14:17" x14ac:dyDescent="0.25">
      <c r="N161" s="17"/>
      <c r="O161" s="17"/>
      <c r="Q161" s="17"/>
    </row>
    <row r="162" spans="14:17" x14ac:dyDescent="0.25">
      <c r="Q162" s="17"/>
    </row>
  </sheetData>
  <mergeCells count="4">
    <mergeCell ref="A1:A2"/>
    <mergeCell ref="B1:H1"/>
    <mergeCell ref="I1:Q1"/>
    <mergeCell ref="M159:N15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6.5" x14ac:dyDescent="0.25"/>
  <cols>
    <col min="1" max="1" width="11.5" customWidth="1"/>
    <col min="2" max="2" width="10.875" customWidth="1"/>
    <col min="3" max="3" width="17.125" customWidth="1"/>
    <col min="4" max="4" width="15.625" customWidth="1"/>
    <col min="5" max="5" width="9.75" customWidth="1"/>
    <col min="6" max="6" width="10" customWidth="1"/>
  </cols>
  <sheetData>
    <row r="1" spans="1:6" x14ac:dyDescent="0.25">
      <c r="A1" s="85" t="s">
        <v>121</v>
      </c>
      <c r="B1" s="85" t="s">
        <v>122</v>
      </c>
      <c r="C1" s="85" t="s">
        <v>124</v>
      </c>
      <c r="D1" s="85" t="s">
        <v>123</v>
      </c>
      <c r="E1" s="85" t="s">
        <v>125</v>
      </c>
      <c r="F1" s="85" t="s">
        <v>120</v>
      </c>
    </row>
    <row r="2" spans="1:6" x14ac:dyDescent="0.25">
      <c r="A2" s="7">
        <v>6000000</v>
      </c>
      <c r="B2" s="3">
        <v>0.93700000000000006</v>
      </c>
      <c r="C2" s="83">
        <v>43753</v>
      </c>
      <c r="D2" s="83">
        <v>43830</v>
      </c>
      <c r="E2" s="84">
        <f>D2-C2+1</f>
        <v>78</v>
      </c>
      <c r="F2" s="87">
        <f>ROUND(A2*B2/100/365*E2,0)</f>
        <v>12014</v>
      </c>
    </row>
    <row r="3" spans="1:6" x14ac:dyDescent="0.25">
      <c r="A3" s="7">
        <v>23200000</v>
      </c>
      <c r="B3" s="3">
        <v>1.58</v>
      </c>
      <c r="C3" s="83">
        <v>43753</v>
      </c>
      <c r="D3" s="83">
        <v>43830</v>
      </c>
      <c r="E3" s="84">
        <f>D3-C3+1</f>
        <v>78</v>
      </c>
      <c r="F3" s="87">
        <f>ROUND(A3*B3/100/365*E3,0)</f>
        <v>78333</v>
      </c>
    </row>
    <row r="4" spans="1:6" x14ac:dyDescent="0.25">
      <c r="E4" s="86" t="s">
        <v>126</v>
      </c>
      <c r="F4" s="21">
        <f>SUM(F2:F3)</f>
        <v>90347</v>
      </c>
    </row>
    <row r="6" spans="1:6" x14ac:dyDescent="0.25">
      <c r="A6" s="85" t="s">
        <v>121</v>
      </c>
      <c r="B6" s="85" t="s">
        <v>122</v>
      </c>
      <c r="C6" s="85" t="s">
        <v>124</v>
      </c>
      <c r="D6" s="85" t="s">
        <v>123</v>
      </c>
      <c r="E6" s="85" t="s">
        <v>125</v>
      </c>
      <c r="F6" s="85" t="s">
        <v>120</v>
      </c>
    </row>
    <row r="7" spans="1:6" x14ac:dyDescent="0.25">
      <c r="A7" s="7">
        <v>6000000</v>
      </c>
      <c r="B7" s="3">
        <v>0.93700000000000006</v>
      </c>
      <c r="C7" s="83">
        <v>43831</v>
      </c>
      <c r="D7" s="83">
        <v>44196</v>
      </c>
      <c r="E7" s="84">
        <f>D7-C7+1</f>
        <v>366</v>
      </c>
      <c r="F7" s="87">
        <f>ROUND(A7*B7/100/365*E7,0)</f>
        <v>56374</v>
      </c>
    </row>
    <row r="8" spans="1:6" x14ac:dyDescent="0.25">
      <c r="A8" s="7">
        <v>23200000</v>
      </c>
      <c r="B8" s="3">
        <v>1.58</v>
      </c>
      <c r="C8" s="83">
        <v>43831</v>
      </c>
      <c r="D8" s="83">
        <v>44196</v>
      </c>
      <c r="E8" s="84">
        <f>D8-C8+1</f>
        <v>366</v>
      </c>
      <c r="F8" s="87">
        <f>ROUND(A8*B8/100/365*E8,0)</f>
        <v>367564</v>
      </c>
    </row>
    <row r="9" spans="1:6" x14ac:dyDescent="0.25">
      <c r="E9" s="86" t="s">
        <v>126</v>
      </c>
      <c r="F9" s="21">
        <f>SUM(F7:F8)</f>
        <v>423938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4" sqref="E4"/>
    </sheetView>
  </sheetViews>
  <sheetFormatPr defaultRowHeight="16.5" x14ac:dyDescent="0.25"/>
  <cols>
    <col min="1" max="1" width="17.75" customWidth="1"/>
    <col min="2" max="2" width="12" customWidth="1"/>
    <col min="3" max="3" width="9.625" customWidth="1"/>
    <col min="4" max="4" width="7.875" customWidth="1"/>
    <col min="5" max="5" width="13.375" customWidth="1"/>
    <col min="7" max="7" width="11.25" customWidth="1"/>
    <col min="8" max="8" width="14" customWidth="1"/>
  </cols>
  <sheetData>
    <row r="1" spans="1:8" x14ac:dyDescent="0.25">
      <c r="A1" t="s">
        <v>108</v>
      </c>
    </row>
    <row r="2" spans="1:8" ht="33.75" customHeight="1" x14ac:dyDescent="0.25">
      <c r="A2" s="1" t="s">
        <v>1</v>
      </c>
      <c r="B2" s="2">
        <v>445.5</v>
      </c>
      <c r="C2" s="1" t="s">
        <v>12</v>
      </c>
      <c r="D2" s="2">
        <v>50</v>
      </c>
      <c r="E2" s="1" t="s">
        <v>13</v>
      </c>
      <c r="F2" s="2">
        <v>0.4</v>
      </c>
      <c r="G2" s="103"/>
    </row>
    <row r="3" spans="1:8" ht="29.25" customHeight="1" x14ac:dyDescent="0.25">
      <c r="A3" s="1" t="s">
        <v>2</v>
      </c>
      <c r="B3" s="2">
        <v>447.5</v>
      </c>
      <c r="C3" s="1" t="s">
        <v>0</v>
      </c>
      <c r="D3" s="2">
        <v>50</v>
      </c>
      <c r="E3" s="1" t="s">
        <v>6</v>
      </c>
      <c r="F3" s="2">
        <v>0.4</v>
      </c>
      <c r="G3" s="104"/>
    </row>
    <row r="4" spans="1:8" ht="23.25" customHeight="1" x14ac:dyDescent="0.25">
      <c r="A4" s="3"/>
      <c r="B4" s="3"/>
      <c r="C4" s="3"/>
      <c r="D4" s="3"/>
      <c r="E4" s="3"/>
      <c r="F4" s="8">
        <f>D5+D6+F6</f>
        <v>92576</v>
      </c>
      <c r="G4" s="4" t="s">
        <v>7</v>
      </c>
    </row>
    <row r="5" spans="1:8" ht="25.5" customHeight="1" x14ac:dyDescent="0.25">
      <c r="A5" s="3" t="s">
        <v>4</v>
      </c>
      <c r="B5" s="5">
        <f>B2*1000*D2</f>
        <v>22275000</v>
      </c>
      <c r="C5" s="6" t="s">
        <v>14</v>
      </c>
      <c r="D5" s="5">
        <f>ROUND(B2*1000*D2*0.001425*F2,0)</f>
        <v>12697</v>
      </c>
      <c r="E5" s="5"/>
      <c r="F5" s="5"/>
      <c r="G5" s="7">
        <f>B5+D5</f>
        <v>22287697</v>
      </c>
      <c r="H5" t="s">
        <v>49</v>
      </c>
    </row>
    <row r="6" spans="1:8" ht="26.25" customHeight="1" x14ac:dyDescent="0.25">
      <c r="A6" s="3" t="s">
        <v>5</v>
      </c>
      <c r="B6" s="5">
        <f>B3*1000*D3</f>
        <v>22375000</v>
      </c>
      <c r="C6" s="6" t="s">
        <v>3</v>
      </c>
      <c r="D6" s="5">
        <f>ROUND(B3*1000*D3*0.001425*F3,0)</f>
        <v>12754</v>
      </c>
      <c r="E6" s="6" t="s">
        <v>16</v>
      </c>
      <c r="F6" s="5">
        <f>ROUND(B3*1000*0.003*D3,0)</f>
        <v>67125</v>
      </c>
      <c r="G6" s="7">
        <f>B6+D6+F6</f>
        <v>22454879</v>
      </c>
      <c r="H6" s="17"/>
    </row>
    <row r="7" spans="1:8" ht="24" customHeight="1" x14ac:dyDescent="0.25">
      <c r="A7" s="106" t="s">
        <v>8</v>
      </c>
      <c r="B7" s="107"/>
      <c r="C7" s="107"/>
      <c r="D7" s="107"/>
      <c r="E7" s="107"/>
      <c r="F7" s="107"/>
      <c r="G7" s="8">
        <f>B6-B5-D6-D5-F6</f>
        <v>7424</v>
      </c>
    </row>
    <row r="8" spans="1:8" x14ac:dyDescent="0.25">
      <c r="B8" s="105"/>
      <c r="C8" s="105"/>
      <c r="D8" s="105"/>
      <c r="E8" s="105"/>
      <c r="F8" s="105"/>
    </row>
    <row r="9" spans="1:8" x14ac:dyDescent="0.25">
      <c r="A9" t="s">
        <v>97</v>
      </c>
      <c r="B9" s="17">
        <v>48798625</v>
      </c>
      <c r="H9" s="17"/>
    </row>
    <row r="10" spans="1:8" x14ac:dyDescent="0.25">
      <c r="A10" t="s">
        <v>97</v>
      </c>
      <c r="B10" s="17">
        <v>0</v>
      </c>
    </row>
    <row r="11" spans="1:8" x14ac:dyDescent="0.25">
      <c r="A11" t="s">
        <v>98</v>
      </c>
      <c r="B11" s="17">
        <v>0</v>
      </c>
    </row>
    <row r="12" spans="1:8" x14ac:dyDescent="0.25">
      <c r="A12" t="s">
        <v>99</v>
      </c>
      <c r="B12" s="17">
        <v>0</v>
      </c>
    </row>
    <row r="13" spans="1:8" x14ac:dyDescent="0.25">
      <c r="A13" t="s">
        <v>100</v>
      </c>
      <c r="B13" s="17">
        <v>0</v>
      </c>
    </row>
    <row r="14" spans="1:8" x14ac:dyDescent="0.25">
      <c r="A14" t="s">
        <v>103</v>
      </c>
      <c r="B14" s="17">
        <f>SUM(B9:B13)</f>
        <v>48798625</v>
      </c>
    </row>
    <row r="15" spans="1:8" x14ac:dyDescent="0.25">
      <c r="A15" s="49" t="s">
        <v>101</v>
      </c>
      <c r="B15" s="17">
        <v>25175824</v>
      </c>
    </row>
    <row r="16" spans="1:8" x14ac:dyDescent="0.25">
      <c r="A16" s="68" t="s">
        <v>104</v>
      </c>
      <c r="B16" s="20">
        <f>B14-B15</f>
        <v>23622801</v>
      </c>
    </row>
    <row r="19" spans="1:1" x14ac:dyDescent="0.25">
      <c r="A19" t="s">
        <v>106</v>
      </c>
    </row>
  </sheetData>
  <mergeCells count="3">
    <mergeCell ref="G2:G3"/>
    <mergeCell ref="B8:F8"/>
    <mergeCell ref="A7:F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6.5" x14ac:dyDescent="0.25"/>
  <cols>
    <col min="1" max="1" width="17.75" customWidth="1"/>
    <col min="2" max="2" width="12" customWidth="1"/>
    <col min="3" max="3" width="9.625" customWidth="1"/>
    <col min="4" max="4" width="13.75" customWidth="1"/>
    <col min="5" max="5" width="15.75" customWidth="1"/>
    <col min="7" max="7" width="11.25" customWidth="1"/>
    <col min="8" max="8" width="14" customWidth="1"/>
  </cols>
  <sheetData>
    <row r="1" spans="1:8" x14ac:dyDescent="0.25">
      <c r="A1" t="s">
        <v>109</v>
      </c>
    </row>
    <row r="2" spans="1:8" ht="33.75" customHeight="1" x14ac:dyDescent="0.25">
      <c r="A2" s="1" t="s">
        <v>1</v>
      </c>
      <c r="B2" s="75">
        <v>0</v>
      </c>
      <c r="C2" s="1" t="s">
        <v>110</v>
      </c>
      <c r="D2" s="74">
        <v>0</v>
      </c>
      <c r="E2" s="1" t="s">
        <v>6</v>
      </c>
      <c r="F2" s="2">
        <v>1</v>
      </c>
      <c r="G2" s="103"/>
    </row>
    <row r="3" spans="1:8" ht="29.25" customHeight="1" x14ac:dyDescent="0.25">
      <c r="A3" s="1" t="s">
        <v>2</v>
      </c>
      <c r="B3" s="75">
        <v>131</v>
      </c>
      <c r="C3" s="1" t="s">
        <v>110</v>
      </c>
      <c r="D3" s="74">
        <v>1272.26</v>
      </c>
      <c r="E3" s="1" t="s">
        <v>6</v>
      </c>
      <c r="F3" s="2">
        <v>1</v>
      </c>
      <c r="G3" s="104"/>
    </row>
    <row r="4" spans="1:8" ht="23.25" customHeight="1" x14ac:dyDescent="0.25">
      <c r="A4" s="3"/>
      <c r="B4" s="3"/>
      <c r="C4" s="3"/>
      <c r="D4" s="3"/>
      <c r="E4" s="3" t="s">
        <v>114</v>
      </c>
      <c r="F4" s="8">
        <f>D5+D6+F6</f>
        <v>837.18029000000001</v>
      </c>
      <c r="G4" s="73" t="s">
        <v>7</v>
      </c>
    </row>
    <row r="5" spans="1:8" ht="25.5" customHeight="1" x14ac:dyDescent="0.25">
      <c r="A5" s="3" t="s">
        <v>4</v>
      </c>
      <c r="B5" s="5">
        <f>B2*D2</f>
        <v>0</v>
      </c>
      <c r="C5" s="6" t="s">
        <v>14</v>
      </c>
      <c r="D5" s="5">
        <f>ROUND(B2*D2*0.005*F2,5)</f>
        <v>0</v>
      </c>
      <c r="E5" s="6" t="s">
        <v>113</v>
      </c>
      <c r="F5" s="5">
        <f>IF(ROUND(0.000119*D3,5)&gt;5.95,5.95,ROUND(0.000119*D3,5))</f>
        <v>0.15140000000000001</v>
      </c>
      <c r="G5" s="7">
        <f>B5+D5</f>
        <v>0</v>
      </c>
      <c r="H5" t="s">
        <v>49</v>
      </c>
    </row>
    <row r="6" spans="1:8" ht="26.25" customHeight="1" x14ac:dyDescent="0.25">
      <c r="A6" s="3" t="s">
        <v>5</v>
      </c>
      <c r="B6" s="5">
        <f>B3*D3</f>
        <v>166666.06</v>
      </c>
      <c r="C6" s="6" t="s">
        <v>3</v>
      </c>
      <c r="D6" s="5">
        <f>ROUND(B3*D3*0.005*F3,5)</f>
        <v>833.33029999999997</v>
      </c>
      <c r="E6" s="6" t="s">
        <v>112</v>
      </c>
      <c r="F6" s="5">
        <f>ROUND(B3*0.0000231*D3,5)</f>
        <v>3.84999</v>
      </c>
      <c r="G6" s="7">
        <f>B6+D6+F6+F5</f>
        <v>167503.39168999999</v>
      </c>
      <c r="H6" s="17"/>
    </row>
    <row r="7" spans="1:8" ht="24" customHeight="1" x14ac:dyDescent="0.25">
      <c r="A7" s="106" t="s">
        <v>8</v>
      </c>
      <c r="B7" s="107"/>
      <c r="C7" s="107"/>
      <c r="D7" s="107"/>
      <c r="E7" s="107"/>
      <c r="F7" s="107"/>
      <c r="G7" s="8">
        <f>B6-B5-D6-D5-F6</f>
        <v>165828.87971000001</v>
      </c>
    </row>
    <row r="8" spans="1:8" x14ac:dyDescent="0.25">
      <c r="A8" s="31"/>
      <c r="B8" s="108" t="s">
        <v>111</v>
      </c>
      <c r="C8" s="108"/>
      <c r="D8" s="108"/>
      <c r="E8" s="108"/>
      <c r="F8" s="108"/>
      <c r="G8" s="20">
        <f>G7*30</f>
        <v>4974866.3913000003</v>
      </c>
    </row>
    <row r="9" spans="1:8" x14ac:dyDescent="0.25">
      <c r="B9" s="17"/>
      <c r="H9" s="17"/>
    </row>
    <row r="10" spans="1:8" x14ac:dyDescent="0.25">
      <c r="B10" s="17"/>
    </row>
    <row r="11" spans="1:8" x14ac:dyDescent="0.25">
      <c r="B11" s="17"/>
    </row>
    <row r="12" spans="1:8" x14ac:dyDescent="0.25">
      <c r="B12" s="17"/>
    </row>
    <row r="13" spans="1:8" x14ac:dyDescent="0.25">
      <c r="B13" s="17"/>
    </row>
    <row r="14" spans="1:8" x14ac:dyDescent="0.25">
      <c r="B14" s="17"/>
    </row>
    <row r="15" spans="1:8" x14ac:dyDescent="0.25">
      <c r="A15" s="49"/>
      <c r="B15" s="17"/>
    </row>
    <row r="16" spans="1:8" x14ac:dyDescent="0.25">
      <c r="A16" s="68"/>
      <c r="B16" s="20"/>
    </row>
    <row r="19" spans="1:2" x14ac:dyDescent="0.25">
      <c r="A19" t="s">
        <v>106</v>
      </c>
      <c r="B19">
        <v>32444</v>
      </c>
    </row>
  </sheetData>
  <mergeCells count="3">
    <mergeCell ref="G2:G3"/>
    <mergeCell ref="A7:F7"/>
    <mergeCell ref="B8:F8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7:L101"/>
  <sheetViews>
    <sheetView topLeftCell="A80" workbookViewId="0">
      <selection activeCell="E111" sqref="E111"/>
    </sheetView>
  </sheetViews>
  <sheetFormatPr defaultRowHeight="16.5" x14ac:dyDescent="0.25"/>
  <sheetData>
    <row r="97" spans="1:12" ht="50.25" customHeight="1" x14ac:dyDescent="0.25">
      <c r="A97" s="109" t="s">
        <v>70</v>
      </c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</row>
    <row r="98" spans="1:12" ht="36" customHeight="1" x14ac:dyDescent="0.25">
      <c r="A98" s="110" t="s">
        <v>71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</row>
    <row r="99" spans="1:12" ht="48.75" customHeight="1" x14ac:dyDescent="0.25">
      <c r="A99" s="110" t="s">
        <v>72</v>
      </c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</row>
    <row r="100" spans="1:12" ht="36" customHeight="1" x14ac:dyDescent="0.25">
      <c r="A100" s="110" t="s">
        <v>73</v>
      </c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</row>
    <row r="101" spans="1:12" ht="25.5" customHeight="1" x14ac:dyDescent="0.25">
      <c r="A101" s="111" t="s">
        <v>74</v>
      </c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</row>
  </sheetData>
  <mergeCells count="5">
    <mergeCell ref="A97:L97"/>
    <mergeCell ref="A98:L98"/>
    <mergeCell ref="A99:L99"/>
    <mergeCell ref="A100:L100"/>
    <mergeCell ref="A101:K10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8" sqref="A28"/>
    </sheetView>
  </sheetViews>
  <sheetFormatPr defaultRowHeight="16.5" x14ac:dyDescent="0.25"/>
  <sheetData>
    <row r="1" spans="1:1" ht="21.75" x14ac:dyDescent="0.25">
      <c r="A1" s="64" t="s">
        <v>92</v>
      </c>
    </row>
    <row r="3" spans="1:1" x14ac:dyDescent="0.25">
      <c r="A3" s="65" t="s">
        <v>87</v>
      </c>
    </row>
    <row r="4" spans="1:1" x14ac:dyDescent="0.25">
      <c r="A4" s="66"/>
    </row>
    <row r="5" spans="1:1" x14ac:dyDescent="0.25">
      <c r="A5" s="66" t="s">
        <v>88</v>
      </c>
    </row>
    <row r="6" spans="1:1" x14ac:dyDescent="0.25">
      <c r="A6" s="66" t="s">
        <v>89</v>
      </c>
    </row>
    <row r="7" spans="1:1" x14ac:dyDescent="0.25">
      <c r="A7" s="66" t="s">
        <v>93</v>
      </c>
    </row>
    <row r="8" spans="1:1" x14ac:dyDescent="0.25">
      <c r="A8" s="66" t="s">
        <v>90</v>
      </c>
    </row>
    <row r="10" spans="1:1" x14ac:dyDescent="0.25">
      <c r="A10" s="65" t="s">
        <v>91</v>
      </c>
    </row>
    <row r="24" spans="1:11" ht="409.5" customHeight="1" x14ac:dyDescent="0.25">
      <c r="A24" s="112" t="s">
        <v>107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</row>
    <row r="25" spans="1:11" x14ac:dyDescent="0.25">
      <c r="A25" s="71"/>
    </row>
    <row r="26" spans="1:11" ht="18" x14ac:dyDescent="0.25">
      <c r="A26" s="72"/>
    </row>
    <row r="27" spans="1:11" ht="18" x14ac:dyDescent="0.25">
      <c r="A27" s="72"/>
    </row>
    <row r="28" spans="1:11" ht="18" x14ac:dyDescent="0.25">
      <c r="A28" s="72"/>
    </row>
  </sheetData>
  <mergeCells count="1">
    <mergeCell ref="A24:K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交易明細</vt:lpstr>
      <vt:lpstr>交易NET</vt:lpstr>
      <vt:lpstr>交易NET-HST</vt:lpstr>
      <vt:lpstr>曆史交易明細</vt:lpstr>
      <vt:lpstr>貸款</vt:lpstr>
      <vt:lpstr>台股手續費試算</vt:lpstr>
      <vt:lpstr>美股手續費試算</vt:lpstr>
      <vt:lpstr>SAMPLE</vt:lpstr>
      <vt:lpstr>選配息好股</vt:lpstr>
      <vt:lpstr>債券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CTL</dc:creator>
  <cp:lastModifiedBy>Leo Hsiung</cp:lastModifiedBy>
  <dcterms:created xsi:type="dcterms:W3CDTF">2016-01-29T08:01:22Z</dcterms:created>
  <dcterms:modified xsi:type="dcterms:W3CDTF">2020-02-20T05:43:14Z</dcterms:modified>
</cp:coreProperties>
</file>