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ema/Desktop/"/>
    </mc:Choice>
  </mc:AlternateContent>
  <xr:revisionPtr revIDLastSave="0" documentId="8_{9299EE6C-1805-2C4D-914E-D40947406194}" xr6:coauthVersionLast="45" xr6:coauthVersionMax="45" xr10:uidLastSave="{00000000-0000-0000-0000-000000000000}"/>
  <bookViews>
    <workbookView xWindow="0" yWindow="460" windowWidth="23260" windowHeight="13180" xr2:uid="{4D7FAF03-E9E7-4F34-91EF-11E96BBEA27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5" i="1" l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6" i="1"/>
  <c r="K5" i="1"/>
  <c r="K4" i="1"/>
  <c r="K3" i="1"/>
  <c r="K2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4" i="1"/>
  <c r="I3" i="1"/>
  <c r="I2" i="1"/>
</calcChain>
</file>

<file path=xl/sharedStrings.xml><?xml version="1.0" encoding="utf-8"?>
<sst xmlns="http://schemas.openxmlformats.org/spreadsheetml/2006/main" count="74" uniqueCount="74">
  <si>
    <t>Algeria</t>
  </si>
  <si>
    <t>Argentina</t>
  </si>
  <si>
    <t>Armenia</t>
  </si>
  <si>
    <t>Australia</t>
  </si>
  <si>
    <t>Austria</t>
  </si>
  <si>
    <t>Belgium</t>
  </si>
  <si>
    <t>Brazil</t>
  </si>
  <si>
    <t>Bulgaria</t>
  </si>
  <si>
    <t>Canada</t>
  </si>
  <si>
    <t>Chile</t>
  </si>
  <si>
    <t>China</t>
  </si>
  <si>
    <t>Colombia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</si>
  <si>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</si>
  <si>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</si>
  <si>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</si>
  <si>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</si>
  <si>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</si>
  <si>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</si>
  <si>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</si>
  <si>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</si>
  <si>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</si>
  <si>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</si>
  <si>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</si>
  <si>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</si>
  <si>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</si>
  <si>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</si>
  <si>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</si>
  <si>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India</t>
  </si>
  <si>
    <t>Ireland</t>
  </si>
  <si>
    <t>Italy</t>
  </si>
  <si>
    <t>Japan</t>
  </si>
  <si>
    <t>Latvia</t>
  </si>
  <si>
    <t>Lithuania</t>
  </si>
  <si>
    <t>Luxembourg</t>
  </si>
  <si>
    <t>Malta</t>
  </si>
  <si>
    <t>Mexico</t>
  </si>
  <si>
    <t>Netherlands</t>
  </si>
  <si>
    <t>New Zealand</t>
  </si>
  <si>
    <t>Norway</t>
  </si>
  <si>
    <t>Peru</t>
  </si>
  <si>
    <t>Poland</t>
  </si>
  <si>
    <t>Portugal</t>
  </si>
  <si>
    <t>Romania</t>
  </si>
  <si>
    <t>Russia</t>
  </si>
  <si>
    <t>Saudi Arabia</t>
  </si>
  <si>
    <t>Slovakia</t>
  </si>
  <si>
    <t>Slovenia</t>
  </si>
  <si>
    <t>Spain</t>
  </si>
  <si>
    <t>Sweden</t>
  </si>
  <si>
    <t>Switzerland</t>
  </si>
  <si>
    <t>Turkey</t>
  </si>
  <si>
    <t>United Arab Emirates</t>
  </si>
  <si>
    <t>United Kingdom</t>
  </si>
  <si>
    <t>United States</t>
  </si>
  <si>
    <t>country</t>
  </si>
  <si>
    <t>deaths</t>
  </si>
  <si>
    <t>population</t>
  </si>
  <si>
    <t>median_age</t>
  </si>
  <si>
    <t>diabetes</t>
  </si>
  <si>
    <t>smokers</t>
  </si>
  <si>
    <t>health_exp</t>
  </si>
  <si>
    <t>obesity</t>
  </si>
  <si>
    <t>cancer</t>
  </si>
  <si>
    <t>gini</t>
  </si>
  <si>
    <t>HDI</t>
  </si>
  <si>
    <t>pop.denisty</t>
  </si>
  <si>
    <t>65_older</t>
  </si>
  <si>
    <t>70_older</t>
  </si>
  <si>
    <t>GDP</t>
  </si>
  <si>
    <t>cardiovasc</t>
  </si>
  <si>
    <t>COPD</t>
  </si>
  <si>
    <t>CKD</t>
  </si>
  <si>
    <t>organ_transp</t>
  </si>
  <si>
    <t>asthma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</si>
</sst>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1" applyNumberFormat="1" applyFont="1" applyAlignment="1">
      <alignment horizontal="right"/>
    </xf>
    <xf numFmtId="2" fontId="0" fillId="0" borderId="0" xfId="2" applyNumberFormat="1" applyFont="1"/>
    <xf numFmtId="2" fontId="0" fillId="0" borderId="0" xfId="0" applyNumberFormat="1"/>
  </cellXfs>
  <cellStyles count="3">
    <cellStyle name="Komma" xfId="1" builtinId="3"/>
    <cellStyle name="Normal" xfId="0" builtinId="0"/>
    <cellStyle name="Pro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5FA7-C31F-4EA3-873D-054F9115D0A4}">
  <dimension ref="A1:T55"/>
  <sheetViews>
    <sheetView tabSelected="1" workbookViewId="0">
      <selection activeCell="S1" sqref="S1"/>
    </sheetView>
  </sheetViews>
  <sheetFormatPr baseColWidth="10" defaultColWidth="8.83203125" defaultRowHeight="15" x14ac:dyDescent="0.2"/>
  <cols>
    <col min="2" max="2" width="9.5" bestFit="1" customWidth="1"/>
    <col min="3" max="3" width="26.5" customWidth="1"/>
    <col min="4" max="4" width="17.1640625" customWidth="1"/>
    <col min="5" max="5" width="11.33203125" customWidth="1"/>
    <col min="6" max="6" width="12.33203125" customWidth="1"/>
    <col min="7" max="7" width="12.6640625" customWidth="1"/>
    <col min="8" max="8" width="13.5" customWidth="1"/>
    <col min="9" max="9" width="15.83203125" customWidth="1"/>
    <col min="10" max="10" width="9" bestFit="1" customWidth="1"/>
    <col min="11" max="11" width="12" customWidth="1"/>
    <col min="12" max="12" width="23.5" customWidth="1"/>
    <col min="13" max="13" width="11.83203125" customWidth="1"/>
    <col min="14" max="14" width="12.5" bestFit="1" customWidth="1"/>
    <col min="15" max="15" width="18.1640625" customWidth="1"/>
    <col min="16" max="16" width="9" bestFit="1" customWidth="1"/>
    <col min="17" max="17" width="16.1640625" customWidth="1"/>
    <col min="18" max="18" width="10.83203125" customWidth="1"/>
    <col min="19" max="19" width="11.5" bestFit="1" customWidth="1"/>
    <col min="20" max="20" width="9" bestFit="1" customWidth="1"/>
  </cols>
  <sheetData>
    <row r="1" spans="1:20" x14ac:dyDescent="0.2">
      <c r="A1" t="s">
        <v>54</v>
      </c>
      <c r="B1" t="s">
        <v>55</v>
      </c>
      <c r="C1" t="s">
        <v>56</v>
      </c>
      <c r="D1" t="s">
        <v>65</v>
      </c>
      <c r="E1" t="s">
        <v>57</v>
      </c>
      <c r="F1" t="s">
        <v>66</v>
      </c>
      <c r="G1" t="s">
        <v>67</v>
      </c>
      <c r="H1" t="s">
        <v>68</v>
      </c>
      <c r="I1" t="s">
        <v>69</v>
      </c>
      <c r="J1" t="s">
        <v>58</v>
      </c>
      <c r="K1" t="s">
        <v>59</v>
      </c>
      <c r="L1" t="s">
        <v>64</v>
      </c>
      <c r="M1" t="s">
        <v>70</v>
      </c>
      <c r="N1" t="s">
        <v>71</v>
      </c>
      <c r="O1" t="s">
        <v>60</v>
      </c>
      <c r="P1" t="s">
        <v>61</v>
      </c>
      <c r="Q1" t="s">
        <v>72</v>
      </c>
      <c r="R1" t="s">
        <v>73</v>
      </c>
      <c r="S1" t="s">
        <v>62</v>
      </c>
      <c r="T1" t="s">
        <v>63</v>
      </c>
    </row>
    <row r="2" spans="1:20" x14ac:dyDescent="0.2">
      <c r="A2" t="s">
        <v>0</v>
      </c>
      <c r="B2" s="3">
        <v>2036</v>
      </c>
      <c r="C2" s="3">
        <v>43851043</v>
      </c>
      <c r="D2" s="3">
        <v>17.350000000000001</v>
      </c>
      <c r="E2" s="3">
        <v>29.1</v>
      </c>
      <c r="F2" s="3">
        <v>6.21</v>
      </c>
      <c r="G2" s="3">
        <v>3.86</v>
      </c>
      <c r="H2" s="3">
        <v>13913.84</v>
      </c>
      <c r="I2" s="3">
        <f>6334.97</f>
        <v>6334.97</v>
      </c>
      <c r="J2" s="3">
        <f>6714.99</f>
        <v>6714.99</v>
      </c>
      <c r="K2" s="2">
        <f>15.6</f>
        <v>15.6</v>
      </c>
      <c r="L2" s="3">
        <v>0.75</v>
      </c>
      <c r="M2" s="3">
        <v>1502.49</v>
      </c>
      <c r="N2" s="3">
        <v>3772933.92</v>
      </c>
      <c r="O2" s="3">
        <v>7.0000000000000007E-2</v>
      </c>
      <c r="P2" s="3">
        <v>27.4</v>
      </c>
      <c r="Q2" s="3">
        <v>282</v>
      </c>
      <c r="R2" s="3">
        <v>3135</v>
      </c>
      <c r="S2" s="3">
        <v>203242.36</v>
      </c>
      <c r="T2" s="3">
        <v>27.6</v>
      </c>
    </row>
    <row r="3" spans="1:20" x14ac:dyDescent="0.2">
      <c r="A3" t="s">
        <v>1</v>
      </c>
      <c r="B3" s="3">
        <v>33348</v>
      </c>
      <c r="C3" s="3">
        <v>45195777</v>
      </c>
      <c r="D3" s="3">
        <v>16.18</v>
      </c>
      <c r="E3" s="3">
        <v>31.9</v>
      </c>
      <c r="F3" s="3">
        <v>11.2</v>
      </c>
      <c r="G3" s="3">
        <v>7.44</v>
      </c>
      <c r="H3" s="3">
        <v>18933.91</v>
      </c>
      <c r="I3" s="3">
        <f>5952.76</f>
        <v>5952.76</v>
      </c>
      <c r="J3" s="3">
        <f>5636.39</f>
        <v>5636.39</v>
      </c>
      <c r="K3" s="2">
        <f>21.8</f>
        <v>21.8</v>
      </c>
      <c r="L3" s="3">
        <v>0.83</v>
      </c>
      <c r="M3" s="3">
        <v>3478.84</v>
      </c>
      <c r="N3" s="3">
        <v>3663547.73</v>
      </c>
      <c r="O3" s="3">
        <v>0.05</v>
      </c>
      <c r="P3" s="3">
        <v>28.3</v>
      </c>
      <c r="Q3" s="3">
        <v>2417</v>
      </c>
      <c r="R3" s="3">
        <v>7170.4</v>
      </c>
      <c r="S3" s="3">
        <v>545859.04</v>
      </c>
      <c r="T3" s="3">
        <v>41.4</v>
      </c>
    </row>
    <row r="4" spans="1:20" x14ac:dyDescent="0.2">
      <c r="A4" t="s">
        <v>2</v>
      </c>
      <c r="B4" s="3">
        <v>1559</v>
      </c>
      <c r="C4" s="3">
        <v>2963234</v>
      </c>
      <c r="D4" s="3">
        <v>102.93</v>
      </c>
      <c r="E4" s="3">
        <v>35.700000000000003</v>
      </c>
      <c r="F4" s="3">
        <v>11.23</v>
      </c>
      <c r="G4" s="3">
        <v>7.57</v>
      </c>
      <c r="H4" s="3">
        <v>8787.58</v>
      </c>
      <c r="I4" s="1">
        <f>9991.01</f>
        <v>9991.01</v>
      </c>
      <c r="J4" s="3">
        <f>7135.14</f>
        <v>7135.14</v>
      </c>
      <c r="K4" s="2">
        <f>24.1</f>
        <v>24.1</v>
      </c>
      <c r="L4" s="3">
        <v>0.76</v>
      </c>
      <c r="M4" s="3">
        <v>3096.97</v>
      </c>
      <c r="N4" s="3">
        <v>350496.53</v>
      </c>
      <c r="O4" s="3">
        <v>0.04</v>
      </c>
      <c r="P4" s="3">
        <v>20.2</v>
      </c>
      <c r="Q4" s="3">
        <v>23</v>
      </c>
      <c r="R4" s="3">
        <v>2060.34</v>
      </c>
      <c r="S4" s="3">
        <v>37262.730000000003</v>
      </c>
      <c r="T4" s="3">
        <v>34.4</v>
      </c>
    </row>
    <row r="5" spans="1:20" x14ac:dyDescent="0.2">
      <c r="A5" t="s">
        <v>3</v>
      </c>
      <c r="B5" s="3">
        <v>907</v>
      </c>
      <c r="C5" s="3">
        <v>25499881</v>
      </c>
      <c r="D5" s="3">
        <v>3.2</v>
      </c>
      <c r="E5" s="3">
        <v>37.9</v>
      </c>
      <c r="F5" s="3">
        <v>15.5</v>
      </c>
      <c r="G5" s="3">
        <v>10.130000000000001</v>
      </c>
      <c r="H5" s="3">
        <v>44648.71</v>
      </c>
      <c r="I5" s="3">
        <v>10521.63</v>
      </c>
      <c r="J5" s="3">
        <f>5320.97</f>
        <v>5320.97</v>
      </c>
      <c r="K5" s="2">
        <f>14.7</f>
        <v>14.7</v>
      </c>
      <c r="L5" s="3">
        <v>0.94</v>
      </c>
      <c r="M5" s="3">
        <v>5228.8</v>
      </c>
      <c r="N5" s="3">
        <v>2486707.2400000002</v>
      </c>
      <c r="O5" s="3">
        <v>0.09</v>
      </c>
      <c r="P5" s="3">
        <v>29</v>
      </c>
      <c r="Q5" s="3">
        <v>1741</v>
      </c>
      <c r="R5" s="3">
        <v>8332.27</v>
      </c>
      <c r="S5" s="3">
        <v>972873.51</v>
      </c>
      <c r="T5" s="3">
        <v>34.4</v>
      </c>
    </row>
    <row r="6" spans="1:20" x14ac:dyDescent="0.2">
      <c r="A6" t="s">
        <v>4</v>
      </c>
      <c r="B6" s="3">
        <v>1318</v>
      </c>
      <c r="C6" s="3">
        <v>9006400</v>
      </c>
      <c r="D6" s="3">
        <v>106.75</v>
      </c>
      <c r="E6" s="3">
        <v>44.4</v>
      </c>
      <c r="F6" s="3">
        <v>19.2</v>
      </c>
      <c r="G6" s="3">
        <v>13.75</v>
      </c>
      <c r="H6" s="3">
        <v>45436.69</v>
      </c>
      <c r="I6" s="3">
        <f>11877.07</f>
        <v>11877.07</v>
      </c>
      <c r="J6" s="3">
        <f>6823.2</f>
        <v>6823.2</v>
      </c>
      <c r="K6" s="2">
        <f>29.6</f>
        <v>29.6</v>
      </c>
      <c r="L6" s="3">
        <v>0.91</v>
      </c>
      <c r="M6" s="3">
        <v>5884.07</v>
      </c>
      <c r="N6" s="3">
        <v>980331.46</v>
      </c>
      <c r="O6" s="3">
        <v>0.11</v>
      </c>
      <c r="P6" s="3">
        <v>20.100000000000001</v>
      </c>
      <c r="Q6" s="3">
        <v>720</v>
      </c>
      <c r="R6" s="3">
        <v>5493.78</v>
      </c>
      <c r="S6" s="3">
        <v>290814.96000000002</v>
      </c>
      <c r="T6" s="3">
        <v>29.7</v>
      </c>
    </row>
    <row r="7" spans="1:20" x14ac:dyDescent="0.2">
      <c r="A7" t="s">
        <v>5</v>
      </c>
      <c r="B7" s="3">
        <v>13203</v>
      </c>
      <c r="C7" s="3">
        <v>11589616</v>
      </c>
      <c r="D7" s="3">
        <v>375.56</v>
      </c>
      <c r="E7" s="3">
        <v>41.8</v>
      </c>
      <c r="F7" s="3">
        <v>18.57</v>
      </c>
      <c r="G7" s="3">
        <v>12.85</v>
      </c>
      <c r="H7" s="3">
        <v>42658.58</v>
      </c>
      <c r="I7" s="3">
        <f>10359.61</f>
        <v>10359.61</v>
      </c>
      <c r="J7" s="3">
        <f>7170.28</f>
        <v>7170.28</v>
      </c>
      <c r="K7" s="2">
        <f>28.2</f>
        <v>28.2</v>
      </c>
      <c r="L7" s="3">
        <v>0.92</v>
      </c>
      <c r="M7" s="3">
        <v>7470</v>
      </c>
      <c r="N7" s="3">
        <v>1183864.58</v>
      </c>
      <c r="O7" s="3">
        <v>0.11</v>
      </c>
      <c r="P7" s="3">
        <v>22.1</v>
      </c>
      <c r="Q7" s="3">
        <v>934</v>
      </c>
      <c r="R7" s="3">
        <v>4751.2299999999996</v>
      </c>
      <c r="S7" s="3">
        <v>357881.73</v>
      </c>
      <c r="T7" s="3">
        <v>27.4</v>
      </c>
    </row>
    <row r="8" spans="1:20" x14ac:dyDescent="0.2">
      <c r="A8" t="s">
        <v>6</v>
      </c>
      <c r="B8" s="3">
        <v>162269</v>
      </c>
      <c r="C8" s="3">
        <v>212559409</v>
      </c>
      <c r="D8" s="3">
        <v>25.04</v>
      </c>
      <c r="E8" s="3">
        <v>33.5</v>
      </c>
      <c r="F8" s="3">
        <v>8.5500000000000007</v>
      </c>
      <c r="G8" s="3">
        <v>5.0599999999999996</v>
      </c>
      <c r="H8" s="3">
        <v>14103.45</v>
      </c>
      <c r="I8" s="3">
        <f>5883.25</f>
        <v>5883.25</v>
      </c>
      <c r="J8" s="3">
        <f>5541.75</f>
        <v>5541.75</v>
      </c>
      <c r="K8" s="2">
        <f>13.9</f>
        <v>13.9</v>
      </c>
      <c r="L8" s="3">
        <v>0.76</v>
      </c>
      <c r="M8" s="3">
        <v>2874.61</v>
      </c>
      <c r="N8" s="3">
        <v>17401507.98</v>
      </c>
      <c r="O8" s="3">
        <v>0.08</v>
      </c>
      <c r="P8" s="3">
        <v>22.1</v>
      </c>
      <c r="Q8" s="3">
        <v>9232</v>
      </c>
      <c r="R8" s="3">
        <v>4393.9799999999996</v>
      </c>
      <c r="S8" s="3">
        <v>1712421.31</v>
      </c>
      <c r="T8" s="3">
        <v>53.9</v>
      </c>
    </row>
    <row r="9" spans="1:20" x14ac:dyDescent="0.2">
      <c r="A9" t="s">
        <v>7</v>
      </c>
      <c r="B9" s="3">
        <v>1632</v>
      </c>
      <c r="C9" s="3">
        <v>6948445</v>
      </c>
      <c r="D9" s="3">
        <v>65.180000000000007</v>
      </c>
      <c r="E9" s="3">
        <v>44.7</v>
      </c>
      <c r="F9" s="3">
        <v>20.8</v>
      </c>
      <c r="G9" s="3">
        <v>13.27</v>
      </c>
      <c r="H9" s="3">
        <v>18563.310000000001</v>
      </c>
      <c r="I9" s="3">
        <f>14464.09</f>
        <v>14464.09</v>
      </c>
      <c r="J9" s="3">
        <f>9068.62</f>
        <v>9068.6200000000008</v>
      </c>
      <c r="K9" s="2">
        <f>37</f>
        <v>37</v>
      </c>
      <c r="L9" s="3">
        <v>0.81</v>
      </c>
      <c r="M9" s="3">
        <v>4831.62</v>
      </c>
      <c r="N9" s="3">
        <v>943474.54</v>
      </c>
      <c r="O9" s="3">
        <v>0.08</v>
      </c>
      <c r="P9" s="3">
        <v>25</v>
      </c>
      <c r="Q9" s="3">
        <v>53</v>
      </c>
      <c r="R9" s="3">
        <v>3760.88</v>
      </c>
      <c r="S9" s="3">
        <v>177372.9</v>
      </c>
      <c r="T9" s="3">
        <v>40.4</v>
      </c>
    </row>
    <row r="10" spans="1:20" x14ac:dyDescent="0.2">
      <c r="A10" t="s">
        <v>8</v>
      </c>
      <c r="B10" s="3">
        <v>10490</v>
      </c>
      <c r="C10" s="3">
        <v>37742157</v>
      </c>
      <c r="D10" s="3">
        <v>4.04</v>
      </c>
      <c r="E10" s="3">
        <v>41.4</v>
      </c>
      <c r="F10" s="3">
        <v>16.98</v>
      </c>
      <c r="G10" s="3">
        <v>10.8</v>
      </c>
      <c r="H10" s="3">
        <v>44017.59</v>
      </c>
      <c r="I10" s="3">
        <f>11771.44</f>
        <v>11771.44</v>
      </c>
      <c r="J10" s="3">
        <f>5546.97</f>
        <v>5546.97</v>
      </c>
      <c r="K10" s="2">
        <f>14.3</f>
        <v>14.3</v>
      </c>
      <c r="L10" s="3">
        <v>0.93</v>
      </c>
      <c r="M10" s="3">
        <v>4978.88</v>
      </c>
      <c r="N10" s="3">
        <v>3729185.77</v>
      </c>
      <c r="O10" s="3">
        <v>0.1</v>
      </c>
      <c r="P10" s="3">
        <v>29.4</v>
      </c>
      <c r="Q10" s="3">
        <v>3091</v>
      </c>
      <c r="R10" s="3">
        <v>4519.01</v>
      </c>
      <c r="S10" s="3">
        <v>2240623.27</v>
      </c>
      <c r="T10" s="3">
        <v>33.299999999999997</v>
      </c>
    </row>
    <row r="11" spans="1:20" x14ac:dyDescent="0.2">
      <c r="A11" t="s">
        <v>9</v>
      </c>
      <c r="B11" s="3">
        <v>14499</v>
      </c>
      <c r="C11" s="3">
        <v>19116209</v>
      </c>
      <c r="D11" s="3">
        <v>24.28</v>
      </c>
      <c r="E11" s="3">
        <v>35.4</v>
      </c>
      <c r="F11" s="3">
        <v>11.09</v>
      </c>
      <c r="G11" s="3">
        <v>6.94</v>
      </c>
      <c r="H11" s="3">
        <v>22767.040000000001</v>
      </c>
      <c r="I11" s="3">
        <f>6003.17</f>
        <v>6003.17</v>
      </c>
      <c r="J11" s="3">
        <f>7503.46</f>
        <v>7503.46</v>
      </c>
      <c r="K11" s="2">
        <f>37.8</f>
        <v>37.799999999999997</v>
      </c>
      <c r="L11" s="3">
        <v>0.84</v>
      </c>
      <c r="M11" s="3">
        <v>2759.1</v>
      </c>
      <c r="N11" s="3">
        <v>1740148.64</v>
      </c>
      <c r="O11" s="3">
        <v>0.08</v>
      </c>
      <c r="P11" s="3">
        <v>28</v>
      </c>
      <c r="Q11" s="3">
        <v>651</v>
      </c>
      <c r="R11" s="3">
        <v>5444.31</v>
      </c>
      <c r="S11" s="3">
        <v>248982.3</v>
      </c>
      <c r="T11" s="3">
        <v>44.4</v>
      </c>
    </row>
    <row r="12" spans="1:20" x14ac:dyDescent="0.2">
      <c r="A12" t="s">
        <v>10</v>
      </c>
      <c r="B12" s="3">
        <v>4739</v>
      </c>
      <c r="C12" s="3">
        <v>1439323774</v>
      </c>
      <c r="D12" s="3">
        <v>147.66999999999999</v>
      </c>
      <c r="E12" s="3">
        <v>38.700000000000003</v>
      </c>
      <c r="F12" s="3">
        <v>10.64</v>
      </c>
      <c r="G12" s="3">
        <v>5.93</v>
      </c>
      <c r="H12" s="3">
        <v>15308.71</v>
      </c>
      <c r="I12" s="3">
        <f>8460.08</f>
        <v>8460.08</v>
      </c>
      <c r="J12" s="3">
        <f>6328.79</f>
        <v>6328.79</v>
      </c>
      <c r="K12" s="2">
        <f>25.6</f>
        <v>25.6</v>
      </c>
      <c r="L12" s="3">
        <v>0.75</v>
      </c>
      <c r="M12" s="3">
        <v>3175.37</v>
      </c>
      <c r="N12" s="3">
        <v>150497489.63999999</v>
      </c>
      <c r="O12" s="3">
        <v>0.06</v>
      </c>
      <c r="P12" s="3">
        <v>6.2</v>
      </c>
      <c r="Q12" s="3">
        <v>19462</v>
      </c>
      <c r="R12" s="3">
        <v>1741.27</v>
      </c>
      <c r="S12" s="3">
        <v>22421327.890000001</v>
      </c>
      <c r="T12" s="3">
        <v>38.5</v>
      </c>
    </row>
    <row r="13" spans="1:20" x14ac:dyDescent="0.2">
      <c r="A13" t="s">
        <v>11</v>
      </c>
      <c r="B13" s="3">
        <v>32595</v>
      </c>
      <c r="C13" s="3">
        <v>50882884</v>
      </c>
      <c r="D13" s="3">
        <v>44.22</v>
      </c>
      <c r="E13" s="3">
        <v>32.200000000000003</v>
      </c>
      <c r="F13" s="3">
        <v>7.65</v>
      </c>
      <c r="G13" s="3">
        <v>4.3099999999999996</v>
      </c>
      <c r="H13" s="3">
        <v>13254.95</v>
      </c>
      <c r="I13" s="3">
        <f>4773.92</f>
        <v>4773.92</v>
      </c>
      <c r="J13" s="3">
        <f>7432.92</f>
        <v>7432.92</v>
      </c>
      <c r="K13" s="2">
        <f>9</f>
        <v>9</v>
      </c>
      <c r="L13" s="3">
        <v>0.75</v>
      </c>
      <c r="M13" s="3">
        <v>2761.77</v>
      </c>
      <c r="N13" s="3">
        <v>5218661.6100000003</v>
      </c>
      <c r="O13" s="3">
        <v>7.0000000000000007E-2</v>
      </c>
      <c r="P13" s="3">
        <v>22.3</v>
      </c>
      <c r="Q13" s="3">
        <v>1318</v>
      </c>
      <c r="R13" s="3">
        <v>3247.17</v>
      </c>
      <c r="S13" s="3">
        <v>439379.82</v>
      </c>
      <c r="T13" s="3">
        <v>50.4</v>
      </c>
    </row>
    <row r="14" spans="1:20" x14ac:dyDescent="0.2">
      <c r="A14" t="s">
        <v>12</v>
      </c>
      <c r="B14" s="3">
        <v>1464</v>
      </c>
      <c r="C14" s="3">
        <v>5094114</v>
      </c>
      <c r="D14" s="3">
        <v>96.08</v>
      </c>
      <c r="E14" s="3">
        <v>33.6</v>
      </c>
      <c r="F14" s="3">
        <v>9.4700000000000006</v>
      </c>
      <c r="G14" s="3">
        <v>5.69</v>
      </c>
      <c r="H14" s="3">
        <v>15525</v>
      </c>
      <c r="I14" s="3">
        <f>5769.9</f>
        <v>5769.9</v>
      </c>
      <c r="J14" s="3">
        <f>8000.82</f>
        <v>8000.82</v>
      </c>
      <c r="K14" s="2">
        <f>11.9</f>
        <v>11.9</v>
      </c>
      <c r="L14" s="3">
        <v>0.79</v>
      </c>
      <c r="M14" s="3">
        <v>2266.54</v>
      </c>
      <c r="N14" s="3">
        <v>660836.43999999994</v>
      </c>
      <c r="O14" s="3">
        <v>0.09</v>
      </c>
      <c r="P14" s="3">
        <v>25.7</v>
      </c>
      <c r="Q14" s="3">
        <v>106</v>
      </c>
      <c r="R14" s="3">
        <v>5229.28</v>
      </c>
      <c r="S14" s="3">
        <v>61778.75</v>
      </c>
      <c r="T14" s="3">
        <v>48</v>
      </c>
    </row>
    <row r="15" spans="1:20" x14ac:dyDescent="0.2">
      <c r="A15" t="s">
        <v>13</v>
      </c>
      <c r="B15" s="3">
        <v>752</v>
      </c>
      <c r="C15" s="3">
        <v>4105268</v>
      </c>
      <c r="D15" s="3">
        <v>73.73</v>
      </c>
      <c r="E15" s="3">
        <v>44</v>
      </c>
      <c r="F15" s="3">
        <v>19.72</v>
      </c>
      <c r="G15" s="3">
        <v>13.05</v>
      </c>
      <c r="H15" s="3">
        <v>22669.8</v>
      </c>
      <c r="I15" s="3">
        <f>13209.46</f>
        <v>13209.46</v>
      </c>
      <c r="J15" s="3">
        <f>10230.82</f>
        <v>10230.82</v>
      </c>
      <c r="K15" s="2">
        <f>37</f>
        <v>37</v>
      </c>
      <c r="L15" s="3">
        <v>0.83</v>
      </c>
      <c r="M15" s="3">
        <v>5163.59</v>
      </c>
      <c r="N15" s="3">
        <v>580414.94999999995</v>
      </c>
      <c r="O15" s="3">
        <v>0.08</v>
      </c>
      <c r="P15" s="3">
        <v>24.4</v>
      </c>
      <c r="Q15" s="3">
        <v>301</v>
      </c>
      <c r="R15" s="3">
        <v>4427.5600000000004</v>
      </c>
      <c r="S15" s="3">
        <v>139083.66</v>
      </c>
      <c r="T15" s="3">
        <v>30.4</v>
      </c>
    </row>
    <row r="16" spans="1:20" x14ac:dyDescent="0.2">
      <c r="A16" t="s">
        <v>14</v>
      </c>
      <c r="B16" s="3">
        <v>27</v>
      </c>
      <c r="C16" s="3">
        <v>875899</v>
      </c>
      <c r="D16" s="3">
        <v>127.66</v>
      </c>
      <c r="E16" s="3">
        <v>37.299999999999997</v>
      </c>
      <c r="F16" s="3">
        <v>13.42</v>
      </c>
      <c r="G16" s="3">
        <v>8.56</v>
      </c>
      <c r="H16" s="3">
        <v>32415.13</v>
      </c>
      <c r="I16" s="3">
        <f>7447.75</f>
        <v>7447.75</v>
      </c>
      <c r="J16" s="3">
        <f>8495.25</f>
        <v>8495.25</v>
      </c>
      <c r="K16" s="2">
        <f>36.4</f>
        <v>36.4</v>
      </c>
      <c r="L16" s="3">
        <v>0.87</v>
      </c>
      <c r="M16" s="3">
        <v>3921.65</v>
      </c>
      <c r="N16" s="3">
        <v>115294.24</v>
      </c>
      <c r="O16" s="3">
        <v>7.0000000000000007E-2</v>
      </c>
      <c r="P16" s="3">
        <v>21.8</v>
      </c>
      <c r="Q16" s="3">
        <v>15</v>
      </c>
      <c r="R16" s="3">
        <v>7577.2</v>
      </c>
      <c r="S16" s="3">
        <v>29335.94</v>
      </c>
      <c r="T16" s="3">
        <v>31.4</v>
      </c>
    </row>
    <row r="17" spans="1:20" x14ac:dyDescent="0.2">
      <c r="A17" t="s">
        <v>15</v>
      </c>
      <c r="B17" s="3">
        <v>4681</v>
      </c>
      <c r="C17" s="3">
        <v>10708982</v>
      </c>
      <c r="D17" s="3">
        <v>137.18</v>
      </c>
      <c r="E17" s="3">
        <v>43.3</v>
      </c>
      <c r="F17" s="3">
        <v>19.03</v>
      </c>
      <c r="G17" s="3">
        <v>11.58</v>
      </c>
      <c r="H17" s="3">
        <v>32605.91</v>
      </c>
      <c r="I17" s="3">
        <f>14393.11</f>
        <v>14393.11</v>
      </c>
      <c r="J17" s="3">
        <f>15199.03</f>
        <v>15199.03</v>
      </c>
      <c r="K17" s="2">
        <f>34.3</f>
        <v>34.299999999999997</v>
      </c>
      <c r="L17" s="3">
        <v>0.89</v>
      </c>
      <c r="M17" s="3">
        <v>4603.28</v>
      </c>
      <c r="N17" s="3">
        <v>1303238.6299999999</v>
      </c>
      <c r="O17" s="3">
        <v>7.0000000000000007E-2</v>
      </c>
      <c r="P17" s="3">
        <v>26</v>
      </c>
      <c r="Q17" s="3">
        <v>865</v>
      </c>
      <c r="R17" s="3">
        <v>3072.79</v>
      </c>
      <c r="S17" s="3">
        <v>332365.18</v>
      </c>
      <c r="T17" s="3">
        <v>24.9</v>
      </c>
    </row>
    <row r="18" spans="1:20" x14ac:dyDescent="0.2">
      <c r="A18" t="s">
        <v>16</v>
      </c>
      <c r="B18" s="3">
        <v>740</v>
      </c>
      <c r="C18" s="3">
        <v>5792203</v>
      </c>
      <c r="D18" s="3">
        <v>136.52000000000001</v>
      </c>
      <c r="E18" s="3">
        <v>42.3</v>
      </c>
      <c r="F18" s="3">
        <v>19.68</v>
      </c>
      <c r="G18" s="3">
        <v>12.33</v>
      </c>
      <c r="H18" s="3">
        <v>46682.52</v>
      </c>
      <c r="I18" s="3">
        <f>10669.84</f>
        <v>10669.84</v>
      </c>
      <c r="J18" s="3">
        <f>6175.82</f>
        <v>6175.82</v>
      </c>
      <c r="K18" s="2">
        <f>19.1</f>
        <v>19.100000000000001</v>
      </c>
      <c r="L18" s="3">
        <v>0.93</v>
      </c>
      <c r="M18" s="3">
        <v>8200.25</v>
      </c>
      <c r="N18" s="3">
        <v>579903.92000000004</v>
      </c>
      <c r="O18" s="3">
        <v>0.11</v>
      </c>
      <c r="P18" s="3">
        <v>19.7</v>
      </c>
      <c r="Q18" s="3">
        <v>406</v>
      </c>
      <c r="R18" s="3">
        <v>4866.24</v>
      </c>
      <c r="S18" s="3">
        <v>217934.28</v>
      </c>
      <c r="T18" s="3">
        <v>28.7</v>
      </c>
    </row>
    <row r="19" spans="1:20" x14ac:dyDescent="0.2">
      <c r="A19" t="s">
        <v>17</v>
      </c>
      <c r="B19" s="3">
        <v>2263</v>
      </c>
      <c r="C19" s="3">
        <v>10847904</v>
      </c>
      <c r="D19" s="3">
        <v>222.87</v>
      </c>
      <c r="E19" s="3">
        <v>27.6</v>
      </c>
      <c r="F19" s="3">
        <v>6.98</v>
      </c>
      <c r="G19" s="3">
        <v>4.42</v>
      </c>
      <c r="H19" s="3">
        <v>14600.86</v>
      </c>
      <c r="I19" s="3">
        <f>5825.27</f>
        <v>5825.27</v>
      </c>
      <c r="J19" s="3">
        <f>3972.17</f>
        <v>3972.17</v>
      </c>
      <c r="K19" s="2">
        <f>13.7</f>
        <v>13.7</v>
      </c>
      <c r="L19" s="3">
        <v>0.74</v>
      </c>
      <c r="M19" s="3">
        <v>1188.02</v>
      </c>
      <c r="N19" s="3">
        <v>790697.22</v>
      </c>
      <c r="O19" s="3">
        <v>0.04</v>
      </c>
      <c r="P19" s="3">
        <v>27.6</v>
      </c>
      <c r="Q19" s="3">
        <v>91</v>
      </c>
      <c r="R19" s="3">
        <v>3861.04</v>
      </c>
      <c r="S19" s="3">
        <v>68699.75</v>
      </c>
      <c r="T19" s="3">
        <v>43.7</v>
      </c>
    </row>
    <row r="20" spans="1:20" x14ac:dyDescent="0.2">
      <c r="A20" t="s">
        <v>18</v>
      </c>
      <c r="B20" s="3">
        <v>12815</v>
      </c>
      <c r="C20" s="3">
        <v>17643060</v>
      </c>
      <c r="D20" s="3">
        <v>66.94</v>
      </c>
      <c r="E20" s="3">
        <v>28.1</v>
      </c>
      <c r="F20" s="3">
        <v>7.1</v>
      </c>
      <c r="G20" s="3">
        <v>4.46</v>
      </c>
      <c r="H20" s="3">
        <v>10581.94</v>
      </c>
      <c r="I20" s="3">
        <f>3957.24</f>
        <v>3957.24</v>
      </c>
      <c r="J20" s="3">
        <f>4833.53</f>
        <v>4833.53</v>
      </c>
      <c r="K20" s="2">
        <f>7.1</f>
        <v>7.1</v>
      </c>
      <c r="L20" s="3">
        <v>0.75</v>
      </c>
      <c r="M20" s="3">
        <v>1235.07</v>
      </c>
      <c r="N20" s="3">
        <v>1379176.09</v>
      </c>
      <c r="O20" s="3">
        <v>0.09</v>
      </c>
      <c r="P20" s="3">
        <v>19.899999999999999</v>
      </c>
      <c r="Q20" s="3">
        <v>262</v>
      </c>
      <c r="R20" s="3">
        <v>4002.4</v>
      </c>
      <c r="S20" s="3">
        <v>100582.95</v>
      </c>
      <c r="T20" s="3">
        <v>45.4</v>
      </c>
    </row>
    <row r="21" spans="1:20" x14ac:dyDescent="0.2">
      <c r="A21" t="s">
        <v>19</v>
      </c>
      <c r="B21" s="3">
        <v>73</v>
      </c>
      <c r="C21" s="3">
        <v>1326539</v>
      </c>
      <c r="D21" s="3">
        <v>31.03</v>
      </c>
      <c r="E21" s="3">
        <v>42.7</v>
      </c>
      <c r="F21" s="3">
        <v>19.45</v>
      </c>
      <c r="G21" s="3">
        <v>13.49</v>
      </c>
      <c r="H21" s="3">
        <v>29481.25</v>
      </c>
      <c r="I21" s="3">
        <f>15042.89</f>
        <v>15042.89</v>
      </c>
      <c r="J21" s="3">
        <f>6172.23</f>
        <v>6172.23</v>
      </c>
      <c r="K21" s="2">
        <f>31.3</f>
        <v>31.3</v>
      </c>
      <c r="L21" s="3">
        <v>0.87</v>
      </c>
      <c r="M21" s="3">
        <v>2422.44</v>
      </c>
      <c r="N21" s="3">
        <v>210095.18</v>
      </c>
      <c r="O21" s="3">
        <v>0.06</v>
      </c>
      <c r="P21" s="3">
        <v>21.2</v>
      </c>
      <c r="Q21" s="3">
        <v>56</v>
      </c>
      <c r="R21" s="3">
        <v>1990.95</v>
      </c>
      <c r="S21" s="3">
        <v>40622.04</v>
      </c>
      <c r="T21" s="3">
        <v>30.4</v>
      </c>
    </row>
    <row r="22" spans="1:20" x14ac:dyDescent="0.2">
      <c r="A22" t="s">
        <v>20</v>
      </c>
      <c r="B22" s="3">
        <v>362</v>
      </c>
      <c r="C22" s="3">
        <v>5540718</v>
      </c>
      <c r="D22" s="3">
        <v>18.14</v>
      </c>
      <c r="E22" s="3">
        <v>42.8</v>
      </c>
      <c r="F22" s="3">
        <v>21.23</v>
      </c>
      <c r="G22" s="3">
        <v>13.26</v>
      </c>
      <c r="H22" s="3">
        <v>40585.72</v>
      </c>
      <c r="I22" s="3">
        <f>11583.13</f>
        <v>11583.13</v>
      </c>
      <c r="J22" s="3">
        <f>10452.88</f>
        <v>10452.879999999999</v>
      </c>
      <c r="K22" s="2">
        <f>20.4</f>
        <v>20.399999999999999</v>
      </c>
      <c r="L22" s="3">
        <v>0.92</v>
      </c>
      <c r="M22" s="3">
        <v>4398.66</v>
      </c>
      <c r="N22" s="3">
        <v>535441.44999999995</v>
      </c>
      <c r="O22" s="3">
        <v>0.1</v>
      </c>
      <c r="P22" s="3">
        <v>22.2</v>
      </c>
      <c r="Q22" s="3">
        <v>453</v>
      </c>
      <c r="R22" s="3">
        <v>6905.69</v>
      </c>
      <c r="S22" s="3">
        <v>207472.63</v>
      </c>
      <c r="T22" s="3">
        <v>27.4</v>
      </c>
    </row>
    <row r="23" spans="1:20" x14ac:dyDescent="0.2">
      <c r="A23" t="s">
        <v>21</v>
      </c>
      <c r="B23" s="3">
        <v>40169</v>
      </c>
      <c r="C23" s="3">
        <v>65273512</v>
      </c>
      <c r="D23" s="3">
        <v>122.58</v>
      </c>
      <c r="E23" s="3">
        <v>42</v>
      </c>
      <c r="F23" s="3">
        <v>19.72</v>
      </c>
      <c r="G23" s="3">
        <v>13.08</v>
      </c>
      <c r="H23" s="3">
        <v>38605.67</v>
      </c>
      <c r="I23" s="3">
        <f>10238.63</f>
        <v>10238.629999999999</v>
      </c>
      <c r="J23" s="3">
        <f>4364.83</f>
        <v>4364.83</v>
      </c>
      <c r="K23" s="2">
        <f>32.7</f>
        <v>32.700000000000003</v>
      </c>
      <c r="L23" s="3">
        <v>0.9</v>
      </c>
      <c r="M23" s="3">
        <v>3841.88</v>
      </c>
      <c r="N23" s="3">
        <v>6525468.1399999997</v>
      </c>
      <c r="O23" s="3">
        <v>0.12</v>
      </c>
      <c r="P23" s="3">
        <v>21.6</v>
      </c>
      <c r="Q23" s="3">
        <v>5910</v>
      </c>
      <c r="R23" s="3">
        <v>6955.82</v>
      </c>
      <c r="S23" s="3">
        <v>2009937.46</v>
      </c>
      <c r="T23" s="3">
        <v>31.6</v>
      </c>
    </row>
    <row r="24" spans="1:20" x14ac:dyDescent="0.2">
      <c r="A24" t="s">
        <v>22</v>
      </c>
      <c r="B24" s="3">
        <v>475</v>
      </c>
      <c r="C24" s="3">
        <v>3989175</v>
      </c>
      <c r="D24" s="3">
        <v>65.03</v>
      </c>
      <c r="E24" s="3">
        <v>38.700000000000003</v>
      </c>
      <c r="F24" s="3">
        <v>14.86</v>
      </c>
      <c r="G24" s="3">
        <v>10.24</v>
      </c>
      <c r="H24" s="3">
        <v>9745.08</v>
      </c>
      <c r="I24" s="3">
        <f>12927.4</f>
        <v>12927.4</v>
      </c>
      <c r="J24" s="3">
        <f>9437.8</f>
        <v>9437.7999999999993</v>
      </c>
      <c r="K24" s="2">
        <f>28.8</f>
        <v>28.8</v>
      </c>
      <c r="L24" s="3">
        <v>0.78</v>
      </c>
      <c r="M24" s="3">
        <v>3623.73</v>
      </c>
      <c r="N24" s="3">
        <v>461026.67</v>
      </c>
      <c r="O24" s="3">
        <v>7.0000000000000007E-2</v>
      </c>
      <c r="P24" s="3">
        <v>21.7</v>
      </c>
      <c r="Q24" s="3">
        <v>44</v>
      </c>
      <c r="R24" s="3">
        <v>1898.68</v>
      </c>
      <c r="S24" s="3">
        <v>52206.15</v>
      </c>
      <c r="T24" s="3">
        <v>36.4</v>
      </c>
    </row>
    <row r="25" spans="1:20" x14ac:dyDescent="0.2">
      <c r="A25" t="s">
        <v>23</v>
      </c>
      <c r="B25" s="3">
        <v>11289</v>
      </c>
      <c r="C25" s="3">
        <v>83783945</v>
      </c>
      <c r="D25" s="3">
        <v>237.02</v>
      </c>
      <c r="E25" s="3">
        <v>46.6</v>
      </c>
      <c r="F25" s="3">
        <v>21.45</v>
      </c>
      <c r="G25" s="3">
        <v>15.96</v>
      </c>
      <c r="H25" s="3">
        <v>45229.25</v>
      </c>
      <c r="I25" s="3">
        <f>11977.15</f>
        <v>11977.15</v>
      </c>
      <c r="J25" s="3">
        <f>12408.98</f>
        <v>12408.98</v>
      </c>
      <c r="K25" s="2">
        <f>30.6</f>
        <v>30.6</v>
      </c>
      <c r="L25" s="3">
        <v>0.94</v>
      </c>
      <c r="M25" s="3">
        <v>7219.94</v>
      </c>
      <c r="N25" s="3">
        <v>9925181.8499999996</v>
      </c>
      <c r="O25" s="3">
        <v>0.11</v>
      </c>
      <c r="P25" s="3">
        <v>22.3</v>
      </c>
      <c r="Q25" s="3">
        <v>3767</v>
      </c>
      <c r="R25" s="3">
        <v>4250.71</v>
      </c>
      <c r="S25" s="3">
        <v>3211739.24</v>
      </c>
      <c r="T25" s="3">
        <v>31.9</v>
      </c>
    </row>
    <row r="26" spans="1:20" x14ac:dyDescent="0.2">
      <c r="A26" t="s">
        <v>24</v>
      </c>
      <c r="B26" s="3">
        <v>749</v>
      </c>
      <c r="C26" s="3">
        <v>10423056</v>
      </c>
      <c r="D26" s="3">
        <v>83.48</v>
      </c>
      <c r="E26" s="3">
        <v>45.3</v>
      </c>
      <c r="F26" s="3">
        <v>20.399999999999999</v>
      </c>
      <c r="G26" s="3">
        <v>14.52</v>
      </c>
      <c r="H26" s="3">
        <v>24574.38</v>
      </c>
      <c r="I26" s="3">
        <f>10886.12</f>
        <v>10886.12</v>
      </c>
      <c r="J26" s="3">
        <f>8268.01</f>
        <v>8268.01</v>
      </c>
      <c r="K26" s="2">
        <f>43.4</f>
        <v>43.4</v>
      </c>
      <c r="L26" s="3">
        <v>0.87</v>
      </c>
      <c r="M26" s="3">
        <v>6360.71</v>
      </c>
      <c r="N26" s="3">
        <v>1447104.85</v>
      </c>
      <c r="O26" s="3">
        <v>0.08</v>
      </c>
      <c r="P26" s="3">
        <v>24.9</v>
      </c>
      <c r="Q26" s="3">
        <v>226</v>
      </c>
      <c r="R26" s="3">
        <v>5717.91</v>
      </c>
      <c r="S26" s="3">
        <v>307805.14</v>
      </c>
      <c r="T26" s="3">
        <v>34.4</v>
      </c>
    </row>
    <row r="27" spans="1:20" x14ac:dyDescent="0.2">
      <c r="A27" t="s">
        <v>25</v>
      </c>
      <c r="B27" s="3">
        <v>2438</v>
      </c>
      <c r="C27" s="3">
        <v>9660350</v>
      </c>
      <c r="D27" s="3">
        <v>108.04</v>
      </c>
      <c r="E27" s="3">
        <v>43.4</v>
      </c>
      <c r="F27" s="3">
        <v>18.579999999999998</v>
      </c>
      <c r="G27" s="3">
        <v>11.98</v>
      </c>
      <c r="H27" s="3">
        <v>26777.56</v>
      </c>
      <c r="I27" s="3">
        <f>14638.54</f>
        <v>14638.54</v>
      </c>
      <c r="J27" s="3">
        <f>10162.55</f>
        <v>10162.549999999999</v>
      </c>
      <c r="K27" s="2">
        <f>30.6</f>
        <v>30.6</v>
      </c>
      <c r="L27" s="3">
        <v>0.84</v>
      </c>
      <c r="M27" s="3">
        <v>6328.37</v>
      </c>
      <c r="N27" s="3">
        <v>1232146.55</v>
      </c>
      <c r="O27" s="3">
        <v>7.0000000000000007E-2</v>
      </c>
      <c r="P27" s="3">
        <v>26.4</v>
      </c>
      <c r="Q27" s="3">
        <v>440</v>
      </c>
      <c r="R27" s="3">
        <v>3320.4</v>
      </c>
      <c r="S27" s="3">
        <v>253534.95</v>
      </c>
      <c r="T27" s="3">
        <v>30.6</v>
      </c>
    </row>
    <row r="28" spans="1:20" x14ac:dyDescent="0.2">
      <c r="A28" t="s">
        <v>26</v>
      </c>
      <c r="B28" s="3">
        <v>18</v>
      </c>
      <c r="C28" s="3">
        <v>341250</v>
      </c>
      <c r="D28" s="3">
        <v>3.4</v>
      </c>
      <c r="E28" s="3">
        <v>37.299999999999997</v>
      </c>
      <c r="F28" s="3">
        <v>14.43</v>
      </c>
      <c r="G28" s="3">
        <v>9.2100000000000009</v>
      </c>
      <c r="H28" s="3">
        <v>46482.96</v>
      </c>
      <c r="I28" s="3">
        <f>8018.43</f>
        <v>8018.43</v>
      </c>
      <c r="J28" s="3">
        <f>6182.87</f>
        <v>6182.87</v>
      </c>
      <c r="K28" s="2">
        <f>14.7</f>
        <v>14.7</v>
      </c>
      <c r="L28" s="3">
        <v>0.94</v>
      </c>
      <c r="M28" s="3">
        <v>4648.8500000000004</v>
      </c>
      <c r="N28" s="3">
        <v>25792.03</v>
      </c>
      <c r="O28" s="3">
        <v>0.09</v>
      </c>
      <c r="P28" s="3">
        <v>21.9</v>
      </c>
      <c r="Q28" s="3">
        <v>10</v>
      </c>
      <c r="R28" s="3">
        <v>7418.25</v>
      </c>
      <c r="S28" s="3">
        <v>10656.74</v>
      </c>
      <c r="T28" s="3">
        <v>26.8</v>
      </c>
    </row>
    <row r="29" spans="1:20" x14ac:dyDescent="0.2">
      <c r="A29" t="s">
        <v>27</v>
      </c>
      <c r="B29" s="3">
        <v>126121</v>
      </c>
      <c r="C29" s="3">
        <v>1380004385</v>
      </c>
      <c r="D29" s="3">
        <v>450.42</v>
      </c>
      <c r="E29" s="3">
        <v>28.2</v>
      </c>
      <c r="F29" s="3">
        <v>5.99</v>
      </c>
      <c r="G29" s="3">
        <v>3.41</v>
      </c>
      <c r="H29" s="3">
        <v>6426.67</v>
      </c>
      <c r="I29" s="3">
        <f>5114.69</f>
        <v>5114.6899999999996</v>
      </c>
      <c r="J29" s="3">
        <f>5885.54</f>
        <v>5885.54</v>
      </c>
      <c r="K29" s="2">
        <f>11.4</f>
        <v>11.4</v>
      </c>
      <c r="L29" s="3">
        <v>0.64</v>
      </c>
      <c r="M29" s="3">
        <v>2723.41</v>
      </c>
      <c r="N29" s="3">
        <v>115223088.20999999</v>
      </c>
      <c r="O29" s="3">
        <v>0.05</v>
      </c>
      <c r="P29" s="3">
        <v>3.9</v>
      </c>
      <c r="Q29" s="3">
        <v>12666</v>
      </c>
      <c r="R29" s="3">
        <v>2466.8000000000002</v>
      </c>
      <c r="S29" s="3">
        <v>3639595.15</v>
      </c>
      <c r="T29" s="3">
        <v>35.700000000000003</v>
      </c>
    </row>
    <row r="30" spans="1:20" x14ac:dyDescent="0.2">
      <c r="A30" t="s">
        <v>28</v>
      </c>
      <c r="B30" s="3">
        <v>1945</v>
      </c>
      <c r="C30" s="3">
        <v>4937796</v>
      </c>
      <c r="D30" s="3">
        <v>69.87</v>
      </c>
      <c r="E30" s="3">
        <v>38.700000000000003</v>
      </c>
      <c r="F30" s="3">
        <v>13.93</v>
      </c>
      <c r="G30" s="3">
        <v>8.68</v>
      </c>
      <c r="H30" s="3">
        <v>67335.289999999994</v>
      </c>
      <c r="I30" s="3">
        <f>8072.07</f>
        <v>8072.07</v>
      </c>
      <c r="J30" s="3">
        <f>5825.83</f>
        <v>5825.83</v>
      </c>
      <c r="K30" s="2">
        <f>24.3</f>
        <v>24.3</v>
      </c>
      <c r="L30" s="3">
        <v>0.94</v>
      </c>
      <c r="M30" s="3">
        <v>5444.79</v>
      </c>
      <c r="N30" s="3">
        <v>727859.16</v>
      </c>
      <c r="O30" s="3">
        <v>0.08</v>
      </c>
      <c r="P30" s="3">
        <v>25.3</v>
      </c>
      <c r="Q30" s="3">
        <v>274</v>
      </c>
      <c r="R30" s="3">
        <v>6992.97</v>
      </c>
      <c r="S30" s="3">
        <v>140823.39000000001</v>
      </c>
      <c r="T30" s="3">
        <v>32.799999999999997</v>
      </c>
    </row>
    <row r="31" spans="1:20" x14ac:dyDescent="0.2">
      <c r="A31" t="s">
        <v>29</v>
      </c>
      <c r="B31" s="3">
        <v>41063</v>
      </c>
      <c r="C31" s="3">
        <v>60461828</v>
      </c>
      <c r="D31" s="3">
        <v>205.86</v>
      </c>
      <c r="E31" s="3">
        <v>47.9</v>
      </c>
      <c r="F31" s="3">
        <v>23.02</v>
      </c>
      <c r="G31" s="3">
        <v>16.239999999999998</v>
      </c>
      <c r="H31" s="3">
        <v>35220.080000000002</v>
      </c>
      <c r="I31" s="3">
        <f>15937.5</f>
        <v>15937.5</v>
      </c>
      <c r="J31" s="3">
        <f>10566.43</f>
        <v>10566.43</v>
      </c>
      <c r="K31" s="2">
        <f>23.7</f>
        <v>23.7</v>
      </c>
      <c r="L31" s="3">
        <v>0.88</v>
      </c>
      <c r="M31" s="3">
        <v>5393.7</v>
      </c>
      <c r="N31" s="3">
        <v>7084023.3300000001</v>
      </c>
      <c r="O31" s="3">
        <v>0.09</v>
      </c>
      <c r="P31" s="3">
        <v>19.899999999999999</v>
      </c>
      <c r="Q31" s="3">
        <v>3881</v>
      </c>
      <c r="R31" s="3">
        <v>4246.29</v>
      </c>
      <c r="S31" s="3">
        <v>2282520.4</v>
      </c>
      <c r="T31" s="3">
        <v>35.9</v>
      </c>
    </row>
    <row r="32" spans="1:20" x14ac:dyDescent="0.2">
      <c r="A32" t="s">
        <v>30</v>
      </c>
      <c r="B32" s="3">
        <v>1812</v>
      </c>
      <c r="C32" s="3">
        <v>126476458</v>
      </c>
      <c r="D32" s="3">
        <v>347.78</v>
      </c>
      <c r="E32" s="3">
        <v>48.2</v>
      </c>
      <c r="F32" s="3">
        <v>27.05</v>
      </c>
      <c r="G32" s="3">
        <v>18.489999999999998</v>
      </c>
      <c r="H32" s="3">
        <v>39002.22</v>
      </c>
      <c r="I32" s="3">
        <f>13499.54</f>
        <v>13499.54</v>
      </c>
      <c r="J32" s="3">
        <f>6856.6</f>
        <v>6856.6</v>
      </c>
      <c r="K32" s="2">
        <f>22.1</f>
        <v>22.1</v>
      </c>
      <c r="L32" s="3">
        <v>0.91</v>
      </c>
      <c r="M32" s="3">
        <v>3748.04</v>
      </c>
      <c r="N32" s="3">
        <v>24695116.84</v>
      </c>
      <c r="O32" s="3">
        <v>0.1</v>
      </c>
      <c r="P32" s="3">
        <v>4.3</v>
      </c>
      <c r="Q32" s="3">
        <v>2535</v>
      </c>
      <c r="R32" s="3">
        <v>4004.38</v>
      </c>
      <c r="S32" s="3">
        <v>5817580.4299999997</v>
      </c>
      <c r="T32" s="3">
        <v>32.9</v>
      </c>
    </row>
    <row r="33" spans="1:20" x14ac:dyDescent="0.2">
      <c r="A33" t="s">
        <v>31</v>
      </c>
      <c r="B33" s="3">
        <v>96</v>
      </c>
      <c r="C33" s="3">
        <v>1886202</v>
      </c>
      <c r="D33" s="3">
        <v>31.21</v>
      </c>
      <c r="E33" s="3">
        <v>43.9</v>
      </c>
      <c r="F33" s="3">
        <v>19.75</v>
      </c>
      <c r="G33" s="3">
        <v>14.14</v>
      </c>
      <c r="H33" s="3">
        <v>25063.85</v>
      </c>
      <c r="I33" s="3">
        <f>14218.59</f>
        <v>14218.59</v>
      </c>
      <c r="J33" s="3">
        <f>6474.36</f>
        <v>6474.36</v>
      </c>
      <c r="K33" s="2">
        <f>37</f>
        <v>37</v>
      </c>
      <c r="L33" s="3">
        <v>0.85</v>
      </c>
      <c r="M33" s="3">
        <v>2260.9899999999998</v>
      </c>
      <c r="N33" s="3">
        <v>293145.28000000003</v>
      </c>
      <c r="O33" s="3">
        <v>0.06</v>
      </c>
      <c r="P33" s="3">
        <v>23.6</v>
      </c>
      <c r="Q33" s="3">
        <v>39</v>
      </c>
      <c r="R33" s="3">
        <v>3169.04</v>
      </c>
      <c r="S33" s="3">
        <v>50827.53</v>
      </c>
      <c r="T33" s="3">
        <v>35.6</v>
      </c>
    </row>
    <row r="34" spans="1:20" x14ac:dyDescent="0.2">
      <c r="A34" t="s">
        <v>32</v>
      </c>
      <c r="B34" s="3">
        <v>203</v>
      </c>
      <c r="C34" s="3">
        <v>2722291</v>
      </c>
      <c r="D34" s="3">
        <v>45.14</v>
      </c>
      <c r="E34" s="3">
        <v>43.5</v>
      </c>
      <c r="F34" s="3">
        <v>19</v>
      </c>
      <c r="G34" s="3">
        <v>13.78</v>
      </c>
      <c r="H34" s="3">
        <v>29524.27</v>
      </c>
      <c r="I34" s="3">
        <f>14000.45</f>
        <v>14000.45</v>
      </c>
      <c r="J34" s="3">
        <f>4995.92</f>
        <v>4995.92</v>
      </c>
      <c r="K34" s="2">
        <f>28.8</f>
        <v>28.8</v>
      </c>
      <c r="L34" s="3">
        <v>0.86</v>
      </c>
      <c r="M34" s="3">
        <v>2745.74</v>
      </c>
      <c r="N34" s="3">
        <v>405883.26</v>
      </c>
      <c r="O34" s="3">
        <v>7.0000000000000007E-2</v>
      </c>
      <c r="P34" s="3">
        <v>26.3</v>
      </c>
      <c r="Q34" s="3">
        <v>129</v>
      </c>
      <c r="R34" s="3">
        <v>2647.86</v>
      </c>
      <c r="S34" s="3">
        <v>80049.38</v>
      </c>
      <c r="T34" s="3">
        <v>37.299999999999997</v>
      </c>
    </row>
    <row r="35" spans="1:20" x14ac:dyDescent="0.2">
      <c r="A35" t="s">
        <v>33</v>
      </c>
      <c r="B35" s="3">
        <v>185</v>
      </c>
      <c r="C35" s="3">
        <v>625976</v>
      </c>
      <c r="D35" s="3">
        <v>231.45</v>
      </c>
      <c r="E35" s="3">
        <v>39.700000000000003</v>
      </c>
      <c r="F35" s="3">
        <v>14.31</v>
      </c>
      <c r="G35" s="3">
        <v>9.84</v>
      </c>
      <c r="H35" s="3">
        <v>94277.97</v>
      </c>
      <c r="I35" s="3">
        <f>9110.47</f>
        <v>9110.4699999999993</v>
      </c>
      <c r="J35" s="3">
        <f>9537.95</f>
        <v>9537.9500000000007</v>
      </c>
      <c r="K35" s="2">
        <f>23.5</f>
        <v>23.5</v>
      </c>
      <c r="L35" s="3">
        <v>0.9</v>
      </c>
      <c r="M35" s="3">
        <v>5368.11</v>
      </c>
      <c r="N35" s="3">
        <v>57350.99</v>
      </c>
      <c r="O35" s="3">
        <v>7.0000000000000007E-2</v>
      </c>
      <c r="P35" s="3">
        <v>22.6</v>
      </c>
      <c r="Q35" s="3">
        <v>0</v>
      </c>
      <c r="R35" s="3">
        <v>7159.23</v>
      </c>
      <c r="S35" s="3">
        <v>19898.64</v>
      </c>
      <c r="T35" s="3">
        <v>34.9</v>
      </c>
    </row>
    <row r="36" spans="1:20" x14ac:dyDescent="0.2">
      <c r="A36" t="s">
        <v>34</v>
      </c>
      <c r="B36" s="3">
        <v>72</v>
      </c>
      <c r="C36" s="3">
        <v>441539</v>
      </c>
      <c r="D36" s="3">
        <v>1454.04</v>
      </c>
      <c r="E36" s="3">
        <v>42.4</v>
      </c>
      <c r="F36" s="3">
        <v>19.43</v>
      </c>
      <c r="G36" s="3">
        <v>11.32</v>
      </c>
      <c r="H36" s="3">
        <v>36513.32</v>
      </c>
      <c r="I36" s="3">
        <f>10539.44</f>
        <v>10539.44</v>
      </c>
      <c r="J36" s="3">
        <f>10908.92</f>
        <v>10908.92</v>
      </c>
      <c r="K36" s="2">
        <f>25.5</f>
        <v>25.5</v>
      </c>
      <c r="L36" s="3">
        <v>0.88</v>
      </c>
      <c r="M36" s="3">
        <v>4566.13</v>
      </c>
      <c r="N36" s="3">
        <v>49582.03</v>
      </c>
      <c r="O36" s="3">
        <v>0.1</v>
      </c>
      <c r="P36" s="3">
        <v>28.9</v>
      </c>
      <c r="Q36" s="3">
        <v>17</v>
      </c>
      <c r="R36" s="3">
        <v>7972.71</v>
      </c>
      <c r="S36" s="3">
        <v>12753.05</v>
      </c>
      <c r="T36" s="3">
        <v>29.2</v>
      </c>
    </row>
    <row r="37" spans="1:20" x14ac:dyDescent="0.2">
      <c r="A37" t="s">
        <v>35</v>
      </c>
      <c r="B37" s="3">
        <v>94808</v>
      </c>
      <c r="C37" s="3">
        <v>128932753</v>
      </c>
      <c r="D37" s="3">
        <v>66.44</v>
      </c>
      <c r="E37" s="3">
        <v>29.3</v>
      </c>
      <c r="F37" s="3">
        <v>6.86</v>
      </c>
      <c r="G37" s="3">
        <v>4.32</v>
      </c>
      <c r="H37" s="3">
        <v>17336.47</v>
      </c>
      <c r="I37" s="3">
        <f>4706.57</f>
        <v>4706.57</v>
      </c>
      <c r="J37" s="3">
        <f>9549.81</f>
        <v>9549.81</v>
      </c>
      <c r="K37" s="2">
        <f>14</f>
        <v>14</v>
      </c>
      <c r="L37" s="3">
        <v>0.77</v>
      </c>
      <c r="M37" s="3">
        <v>2081.7600000000002</v>
      </c>
      <c r="N37" s="3">
        <v>16264323.66</v>
      </c>
      <c r="O37" s="3">
        <v>0.06</v>
      </c>
      <c r="P37" s="3">
        <v>28.9</v>
      </c>
      <c r="Q37" s="3">
        <v>3242</v>
      </c>
      <c r="R37" s="3">
        <v>2683.97</v>
      </c>
      <c r="S37" s="3">
        <v>1005223.27</v>
      </c>
      <c r="T37" s="3">
        <v>45.4</v>
      </c>
    </row>
    <row r="38" spans="1:20" x14ac:dyDescent="0.2">
      <c r="A38" t="s">
        <v>36</v>
      </c>
      <c r="B38" s="3">
        <v>7950</v>
      </c>
      <c r="C38" s="3">
        <v>17134873</v>
      </c>
      <c r="D38" s="3">
        <v>508.54</v>
      </c>
      <c r="E38" s="3">
        <v>43.2</v>
      </c>
      <c r="F38" s="3">
        <v>18.78</v>
      </c>
      <c r="G38" s="3">
        <v>11.88</v>
      </c>
      <c r="H38" s="3">
        <v>48472.55</v>
      </c>
      <c r="I38" s="3">
        <f>10305.62</f>
        <v>10305.620000000001</v>
      </c>
      <c r="J38" s="3">
        <f>5871.52</f>
        <v>5871.52</v>
      </c>
      <c r="K38" s="2">
        <f>25.8</f>
        <v>25.8</v>
      </c>
      <c r="L38" s="3">
        <v>0.93</v>
      </c>
      <c r="M38" s="3">
        <v>7408.31</v>
      </c>
      <c r="N38" s="3">
        <v>1821663.87</v>
      </c>
      <c r="O38" s="3">
        <v>0.11</v>
      </c>
      <c r="P38" s="3">
        <v>20.399999999999999</v>
      </c>
      <c r="Q38" s="3">
        <v>1311</v>
      </c>
      <c r="R38" s="3">
        <v>7745.22</v>
      </c>
      <c r="S38" s="3">
        <v>715272.58</v>
      </c>
      <c r="T38" s="3">
        <v>28.5</v>
      </c>
    </row>
    <row r="39" spans="1:20" x14ac:dyDescent="0.2">
      <c r="A39" t="s">
        <v>37</v>
      </c>
      <c r="B39" s="3">
        <v>25</v>
      </c>
      <c r="C39" s="3">
        <v>4822233</v>
      </c>
      <c r="D39" s="3">
        <v>18.21</v>
      </c>
      <c r="E39" s="3">
        <v>37.9</v>
      </c>
      <c r="F39" s="3">
        <v>15.32</v>
      </c>
      <c r="G39" s="3">
        <v>9.7200000000000006</v>
      </c>
      <c r="H39" s="3">
        <v>36085.839999999997</v>
      </c>
      <c r="I39" s="3">
        <f>9721.24</f>
        <v>9721.24</v>
      </c>
      <c r="J39" s="3">
        <f>4738.14</f>
        <v>4738.1400000000003</v>
      </c>
      <c r="K39" s="2">
        <f>16</f>
        <v>16</v>
      </c>
      <c r="L39" s="3">
        <v>0.92</v>
      </c>
      <c r="M39" s="3">
        <v>5690.14</v>
      </c>
      <c r="N39" s="3">
        <v>463187.32</v>
      </c>
      <c r="O39" s="3">
        <v>0.11</v>
      </c>
      <c r="P39" s="3">
        <v>30.8</v>
      </c>
      <c r="Q39" s="3">
        <v>326</v>
      </c>
      <c r="R39" s="3">
        <v>6010.91</v>
      </c>
      <c r="S39" s="3">
        <v>186914.46</v>
      </c>
      <c r="T39" s="3">
        <v>34.4</v>
      </c>
    </row>
    <row r="40" spans="1:20" x14ac:dyDescent="0.2">
      <c r="A40" t="s">
        <v>38</v>
      </c>
      <c r="B40" s="3">
        <v>285</v>
      </c>
      <c r="C40" s="3">
        <v>5421242</v>
      </c>
      <c r="D40" s="3">
        <v>14.46</v>
      </c>
      <c r="E40" s="3">
        <v>39.700000000000003</v>
      </c>
      <c r="F40" s="3">
        <v>16.82</v>
      </c>
      <c r="G40" s="3">
        <v>10.81</v>
      </c>
      <c r="H40" s="3">
        <v>64800.06</v>
      </c>
      <c r="I40" s="3">
        <f>10968.9</f>
        <v>10968.9</v>
      </c>
      <c r="J40" s="3">
        <f>7595.37</f>
        <v>7595.37</v>
      </c>
      <c r="K40" s="2">
        <f>20.2</f>
        <v>20.2</v>
      </c>
      <c r="L40" s="3">
        <v>0.95</v>
      </c>
      <c r="M40" s="3">
        <v>6472.62</v>
      </c>
      <c r="N40" s="3">
        <v>447570.9</v>
      </c>
      <c r="O40" s="3">
        <v>0.1</v>
      </c>
      <c r="P40" s="3">
        <v>23.1</v>
      </c>
      <c r="Q40" s="3">
        <v>443</v>
      </c>
      <c r="R40" s="3">
        <v>6963.43</v>
      </c>
      <c r="S40" s="3">
        <v>227807.55</v>
      </c>
      <c r="T40" s="3">
        <v>27</v>
      </c>
    </row>
    <row r="41" spans="1:20" x14ac:dyDescent="0.2">
      <c r="A41" t="s">
        <v>39</v>
      </c>
      <c r="B41" s="3">
        <v>34840</v>
      </c>
      <c r="C41" s="3">
        <v>32971846</v>
      </c>
      <c r="D41" s="3">
        <v>25.13</v>
      </c>
      <c r="E41" s="3">
        <v>29.1</v>
      </c>
      <c r="F41" s="3">
        <v>7.15</v>
      </c>
      <c r="G41" s="3">
        <v>4.46</v>
      </c>
      <c r="H41" s="3">
        <v>12236.71</v>
      </c>
      <c r="I41" s="3">
        <f>4129.31</f>
        <v>4129.3100000000004</v>
      </c>
      <c r="J41" s="3">
        <f>3373.61</f>
        <v>3373.61</v>
      </c>
      <c r="K41" s="2">
        <f>4.8</f>
        <v>4.8</v>
      </c>
      <c r="L41" s="3">
        <v>0.75</v>
      </c>
      <c r="M41" s="3">
        <v>1227.78</v>
      </c>
      <c r="N41" s="3">
        <v>3237322.01</v>
      </c>
      <c r="O41" s="3">
        <v>0.05</v>
      </c>
      <c r="P41" s="3">
        <v>19.7</v>
      </c>
      <c r="Q41" s="3">
        <v>261</v>
      </c>
      <c r="R41" s="3">
        <v>4189.54</v>
      </c>
      <c r="S41" s="3">
        <v>196294.64</v>
      </c>
      <c r="T41" s="3">
        <v>42.8</v>
      </c>
    </row>
    <row r="42" spans="1:20" x14ac:dyDescent="0.2">
      <c r="A42" t="s">
        <v>40</v>
      </c>
      <c r="B42" s="3">
        <v>7636</v>
      </c>
      <c r="C42" s="3">
        <v>37846605</v>
      </c>
      <c r="D42" s="3">
        <v>124.03</v>
      </c>
      <c r="E42" s="3">
        <v>41.8</v>
      </c>
      <c r="F42" s="3">
        <v>16.760000000000002</v>
      </c>
      <c r="G42" s="3">
        <v>10.199999999999999</v>
      </c>
      <c r="H42" s="3">
        <v>27216.45</v>
      </c>
      <c r="I42" s="3">
        <f>11027.02</f>
        <v>11027.02</v>
      </c>
      <c r="J42" s="3">
        <f>9219.47</f>
        <v>9219.4699999999993</v>
      </c>
      <c r="K42" s="2">
        <f>28</f>
        <v>28</v>
      </c>
      <c r="L42" s="3">
        <v>0.87</v>
      </c>
      <c r="M42" s="3">
        <v>3721.35</v>
      </c>
      <c r="N42" s="3">
        <v>4361113.4800000004</v>
      </c>
      <c r="O42" s="3">
        <v>0.06</v>
      </c>
      <c r="P42" s="3">
        <v>23.1</v>
      </c>
      <c r="Q42" s="3">
        <v>1566</v>
      </c>
      <c r="R42" s="3">
        <v>5762.26</v>
      </c>
      <c r="S42" s="3">
        <v>883121.28</v>
      </c>
      <c r="T42" s="3">
        <v>29.7</v>
      </c>
    </row>
    <row r="43" spans="1:20" x14ac:dyDescent="0.2">
      <c r="A43" t="s">
        <v>41</v>
      </c>
      <c r="B43" s="3">
        <v>2848</v>
      </c>
      <c r="C43" s="3">
        <v>10196707</v>
      </c>
      <c r="D43" s="3">
        <v>112.37</v>
      </c>
      <c r="E43" s="3">
        <v>46.2</v>
      </c>
      <c r="F43" s="3">
        <v>21.5</v>
      </c>
      <c r="G43" s="3">
        <v>14.92</v>
      </c>
      <c r="H43" s="3">
        <v>27936.9</v>
      </c>
      <c r="I43" s="3">
        <f>10218.49</f>
        <v>10218.49</v>
      </c>
      <c r="J43" s="3">
        <f>12046.27</f>
        <v>12046.27</v>
      </c>
      <c r="K43" s="2">
        <f>22.7</f>
        <v>22.7</v>
      </c>
      <c r="L43" s="3">
        <v>0.85</v>
      </c>
      <c r="M43" s="3">
        <v>5916.05</v>
      </c>
      <c r="N43" s="3">
        <v>1177966.94</v>
      </c>
      <c r="O43" s="3">
        <v>0.1</v>
      </c>
      <c r="P43" s="3">
        <v>20.8</v>
      </c>
      <c r="Q43" s="3">
        <v>847</v>
      </c>
      <c r="R43" s="3">
        <v>10367.73</v>
      </c>
      <c r="S43" s="3">
        <v>303194.46000000002</v>
      </c>
      <c r="T43" s="3">
        <v>33.799999999999997</v>
      </c>
    </row>
    <row r="44" spans="1:20" x14ac:dyDescent="0.2">
      <c r="A44" t="s">
        <v>42</v>
      </c>
      <c r="B44" s="3">
        <v>7793</v>
      </c>
      <c r="C44" s="3">
        <v>19237682</v>
      </c>
      <c r="D44" s="3">
        <v>85.13</v>
      </c>
      <c r="E44" s="3">
        <v>43</v>
      </c>
      <c r="F44" s="3">
        <v>17.850000000000001</v>
      </c>
      <c r="G44" s="3">
        <v>11.69</v>
      </c>
      <c r="H44" s="3">
        <v>23313.200000000001</v>
      </c>
      <c r="I44" s="3">
        <f>13272.99</f>
        <v>13272.99</v>
      </c>
      <c r="J44" s="3">
        <f>6666.79</f>
        <v>6666.79</v>
      </c>
      <c r="K44" s="2">
        <f>29.7</f>
        <v>29.7</v>
      </c>
      <c r="L44" s="3">
        <v>0.81</v>
      </c>
      <c r="M44" s="3">
        <v>4014.5</v>
      </c>
      <c r="N44" s="3">
        <v>2219096.9700000002</v>
      </c>
      <c r="O44" s="3">
        <v>0.06</v>
      </c>
      <c r="P44" s="3">
        <v>22.5</v>
      </c>
      <c r="Q44" s="3">
        <v>295</v>
      </c>
      <c r="R44" s="3">
        <v>4389.01</v>
      </c>
      <c r="S44" s="3">
        <v>450330.84</v>
      </c>
      <c r="T44" s="3">
        <v>36</v>
      </c>
    </row>
    <row r="45" spans="1:20" x14ac:dyDescent="0.2">
      <c r="A45" t="s">
        <v>43</v>
      </c>
      <c r="B45" s="3">
        <v>30251</v>
      </c>
      <c r="C45" s="3">
        <v>145934460</v>
      </c>
      <c r="D45" s="3">
        <v>8.82</v>
      </c>
      <c r="E45" s="3">
        <v>39.6</v>
      </c>
      <c r="F45" s="3">
        <v>14.18</v>
      </c>
      <c r="G45" s="3">
        <v>9.39</v>
      </c>
      <c r="H45" s="3">
        <v>24765.95</v>
      </c>
      <c r="I45" s="3">
        <f>11721.72</f>
        <v>11721.72</v>
      </c>
      <c r="J45" s="3">
        <f>4124.23</f>
        <v>4124.2299999999996</v>
      </c>
      <c r="K45" s="2">
        <f>39.3</f>
        <v>39.299999999999997</v>
      </c>
      <c r="L45" s="3">
        <v>0.82</v>
      </c>
      <c r="M45" s="3">
        <v>2672.54</v>
      </c>
      <c r="N45" s="3">
        <v>21702693.879999999</v>
      </c>
      <c r="O45" s="3">
        <v>7.0000000000000007E-2</v>
      </c>
      <c r="P45" s="3">
        <v>23.1</v>
      </c>
      <c r="Q45" s="3">
        <v>2429</v>
      </c>
      <c r="R45" s="3">
        <v>2390.79</v>
      </c>
      <c r="S45" s="3">
        <v>3193052.76</v>
      </c>
      <c r="T45" s="3">
        <v>37.5</v>
      </c>
    </row>
    <row r="46" spans="1:20" x14ac:dyDescent="0.2">
      <c r="A46" t="s">
        <v>44</v>
      </c>
      <c r="B46" s="3">
        <v>5525</v>
      </c>
      <c r="C46" s="3">
        <v>34813867</v>
      </c>
      <c r="D46" s="3">
        <v>15.32</v>
      </c>
      <c r="E46" s="3">
        <v>31.9</v>
      </c>
      <c r="F46" s="3">
        <v>3.3</v>
      </c>
      <c r="G46" s="3">
        <v>1.85</v>
      </c>
      <c r="H46" s="3">
        <v>49045.41</v>
      </c>
      <c r="I46" s="3">
        <f>4473.36</f>
        <v>4473.3599999999997</v>
      </c>
      <c r="J46" s="3">
        <f>6958.35</f>
        <v>6958.35</v>
      </c>
      <c r="K46" s="2">
        <f>15.6</f>
        <v>15.6</v>
      </c>
      <c r="L46" s="3">
        <v>0.85</v>
      </c>
      <c r="M46" s="3">
        <v>1216.17</v>
      </c>
      <c r="N46" s="3">
        <v>2915089.62</v>
      </c>
      <c r="O46" s="3">
        <v>0.05</v>
      </c>
      <c r="P46" s="3">
        <v>35.4</v>
      </c>
      <c r="Q46" s="3">
        <v>1530</v>
      </c>
      <c r="R46" s="3">
        <v>2390.0100000000002</v>
      </c>
      <c r="S46" s="3">
        <v>208450.34</v>
      </c>
      <c r="T46" s="3">
        <v>45.9</v>
      </c>
    </row>
    <row r="47" spans="1:20" x14ac:dyDescent="0.2">
      <c r="A47" t="s">
        <v>45</v>
      </c>
      <c r="B47" s="3">
        <v>351</v>
      </c>
      <c r="C47" s="3">
        <v>5459643</v>
      </c>
      <c r="D47" s="3">
        <v>113.13</v>
      </c>
      <c r="E47" s="3">
        <v>41.2</v>
      </c>
      <c r="F47" s="3">
        <v>15.07</v>
      </c>
      <c r="G47" s="3">
        <v>9.17</v>
      </c>
      <c r="H47" s="3">
        <v>30155.15</v>
      </c>
      <c r="I47" s="3">
        <f>11115.47</f>
        <v>11115.47</v>
      </c>
      <c r="J47" s="3">
        <f>7120.95</f>
        <v>7120.95</v>
      </c>
      <c r="K47" s="2">
        <f>30.1</f>
        <v>30.1</v>
      </c>
      <c r="L47" s="3">
        <v>0.86</v>
      </c>
      <c r="M47" s="3">
        <v>2879.95</v>
      </c>
      <c r="N47" s="3">
        <v>620866.55000000005</v>
      </c>
      <c r="O47" s="3">
        <v>0.08</v>
      </c>
      <c r="P47" s="3">
        <v>20.5</v>
      </c>
      <c r="Q47" s="3">
        <v>259</v>
      </c>
      <c r="R47" s="3">
        <v>2938.77</v>
      </c>
      <c r="S47" s="3">
        <v>158662.57999999999</v>
      </c>
      <c r="T47" s="3">
        <v>25.2</v>
      </c>
    </row>
    <row r="48" spans="1:20" x14ac:dyDescent="0.2">
      <c r="A48" t="s">
        <v>46</v>
      </c>
      <c r="B48" s="3">
        <v>378</v>
      </c>
      <c r="C48" s="3">
        <v>2078932</v>
      </c>
      <c r="D48" s="3">
        <v>102.62</v>
      </c>
      <c r="E48" s="3">
        <v>44.5</v>
      </c>
      <c r="F48" s="3">
        <v>19.059999999999999</v>
      </c>
      <c r="G48" s="3">
        <v>12.93</v>
      </c>
      <c r="H48" s="3">
        <v>31400.84</v>
      </c>
      <c r="I48" s="3">
        <f>13755.61</f>
        <v>13755.61</v>
      </c>
      <c r="J48" s="3">
        <f>8121.96</f>
        <v>8121.96</v>
      </c>
      <c r="K48" s="2">
        <f>22.5</f>
        <v>22.5</v>
      </c>
      <c r="L48" s="3">
        <v>0.9</v>
      </c>
      <c r="M48" s="3">
        <v>3782.51</v>
      </c>
      <c r="N48" s="3">
        <v>258487.82</v>
      </c>
      <c r="O48" s="3">
        <v>0.09</v>
      </c>
      <c r="P48" s="3">
        <v>20.2</v>
      </c>
      <c r="Q48" s="3">
        <v>95</v>
      </c>
      <c r="R48" s="3">
        <v>4946.5200000000004</v>
      </c>
      <c r="S48" s="3">
        <v>63997.61</v>
      </c>
      <c r="T48" s="3">
        <v>24.2</v>
      </c>
    </row>
    <row r="49" spans="1:20" x14ac:dyDescent="0.2">
      <c r="A49" t="s">
        <v>47</v>
      </c>
      <c r="B49" s="3">
        <v>38833</v>
      </c>
      <c r="C49" s="3">
        <v>46754783</v>
      </c>
      <c r="D49" s="3">
        <v>93.11</v>
      </c>
      <c r="E49" s="3">
        <v>45.5</v>
      </c>
      <c r="F49" s="3">
        <v>19.440000000000001</v>
      </c>
      <c r="G49" s="3">
        <v>13.8</v>
      </c>
      <c r="H49" s="3">
        <v>34272.36</v>
      </c>
      <c r="I49" s="3">
        <f>9820.96</f>
        <v>9820.9599999999991</v>
      </c>
      <c r="J49" s="3">
        <f>9732.3</f>
        <v>9732.2999999999993</v>
      </c>
      <c r="K49" s="2">
        <f>29.3</f>
        <v>29.3</v>
      </c>
      <c r="L49" s="3">
        <v>0.89</v>
      </c>
      <c r="M49" s="3">
        <v>6314.08</v>
      </c>
      <c r="N49" s="3">
        <v>4494877.8600000003</v>
      </c>
      <c r="O49" s="3">
        <v>0.09</v>
      </c>
      <c r="P49" s="3">
        <v>23.8</v>
      </c>
      <c r="Q49" s="3">
        <v>5449</v>
      </c>
      <c r="R49" s="3">
        <v>4857.5</v>
      </c>
      <c r="S49" s="3">
        <v>1452369.1</v>
      </c>
      <c r="T49" s="3">
        <v>34.700000000000003</v>
      </c>
    </row>
    <row r="50" spans="1:20" x14ac:dyDescent="0.2">
      <c r="A50" t="s">
        <v>48</v>
      </c>
      <c r="B50" s="3">
        <v>6112</v>
      </c>
      <c r="C50" s="3">
        <v>10099270</v>
      </c>
      <c r="D50" s="3">
        <v>24.72</v>
      </c>
      <c r="E50" s="3">
        <v>41</v>
      </c>
      <c r="F50" s="3">
        <v>19.989999999999998</v>
      </c>
      <c r="G50" s="3">
        <v>13.43</v>
      </c>
      <c r="H50" s="3">
        <v>46949.279999999999</v>
      </c>
      <c r="I50" s="3">
        <f>12036.06</f>
        <v>12036.06</v>
      </c>
      <c r="J50" s="3">
        <f>7179.75</f>
        <v>7179.75</v>
      </c>
      <c r="K50" s="2">
        <f>18.8</f>
        <v>18.8</v>
      </c>
      <c r="L50" s="3">
        <v>0.93</v>
      </c>
      <c r="M50" s="3">
        <v>6429.96</v>
      </c>
      <c r="N50" s="3">
        <v>1078789.6000000001</v>
      </c>
      <c r="O50" s="3">
        <v>0.12</v>
      </c>
      <c r="P50" s="3">
        <v>20.6</v>
      </c>
      <c r="Q50" s="3">
        <v>799</v>
      </c>
      <c r="R50" s="3">
        <v>8064.78</v>
      </c>
      <c r="S50" s="3">
        <v>374813.23</v>
      </c>
      <c r="T50" s="3">
        <v>28.8</v>
      </c>
    </row>
    <row r="51" spans="1:20" x14ac:dyDescent="0.2">
      <c r="A51" t="s">
        <v>49</v>
      </c>
      <c r="B51" s="3">
        <v>2404</v>
      </c>
      <c r="C51" s="3">
        <v>8654618</v>
      </c>
      <c r="D51" s="3">
        <v>214.24</v>
      </c>
      <c r="E51" s="3">
        <v>43.1</v>
      </c>
      <c r="F51" s="3">
        <v>18.440000000000001</v>
      </c>
      <c r="G51" s="3">
        <v>12.64</v>
      </c>
      <c r="H51" s="3">
        <v>57410.17</v>
      </c>
      <c r="I51" s="3">
        <f>9373.02</f>
        <v>9373.02</v>
      </c>
      <c r="J51" s="3">
        <f>7315.89</f>
        <v>7315.89</v>
      </c>
      <c r="K51" s="2">
        <f>25.7</f>
        <v>25.7</v>
      </c>
      <c r="L51" s="3">
        <v>0.94</v>
      </c>
      <c r="M51" s="3">
        <v>4868.03</v>
      </c>
      <c r="N51" s="3">
        <v>948415.37</v>
      </c>
      <c r="O51" s="3">
        <v>0.09</v>
      </c>
      <c r="P51" s="3">
        <v>19.5</v>
      </c>
      <c r="Q51" s="3">
        <v>600</v>
      </c>
      <c r="R51" s="3">
        <v>6937.97</v>
      </c>
      <c r="S51" s="3">
        <v>273098.77</v>
      </c>
      <c r="T51" s="3">
        <v>32.700000000000003</v>
      </c>
    </row>
    <row r="52" spans="1:20" x14ac:dyDescent="0.2">
      <c r="A52" t="s">
        <v>50</v>
      </c>
      <c r="B52" s="3">
        <v>10803</v>
      </c>
      <c r="C52" s="3">
        <v>84339067</v>
      </c>
      <c r="D52" s="3">
        <v>104.91</v>
      </c>
      <c r="E52" s="3">
        <v>31.6</v>
      </c>
      <c r="F52" s="3">
        <v>8.15</v>
      </c>
      <c r="G52" s="3">
        <v>5.0599999999999996</v>
      </c>
      <c r="H52" s="3">
        <v>25129.34</v>
      </c>
      <c r="I52" s="3">
        <f>6731.89</f>
        <v>6731.89</v>
      </c>
      <c r="J52" s="3">
        <f>5672.28</f>
        <v>5672.28</v>
      </c>
      <c r="K52" s="2">
        <f>27.2</f>
        <v>27.2</v>
      </c>
      <c r="L52" s="3">
        <v>0.79</v>
      </c>
      <c r="M52" s="3">
        <v>3546.59</v>
      </c>
      <c r="N52" s="3">
        <v>8846752.5299999993</v>
      </c>
      <c r="O52" s="3">
        <v>0.05</v>
      </c>
      <c r="P52" s="3">
        <v>32.1</v>
      </c>
      <c r="Q52" s="3">
        <v>5763</v>
      </c>
      <c r="R52" s="3">
        <v>5017.68</v>
      </c>
      <c r="S52" s="3">
        <v>774692.37</v>
      </c>
      <c r="T52" s="3">
        <v>41.9</v>
      </c>
    </row>
    <row r="53" spans="1:20" x14ac:dyDescent="0.2">
      <c r="A53" t="s">
        <v>51</v>
      </c>
      <c r="B53" s="3">
        <v>514</v>
      </c>
      <c r="C53" s="3">
        <v>9890400</v>
      </c>
      <c r="D53" s="3">
        <v>112.44</v>
      </c>
      <c r="E53" s="3">
        <v>34</v>
      </c>
      <c r="F53" s="3">
        <v>1.1399999999999999</v>
      </c>
      <c r="G53" s="3">
        <v>0.53</v>
      </c>
      <c r="H53" s="3">
        <v>67293.48</v>
      </c>
      <c r="I53" s="3">
        <f>4930.18</f>
        <v>4930.18</v>
      </c>
      <c r="J53" s="3">
        <f>7782.55</f>
        <v>7782.55</v>
      </c>
      <c r="K53" s="2">
        <f>28.9</f>
        <v>28.9</v>
      </c>
      <c r="L53" s="3">
        <v>0.86</v>
      </c>
      <c r="M53" s="3">
        <v>2067.4499999999998</v>
      </c>
      <c r="N53" s="3">
        <v>706923.83</v>
      </c>
      <c r="O53" s="3">
        <v>0.04</v>
      </c>
      <c r="P53" s="3">
        <v>31.7</v>
      </c>
      <c r="Q53" s="3">
        <v>93</v>
      </c>
      <c r="R53" s="3">
        <v>6651.26</v>
      </c>
      <c r="S53" s="3">
        <v>49880.65</v>
      </c>
      <c r="T53" s="3">
        <v>32.5</v>
      </c>
    </row>
    <row r="54" spans="1:20" x14ac:dyDescent="0.2">
      <c r="A54" t="s">
        <v>52</v>
      </c>
      <c r="B54" s="3">
        <v>48888</v>
      </c>
      <c r="C54" s="3">
        <v>67886004</v>
      </c>
      <c r="D54" s="3">
        <v>272.89999999999998</v>
      </c>
      <c r="E54" s="3">
        <v>40.799999999999997</v>
      </c>
      <c r="F54" s="3">
        <v>18.52</v>
      </c>
      <c r="G54" s="3">
        <v>12.53</v>
      </c>
      <c r="H54" s="3">
        <v>39753.24</v>
      </c>
      <c r="I54" s="3">
        <f>9668.34</f>
        <v>9668.34</v>
      </c>
      <c r="J54" s="3">
        <f>12072.41</f>
        <v>12072.41</v>
      </c>
      <c r="K54" s="2">
        <f>22.3</f>
        <v>22.3</v>
      </c>
      <c r="L54" s="3">
        <v>0.92</v>
      </c>
      <c r="M54" s="3">
        <v>7032.99</v>
      </c>
      <c r="N54" s="3">
        <v>5643651.75</v>
      </c>
      <c r="O54" s="3">
        <v>0.09</v>
      </c>
      <c r="P54" s="3">
        <v>27.8</v>
      </c>
      <c r="Q54" s="3">
        <v>5178</v>
      </c>
      <c r="R54" s="3">
        <v>9609</v>
      </c>
      <c r="S54" s="3">
        <v>2622772.1</v>
      </c>
      <c r="T54" s="3">
        <v>34.799999999999997</v>
      </c>
    </row>
    <row r="55" spans="1:20" x14ac:dyDescent="0.2">
      <c r="A55" t="s">
        <v>53</v>
      </c>
      <c r="B55" s="3">
        <v>237113</v>
      </c>
      <c r="C55" s="3">
        <v>331002647</v>
      </c>
      <c r="D55" s="3">
        <v>35.61</v>
      </c>
      <c r="E55" s="3">
        <v>38.299999999999997</v>
      </c>
      <c r="F55" s="3">
        <v>15.41</v>
      </c>
      <c r="G55" s="3">
        <v>9.73</v>
      </c>
      <c r="H55" s="3">
        <v>54225.45</v>
      </c>
      <c r="I55" s="3">
        <f>12095.06</f>
        <v>12095.06</v>
      </c>
      <c r="J55" s="3">
        <f>11036.93</f>
        <v>11036.93</v>
      </c>
      <c r="K55" s="2">
        <f>21.8</f>
        <v>21.8</v>
      </c>
      <c r="L55" s="3">
        <v>0.92</v>
      </c>
      <c r="M55" s="3">
        <v>6143.06</v>
      </c>
      <c r="N55" s="3">
        <v>40241611.270000003</v>
      </c>
      <c r="O55" s="3">
        <v>0.17</v>
      </c>
      <c r="P55" s="3">
        <v>36.200000000000003</v>
      </c>
      <c r="Q55" s="3">
        <v>40621</v>
      </c>
      <c r="R55" s="3">
        <v>10352.64</v>
      </c>
      <c r="S55" s="3">
        <v>22862718.149999999</v>
      </c>
      <c r="T55" s="3">
        <v>41.1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Tranum</dc:creator>
  <cp:lastModifiedBy>neema pedersen</cp:lastModifiedBy>
  <dcterms:created xsi:type="dcterms:W3CDTF">2020-11-23T10:14:41Z</dcterms:created>
  <dcterms:modified xsi:type="dcterms:W3CDTF">2020-12-02T10:32:50Z</dcterms:modified>
</cp:coreProperties>
</file>