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ozebi\Desktop\Growth product manager projects\project2\"/>
    </mc:Choice>
  </mc:AlternateContent>
  <xr:revisionPtr revIDLastSave="0" documentId="13_ncr:1_{A379485C-8EC6-47E9-BF1B-91277A41FC94}" xr6:coauthVersionLast="47" xr6:coauthVersionMax="47" xr10:uidLastSave="{00000000-0000-0000-0000-000000000000}"/>
  <bookViews>
    <workbookView xWindow="-120" yWindow="-120" windowWidth="29040" windowHeight="15840" activeTab="2" xr2:uid="{00000000-000D-0000-FFFF-FFFF00000000}"/>
  </bookViews>
  <sheets>
    <sheet name="Deliverables" sheetId="1" r:id="rId1"/>
    <sheet name="Tab 1 - Measure drop-offs" sheetId="2" r:id="rId2"/>
    <sheet name="Tab 2 - Signup Experiments" sheetId="3" r:id="rId3"/>
    <sheet name="Tab 3 - Activation Hypothesis" sheetId="4" r:id="rId4"/>
    <sheet name="Tab 4 - Habit Moment and Metric" sheetId="5" r:id="rId5"/>
    <sheet name="Tab 5 - Aha Moment and Metric A" sheetId="6" r:id="rId6"/>
    <sheet name="Tab 6 - Setup Moment and Metric" sheetId="7" r:id="rId7"/>
    <sheet name="Tab 7 - Activation Funnel" sheetId="8" r:id="rId8"/>
    <sheet name="Tab 8 - Segment Analys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2" i="3" l="1"/>
  <c r="P20" i="3" l="1"/>
  <c r="P23" i="3"/>
  <c r="P21" i="3"/>
  <c r="F32" i="2" l="1"/>
  <c r="G32" i="2"/>
  <c r="H32" i="2"/>
  <c r="F23" i="2"/>
  <c r="F24" i="2"/>
  <c r="F25" i="2"/>
  <c r="F26" i="2"/>
  <c r="F27" i="2"/>
  <c r="F28" i="2"/>
  <c r="F29" i="2"/>
  <c r="F22" i="2"/>
  <c r="E23" i="2"/>
  <c r="E24" i="2"/>
  <c r="E25" i="2"/>
  <c r="E26" i="2"/>
  <c r="E27" i="2"/>
  <c r="E28" i="2"/>
  <c r="E29" i="2"/>
  <c r="E22" i="2"/>
  <c r="D23" i="2"/>
  <c r="D24" i="2"/>
  <c r="D25" i="2"/>
  <c r="D26" i="2"/>
  <c r="D27" i="2"/>
  <c r="D28" i="2"/>
  <c r="D29" i="2"/>
  <c r="D22" i="2"/>
  <c r="I41" i="9"/>
  <c r="I42" i="9"/>
  <c r="I43" i="9"/>
  <c r="I49" i="9" s="1"/>
  <c r="I44" i="9"/>
  <c r="I45" i="9"/>
  <c r="I46" i="9"/>
  <c r="I47" i="9"/>
  <c r="I48" i="9"/>
  <c r="I84" i="9"/>
  <c r="I85" i="9"/>
  <c r="I86" i="9"/>
  <c r="I87" i="9"/>
  <c r="I89" i="9" s="1"/>
  <c r="I88" i="9"/>
  <c r="H84" i="9"/>
  <c r="H85" i="9"/>
  <c r="H86" i="9"/>
  <c r="H87" i="9"/>
  <c r="H88" i="9"/>
  <c r="H89" i="9"/>
  <c r="F84" i="9"/>
  <c r="F85" i="9"/>
  <c r="F86" i="9"/>
  <c r="F89" i="9" s="1"/>
  <c r="F87" i="9"/>
  <c r="F88" i="9"/>
  <c r="D84" i="9"/>
  <c r="D85" i="9"/>
  <c r="D86" i="9"/>
  <c r="D89" i="9" s="1"/>
  <c r="D87" i="9"/>
  <c r="D88" i="9"/>
  <c r="I63" i="9"/>
  <c r="I64" i="9"/>
  <c r="I65" i="9"/>
  <c r="I66" i="9"/>
  <c r="I67" i="9"/>
  <c r="I68" i="9"/>
  <c r="I69" i="9"/>
  <c r="I70" i="9"/>
  <c r="H63" i="9"/>
  <c r="H64" i="9"/>
  <c r="H65" i="9"/>
  <c r="H66" i="9"/>
  <c r="H67" i="9"/>
  <c r="H68" i="9"/>
  <c r="H69" i="9"/>
  <c r="H70" i="9"/>
  <c r="F63" i="9"/>
  <c r="F64" i="9"/>
  <c r="F65" i="9"/>
  <c r="F66" i="9"/>
  <c r="F67" i="9"/>
  <c r="F68" i="9"/>
  <c r="F69" i="9"/>
  <c r="F70" i="9"/>
  <c r="D63" i="9"/>
  <c r="D70" i="9" s="1"/>
  <c r="D64" i="9"/>
  <c r="D65" i="9"/>
  <c r="D66" i="9"/>
  <c r="D67" i="9"/>
  <c r="D68" i="9"/>
  <c r="D69" i="9"/>
  <c r="H41" i="9"/>
  <c r="H42" i="9"/>
  <c r="H43" i="9"/>
  <c r="H44" i="9"/>
  <c r="H45" i="9"/>
  <c r="H46" i="9"/>
  <c r="H47" i="9"/>
  <c r="H48" i="9"/>
  <c r="F41" i="9"/>
  <c r="F42" i="9"/>
  <c r="F43" i="9"/>
  <c r="F44" i="9"/>
  <c r="F45" i="9"/>
  <c r="F46" i="9"/>
  <c r="F47" i="9"/>
  <c r="F48" i="9"/>
  <c r="D42" i="9"/>
  <c r="D43" i="9"/>
  <c r="D44" i="9"/>
  <c r="D45" i="9"/>
  <c r="D46" i="9"/>
  <c r="D47" i="9"/>
  <c r="D48" i="9"/>
  <c r="D41" i="9"/>
  <c r="D49" i="9" s="1"/>
  <c r="D21" i="9"/>
  <c r="D22" i="9"/>
  <c r="D27" i="9" s="1"/>
  <c r="D23" i="9"/>
  <c r="D24" i="9"/>
  <c r="D25" i="9"/>
  <c r="D26" i="9"/>
  <c r="D20" i="9"/>
  <c r="F21" i="9"/>
  <c r="F22" i="9"/>
  <c r="F23" i="9"/>
  <c r="F24" i="9"/>
  <c r="F25" i="9"/>
  <c r="F26" i="9"/>
  <c r="F20" i="9"/>
  <c r="F41" i="7"/>
  <c r="F42" i="7"/>
  <c r="F43" i="7"/>
  <c r="F44" i="7"/>
  <c r="F45" i="7"/>
  <c r="F46" i="7"/>
  <c r="F40" i="7"/>
  <c r="F29" i="7"/>
  <c r="F30" i="7"/>
  <c r="F31" i="7"/>
  <c r="F32" i="7"/>
  <c r="F33" i="7"/>
  <c r="F34" i="7"/>
  <c r="F28" i="7"/>
  <c r="F18" i="7"/>
  <c r="F19" i="7"/>
  <c r="F20" i="7"/>
  <c r="F21" i="7"/>
  <c r="F22" i="7"/>
  <c r="F17" i="7"/>
  <c r="F42" i="6"/>
  <c r="F43" i="6"/>
  <c r="F44" i="6"/>
  <c r="F45" i="6"/>
  <c r="F46" i="6"/>
  <c r="F47" i="6"/>
  <c r="F41" i="6"/>
  <c r="F30" i="6"/>
  <c r="F31" i="6"/>
  <c r="F32" i="6"/>
  <c r="F33" i="6"/>
  <c r="F34" i="6"/>
  <c r="F35" i="6"/>
  <c r="F29" i="6"/>
  <c r="F19" i="6"/>
  <c r="F20" i="6"/>
  <c r="F21" i="6"/>
  <c r="F22" i="6"/>
  <c r="F23" i="6"/>
  <c r="F18" i="6"/>
  <c r="F43" i="5"/>
  <c r="F44" i="5"/>
  <c r="F45" i="5"/>
  <c r="F46" i="5"/>
  <c r="F47" i="5"/>
  <c r="F48" i="5"/>
  <c r="F42" i="5"/>
  <c r="F31" i="5"/>
  <c r="F32" i="5"/>
  <c r="F33" i="5"/>
  <c r="F34" i="5"/>
  <c r="F35" i="5"/>
  <c r="F36" i="5"/>
  <c r="F30" i="5"/>
  <c r="F20" i="5"/>
  <c r="F21" i="5"/>
  <c r="F22" i="5"/>
  <c r="F23" i="5"/>
  <c r="F24" i="5"/>
  <c r="F19" i="5"/>
  <c r="G89" i="9"/>
  <c r="E89" i="9"/>
  <c r="C89" i="9"/>
  <c r="B89" i="9"/>
  <c r="B83" i="9"/>
  <c r="G70" i="9"/>
  <c r="E70" i="9"/>
  <c r="C70" i="9"/>
  <c r="B70" i="9"/>
  <c r="B62" i="9"/>
  <c r="G49" i="9"/>
  <c r="E49" i="9"/>
  <c r="C49" i="9"/>
  <c r="B49" i="9"/>
  <c r="B40" i="9"/>
  <c r="G27" i="9"/>
  <c r="E27" i="9"/>
  <c r="C27" i="9"/>
  <c r="B26" i="9"/>
  <c r="H26" i="9" s="1"/>
  <c r="I26" i="9" s="1"/>
  <c r="B25" i="9"/>
  <c r="H25" i="9" s="1"/>
  <c r="I25" i="9" s="1"/>
  <c r="B24" i="9"/>
  <c r="H24" i="9" s="1"/>
  <c r="I24" i="9" s="1"/>
  <c r="B23" i="9"/>
  <c r="H23" i="9" s="1"/>
  <c r="I23" i="9" s="1"/>
  <c r="B22" i="9"/>
  <c r="H22" i="9" s="1"/>
  <c r="I22" i="9" s="1"/>
  <c r="B21" i="9"/>
  <c r="H21" i="9" s="1"/>
  <c r="I21" i="9" s="1"/>
  <c r="B20" i="9"/>
  <c r="H20" i="9" s="1"/>
  <c r="B19" i="9"/>
  <c r="D19" i="8"/>
  <c r="D18" i="8"/>
  <c r="D17" i="8"/>
  <c r="D16" i="8"/>
  <c r="B16" i="8"/>
  <c r="A16" i="8"/>
  <c r="D15" i="8"/>
  <c r="D14" i="8"/>
  <c r="B14" i="8"/>
  <c r="A14" i="8"/>
  <c r="D13" i="8"/>
  <c r="D12" i="8"/>
  <c r="B12" i="8"/>
  <c r="A12" i="8"/>
  <c r="D11" i="8"/>
  <c r="D10" i="8"/>
  <c r="D9" i="8"/>
  <c r="D8" i="8"/>
  <c r="D7" i="8"/>
  <c r="D6" i="8"/>
  <c r="D5" i="8"/>
  <c r="D4" i="8"/>
  <c r="D3" i="8"/>
  <c r="D2" i="8"/>
  <c r="E46" i="7"/>
  <c r="D46" i="7"/>
  <c r="B46" i="7"/>
  <c r="E45" i="7"/>
  <c r="D45" i="7"/>
  <c r="B45" i="7"/>
  <c r="D44" i="7"/>
  <c r="B44" i="7"/>
  <c r="E44" i="7" s="1"/>
  <c r="D43" i="7"/>
  <c r="B43" i="7"/>
  <c r="E43" i="7" s="1"/>
  <c r="E42" i="7"/>
  <c r="D42" i="7"/>
  <c r="B42" i="7"/>
  <c r="E41" i="7"/>
  <c r="D41" i="7"/>
  <c r="B41" i="7"/>
  <c r="D40" i="7"/>
  <c r="C40" i="7"/>
  <c r="E40" i="7" s="1"/>
  <c r="B40" i="7"/>
  <c r="E34" i="7"/>
  <c r="E33" i="7"/>
  <c r="D33" i="7"/>
  <c r="C33" i="7"/>
  <c r="D32" i="7"/>
  <c r="C32" i="7"/>
  <c r="E32" i="7" s="1"/>
  <c r="D31" i="7"/>
  <c r="C31" i="7"/>
  <c r="E31" i="7" s="1"/>
  <c r="E30" i="7"/>
  <c r="D30" i="7"/>
  <c r="C30" i="7"/>
  <c r="D29" i="7"/>
  <c r="C29" i="7"/>
  <c r="B29" i="7"/>
  <c r="E29" i="7" s="1"/>
  <c r="B28" i="7"/>
  <c r="E28" i="7" s="1"/>
  <c r="D22" i="7"/>
  <c r="C22" i="7"/>
  <c r="B22" i="7"/>
  <c r="E22" i="7" s="1"/>
  <c r="D21" i="7"/>
  <c r="C21" i="7"/>
  <c r="B21" i="7"/>
  <c r="E21" i="7" s="1"/>
  <c r="D20" i="7"/>
  <c r="C20" i="7"/>
  <c r="B20" i="7"/>
  <c r="E20" i="7" s="1"/>
  <c r="D19" i="7"/>
  <c r="C19" i="7"/>
  <c r="B19" i="7"/>
  <c r="E19" i="7" s="1"/>
  <c r="D18" i="7"/>
  <c r="C18" i="7"/>
  <c r="B18" i="7"/>
  <c r="E18" i="7" s="1"/>
  <c r="D17" i="7"/>
  <c r="C17" i="7"/>
  <c r="B17" i="7"/>
  <c r="E17" i="7" s="1"/>
  <c r="D16" i="7"/>
  <c r="C16" i="7"/>
  <c r="B16" i="7"/>
  <c r="E16" i="7" s="1"/>
  <c r="D47" i="6"/>
  <c r="C47" i="6"/>
  <c r="B47" i="6"/>
  <c r="E47" i="6" s="1"/>
  <c r="D46" i="6"/>
  <c r="C46" i="6"/>
  <c r="B46" i="6"/>
  <c r="E46" i="6" s="1"/>
  <c r="D45" i="6"/>
  <c r="C45" i="6"/>
  <c r="B45" i="6"/>
  <c r="E45" i="6" s="1"/>
  <c r="D44" i="6"/>
  <c r="C44" i="6"/>
  <c r="B44" i="6"/>
  <c r="E44" i="6" s="1"/>
  <c r="D43" i="6"/>
  <c r="C43" i="6"/>
  <c r="B43" i="6"/>
  <c r="E43" i="6" s="1"/>
  <c r="D42" i="6"/>
  <c r="C42" i="6"/>
  <c r="B42" i="6"/>
  <c r="E42" i="6" s="1"/>
  <c r="D41" i="6"/>
  <c r="C41" i="6"/>
  <c r="B41" i="6"/>
  <c r="E41" i="6" s="1"/>
  <c r="D35" i="6"/>
  <c r="C35" i="6"/>
  <c r="B35" i="6"/>
  <c r="E35" i="6" s="1"/>
  <c r="D34" i="6"/>
  <c r="C34" i="6"/>
  <c r="B34" i="6"/>
  <c r="E34" i="6" s="1"/>
  <c r="D33" i="6"/>
  <c r="C33" i="6"/>
  <c r="B33" i="6"/>
  <c r="E33" i="6" s="1"/>
  <c r="D32" i="6"/>
  <c r="C32" i="6"/>
  <c r="B32" i="6"/>
  <c r="E32" i="6" s="1"/>
  <c r="D31" i="6"/>
  <c r="C31" i="6"/>
  <c r="B31" i="6"/>
  <c r="E31" i="6" s="1"/>
  <c r="D30" i="6"/>
  <c r="C30" i="6"/>
  <c r="B30" i="6"/>
  <c r="E30" i="6" s="1"/>
  <c r="B29" i="6"/>
  <c r="E29" i="6" s="1"/>
  <c r="E23" i="6"/>
  <c r="D23" i="6"/>
  <c r="E22" i="6"/>
  <c r="D22" i="6"/>
  <c r="E21" i="6"/>
  <c r="D21" i="6"/>
  <c r="D20" i="6"/>
  <c r="B20" i="6"/>
  <c r="E20" i="6" s="1"/>
  <c r="E19" i="6"/>
  <c r="D19" i="6"/>
  <c r="B19" i="6"/>
  <c r="E18" i="6"/>
  <c r="D18" i="6"/>
  <c r="B18" i="6"/>
  <c r="D17" i="6"/>
  <c r="C17" i="6"/>
  <c r="E17" i="6" s="1"/>
  <c r="B17" i="6"/>
  <c r="E48" i="5"/>
  <c r="B48" i="5"/>
  <c r="E47" i="5"/>
  <c r="B47" i="5"/>
  <c r="E46" i="5"/>
  <c r="B46" i="5"/>
  <c r="E45" i="5"/>
  <c r="B45" i="5"/>
  <c r="E44" i="5"/>
  <c r="B44" i="5"/>
  <c r="E43" i="5"/>
  <c r="B43" i="5"/>
  <c r="E42" i="5"/>
  <c r="B42" i="5"/>
  <c r="E36" i="5"/>
  <c r="D36" i="5"/>
  <c r="C36" i="5"/>
  <c r="B36" i="5"/>
  <c r="E35" i="5"/>
  <c r="D35" i="5"/>
  <c r="C35" i="5"/>
  <c r="B35" i="5"/>
  <c r="E34" i="5"/>
  <c r="D34" i="5"/>
  <c r="C34" i="5"/>
  <c r="B34" i="5"/>
  <c r="E33" i="5"/>
  <c r="D33" i="5"/>
  <c r="C33" i="5"/>
  <c r="B33" i="5"/>
  <c r="E32" i="5"/>
  <c r="D32" i="5"/>
  <c r="C32" i="5"/>
  <c r="B32" i="5"/>
  <c r="E31" i="5"/>
  <c r="D31" i="5"/>
  <c r="C31" i="5"/>
  <c r="B31" i="5"/>
  <c r="E30" i="5"/>
  <c r="D30" i="5"/>
  <c r="C30" i="5"/>
  <c r="B30" i="5"/>
  <c r="E24" i="5"/>
  <c r="E23" i="5"/>
  <c r="E22" i="5"/>
  <c r="B21" i="5"/>
  <c r="E21" i="5" s="1"/>
  <c r="B20" i="5"/>
  <c r="E20" i="5" s="1"/>
  <c r="B19" i="5"/>
  <c r="E19" i="5" s="1"/>
  <c r="D18" i="5"/>
  <c r="C18" i="5"/>
  <c r="B18" i="5"/>
  <c r="E18" i="5" s="1"/>
  <c r="A6" i="4"/>
  <c r="P19" i="3"/>
  <c r="C29" i="2"/>
  <c r="C30" i="2" s="1"/>
  <c r="C28" i="2"/>
  <c r="C27" i="2"/>
  <c r="C26" i="2"/>
  <c r="C25" i="2"/>
  <c r="C24" i="2"/>
  <c r="C23" i="2"/>
  <c r="C22" i="2"/>
  <c r="C21" i="2"/>
  <c r="A4" i="1"/>
  <c r="H49" i="9" l="1"/>
  <c r="H27" i="9"/>
  <c r="I20" i="9"/>
  <c r="I27" i="9" s="1"/>
  <c r="F27" i="9"/>
  <c r="B27" i="9"/>
  <c r="F49" i="9"/>
  <c r="B18" i="9"/>
</calcChain>
</file>

<file path=xl/sharedStrings.xml><?xml version="1.0" encoding="utf-8"?>
<sst xmlns="http://schemas.openxmlformats.org/spreadsheetml/2006/main" count="706" uniqueCount="462">
  <si>
    <t>Activation Analysis</t>
  </si>
  <si>
    <r>
      <rPr>
        <b/>
        <sz val="10"/>
        <color theme="1"/>
        <rFont val="Arial"/>
        <family val="2"/>
      </rPr>
      <t>Instructions:</t>
    </r>
    <r>
      <rPr>
        <sz val="10"/>
        <color theme="1"/>
        <rFont val="Arial"/>
        <family val="2"/>
      </rPr>
      <t xml:space="preserve"> In Course 1, you learned how to acquire a customer. Now you have driven your prospect to the point of signup, this prospect is handed off from the Growth PM focused on acquisition to Growth PM focused on activation, YOU. </t>
    </r>
  </si>
  <si>
    <t xml:space="preserve">These tasks will help you understand how to decrease time-to-value and remove friction for users when signing up. After signing up, it's important to activate customers so they experience your value proposition as early as possible, so we must activate users quickly. 
</t>
  </si>
  <si>
    <t>Step 2: Complete Tabs 3 - 8 in order by signing up for Slack: https://slack.com/get-started. These tasks will help you understand how to apply activation theories to guide users from 1-stage to another (signup to engagement) in the Activation model and how to segment audiences and use levers to increase engagement. You are using two different companies (Slack and Productboard) in the project because it will allow you to apply the frameworks, theories, and methods in the classroom to multiple examples, seeing how a GPM at a large and a small scale company address signup flow and activation.</t>
  </si>
  <si>
    <t xml:space="preserve">These tasks will help you understand how to apply activation theories to guide users from 1-stage to another (signup to engagement) in the Activation flow, how to segment audiences and use levers to increase engagement. </t>
  </si>
  <si>
    <t>You are using two different companies (Slack and Productboard) in the project because it will allow you to apply the frameworks, theories, and methods in the classroom to multiple contexts. You will get a feeling for how a GPM at a large and a small scale company address signup flow and activation.</t>
  </si>
  <si>
    <r>
      <rPr>
        <b/>
        <sz val="10"/>
        <color theme="1"/>
        <rFont val="Arial"/>
        <family val="2"/>
      </rPr>
      <t>Note:</t>
    </r>
    <r>
      <rPr>
        <sz val="10"/>
        <color theme="1"/>
        <rFont val="Arial"/>
        <family val="2"/>
      </rPr>
      <t xml:space="preserve"> If you are unable to or have not used Slack before, imagine a product that is the equivalent to SMS, Messenger, or Whatsapp, but for business use-case. Think of the tools mentioned above as an equivalent if you are unable to think of the moments for Slack.</t>
    </r>
  </si>
  <si>
    <t>Mark a task completed on Column B after completing each Tab. To help you keep track of what you have completed.</t>
  </si>
  <si>
    <t>Tab</t>
  </si>
  <si>
    <t>Completed?</t>
  </si>
  <si>
    <t>Tasks</t>
  </si>
  <si>
    <t>Signup Flow</t>
  </si>
  <si>
    <t>Measure drop-offs</t>
  </si>
  <si>
    <t>Signup Experiments</t>
  </si>
  <si>
    <t>Understand Product</t>
  </si>
  <si>
    <t>Activation Hypothesis</t>
  </si>
  <si>
    <t>Funnel Analysis</t>
  </si>
  <si>
    <t>Habit Moment and Metric Analysis</t>
  </si>
  <si>
    <t>Aha Moment and Metric Analysis</t>
  </si>
  <si>
    <t>Setup Moment and Metric Analysis</t>
  </si>
  <si>
    <t>Activation Funnel</t>
  </si>
  <si>
    <t>Activation by Segment</t>
  </si>
  <si>
    <t>Segment Analysis</t>
  </si>
  <si>
    <r>
      <rPr>
        <b/>
        <sz val="10"/>
        <color theme="1"/>
        <rFont val="Arial"/>
        <family val="2"/>
      </rPr>
      <t xml:space="preserve">Scenario: </t>
    </r>
    <r>
      <rPr>
        <sz val="10"/>
        <color theme="1"/>
        <rFont val="Arial"/>
        <family val="2"/>
      </rPr>
      <t xml:space="preserve">You have been brought onto a project at Productboard to help the company optimize the signup flow. 
 </t>
    </r>
  </si>
  <si>
    <t>Your task is to analyze each step in the sign up flow that a user would go through.</t>
  </si>
  <si>
    <t>Qualitatively, understand what each step is asking and if it creates any bad friction.</t>
  </si>
  <si>
    <t>Quantitatively, measure the amount of input (click and fields) it takes for the user to complete each step and what the drop-off rates are.</t>
  </si>
  <si>
    <t>Once you understand the existing flow, suggest experiments to reduce drop-offs %. Doing so, you will increase the amount of leads to the top of the funnel.</t>
  </si>
  <si>
    <r>
      <rPr>
        <b/>
        <sz val="10"/>
        <color theme="1"/>
        <rFont val="Arial"/>
        <family val="2"/>
      </rPr>
      <t xml:space="preserve">Skill: </t>
    </r>
    <r>
      <rPr>
        <sz val="10"/>
        <color theme="1"/>
        <rFont val="Arial"/>
        <family val="2"/>
      </rPr>
      <t>You should:
(1) Calculate drop-offs at each step of sign up flow
(2) Analyze how to reduce drop-offs (increase the signup completion rate) in the flow
(3) Think on how to get users through the activation funnel
(4) Create experiments using the [ACTION], [OUTCOME], and [THEORY] framework.</t>
    </r>
  </si>
  <si>
    <r>
      <rPr>
        <b/>
        <sz val="10"/>
        <color theme="1"/>
        <rFont val="Arial"/>
        <family val="2"/>
      </rPr>
      <t xml:space="preserve">Instructions: </t>
    </r>
    <r>
      <rPr>
        <sz val="10"/>
        <color theme="1"/>
        <rFont val="Arial"/>
        <family val="2"/>
      </rPr>
      <t xml:space="preserve">Sign Up for the free trial of productboard (https://app.productboard.com/register) to complete in-order, a row-at-a-time, the 9 sign-up steps in Column A. Each screen in the sign up on productboard will equal a row in this sheet. Pause at each screen on signup to complete the analysis on each row in this sheet by filling in the questions in the columns for that step before continuing with your sign up on productboard. Along the way, address the questions and calculations in Row 20 to explain your understanding of friction in each step and suggest experiments to address any frictions. Complete the task 1-row at a time from Row 22 - 29. </t>
    </r>
  </si>
  <si>
    <r>
      <rPr>
        <b/>
        <sz val="10"/>
        <color theme="1"/>
        <rFont val="Arial"/>
        <family val="2"/>
      </rPr>
      <t xml:space="preserve">1. </t>
    </r>
    <r>
      <rPr>
        <sz val="10"/>
        <color theme="1"/>
        <rFont val="Arial"/>
        <family val="2"/>
      </rPr>
      <t>Take the Click Through # and calculate the fields on Column D, E, and F.</t>
    </r>
  </si>
  <si>
    <r>
      <rPr>
        <b/>
        <sz val="10"/>
        <color theme="1"/>
        <rFont val="Arial"/>
        <family val="2"/>
      </rPr>
      <t xml:space="preserve">2. </t>
    </r>
    <r>
      <rPr>
        <sz val="10"/>
        <color theme="1"/>
        <rFont val="Arial"/>
        <family val="2"/>
      </rPr>
      <t>Fill in the # of clicks and fields in Column G and H as you go through each step of the sign up flow.</t>
    </r>
  </si>
  <si>
    <t>3. In Column M and N, take the CTA directly from the sign-up flow and document the CTA and an explanation of the information that is being asked</t>
  </si>
  <si>
    <r>
      <rPr>
        <b/>
        <sz val="10"/>
        <color theme="1"/>
        <rFont val="Arial"/>
        <family val="2"/>
      </rPr>
      <t xml:space="preserve">4. </t>
    </r>
    <r>
      <rPr>
        <sz val="10"/>
        <color theme="1"/>
        <rFont val="Arial"/>
        <family val="2"/>
      </rPr>
      <t>In Column O explain your understanding of the value extracted from the information collected.</t>
    </r>
  </si>
  <si>
    <r>
      <rPr>
        <b/>
        <sz val="10"/>
        <color theme="1"/>
        <rFont val="Arial"/>
        <family val="2"/>
      </rPr>
      <t xml:space="preserve">5. </t>
    </r>
    <r>
      <rPr>
        <sz val="10"/>
        <color theme="1"/>
        <rFont val="Arial"/>
        <family val="2"/>
      </rPr>
      <t>In Column P, Q, and R, reply with a binary yes/no; If no, then explain your reasoning.</t>
    </r>
  </si>
  <si>
    <r>
      <rPr>
        <b/>
        <sz val="10"/>
        <color theme="1"/>
        <rFont val="Arial"/>
        <family val="2"/>
      </rPr>
      <t xml:space="preserve">6. </t>
    </r>
    <r>
      <rPr>
        <sz val="10"/>
        <color theme="1"/>
        <rFont val="Arial"/>
        <family val="2"/>
      </rPr>
      <t>Demonstrate your understanding of good and bad friction in Columns S to V by applying the concept of friction to this specific sign up flow.</t>
    </r>
  </si>
  <si>
    <r>
      <rPr>
        <b/>
        <sz val="10"/>
        <color theme="1"/>
        <rFont val="Arial"/>
        <family val="2"/>
      </rPr>
      <t xml:space="preserve">7. </t>
    </r>
    <r>
      <rPr>
        <sz val="10"/>
        <color theme="1"/>
        <rFont val="Arial"/>
        <family val="2"/>
      </rPr>
      <t xml:space="preserve">In Column W, create a experiment brief using the [ACTION], [OUTCOME], and [THEORY] framework. </t>
    </r>
  </si>
  <si>
    <t>Cells in Orange have been completed for you as an example. The formulas have been removed.</t>
  </si>
  <si>
    <t>A</t>
  </si>
  <si>
    <t>B</t>
  </si>
  <si>
    <t xml:space="preserve">C </t>
  </si>
  <si>
    <t>D</t>
  </si>
  <si>
    <t>E</t>
  </si>
  <si>
    <t>F</t>
  </si>
  <si>
    <t>G</t>
  </si>
  <si>
    <t xml:space="preserve">H </t>
  </si>
  <si>
    <t>I</t>
  </si>
  <si>
    <t>J</t>
  </si>
  <si>
    <t>K</t>
  </si>
  <si>
    <t>L</t>
  </si>
  <si>
    <t>M</t>
  </si>
  <si>
    <t>N</t>
  </si>
  <si>
    <t>O</t>
  </si>
  <si>
    <t>P</t>
  </si>
  <si>
    <t>Q</t>
  </si>
  <si>
    <t>R</t>
  </si>
  <si>
    <t>S</t>
  </si>
  <si>
    <t>T</t>
  </si>
  <si>
    <t>U</t>
  </si>
  <si>
    <t>V</t>
  </si>
  <si>
    <t>W</t>
  </si>
  <si>
    <t>Step</t>
  </si>
  <si>
    <t>Name</t>
  </si>
  <si>
    <t>Click-through #</t>
  </si>
  <si>
    <t>Click-through %</t>
  </si>
  <si>
    <t>Drop-off % at each step</t>
  </si>
  <si>
    <r>
      <rPr>
        <b/>
        <sz val="10"/>
        <color theme="1"/>
        <rFont val="Arial"/>
        <family val="2"/>
      </rPr>
      <t>How many total clicks to get to next step?</t>
    </r>
    <r>
      <rPr>
        <sz val="10"/>
        <color theme="1"/>
        <rFont val="Arial"/>
        <family val="2"/>
      </rPr>
      <t xml:space="preserve"> (including optional fields)</t>
    </r>
  </si>
  <si>
    <r>
      <rPr>
        <b/>
        <sz val="10"/>
        <color theme="1"/>
        <rFont val="Arial"/>
        <family val="2"/>
      </rPr>
      <t xml:space="preserve">How many fields to fill out? </t>
    </r>
    <r>
      <rPr>
        <sz val="10"/>
        <color theme="1"/>
        <rFont val="Arial"/>
        <family val="2"/>
      </rPr>
      <t>(including optional fields)</t>
    </r>
  </si>
  <si>
    <t>Observations (Personal Notes)</t>
  </si>
  <si>
    <t>What is the Call-To-Action (CTA)?</t>
  </si>
  <si>
    <t>What information is being asked on this step?</t>
  </si>
  <si>
    <t>What do you think this information is used for?</t>
  </si>
  <si>
    <t>Is the action clear? (If not, explain)</t>
  </si>
  <si>
    <t>Do you think this step is located in the correct (most natural) order of the flow? (If not, explain)</t>
  </si>
  <si>
    <t>Is this step necessary? (If not, explain)</t>
  </si>
  <si>
    <t>Is this good friction or bad friction?</t>
  </si>
  <si>
    <t>If bad friction, how can it be addressed?</t>
  </si>
  <si>
    <t>Why might you not want to remove this bad friction?</t>
  </si>
  <si>
    <t>Can the amount of clicks be reduced? If so, how?</t>
  </si>
  <si>
    <t>Experiment Brief</t>
  </si>
  <si>
    <t>Home Page</t>
  </si>
  <si>
    <t>0%%</t>
  </si>
  <si>
    <t>Just a simple home page with 2 call-to-actions (CTAs) above the fold.</t>
  </si>
  <si>
    <t>To start the free trial by clicking the CTA</t>
  </si>
  <si>
    <t>To start the free trial</t>
  </si>
  <si>
    <t>Yes</t>
  </si>
  <si>
    <t>Good</t>
  </si>
  <si>
    <t>--</t>
  </si>
  <si>
    <t>[ACTION] If we run an a/b experiment by changing the copy from "try now" to "start free trial", or "start 14-day trial" [OUTCOME] we can evaluate if there is more click-throughs to the sign-up page [Theory] because the copy will better present that the trial is offered for free, is for 14-days, and does not require a credit card.</t>
  </si>
  <si>
    <t>Free Trial Sign Up</t>
  </si>
  <si>
    <t>Verification Email</t>
  </si>
  <si>
    <t>Activate account in email</t>
  </si>
  <si>
    <t>Submit personal info</t>
  </si>
  <si>
    <t>Name your workspace</t>
  </si>
  <si>
    <t>Invite Team</t>
  </si>
  <si>
    <t>Password</t>
  </si>
  <si>
    <t>Survey</t>
  </si>
  <si>
    <t>User in-product</t>
  </si>
  <si>
    <t>Average</t>
  </si>
  <si>
    <t>Sum</t>
  </si>
  <si>
    <r>
      <rPr>
        <b/>
        <sz val="10"/>
        <color theme="1"/>
        <rFont val="Arial"/>
        <family val="2"/>
      </rPr>
      <t xml:space="preserve">Skill: </t>
    </r>
    <r>
      <rPr>
        <sz val="10"/>
        <color theme="1"/>
        <rFont val="Arial"/>
        <family val="2"/>
      </rPr>
      <t>You will implement the ICE framework to prioritize your experiments by giving them a growth score. Note: Further analysis and input from engineering and design does occur in the wild, which is removed from the scope of this exercise.</t>
    </r>
  </si>
  <si>
    <r>
      <rPr>
        <b/>
        <sz val="10"/>
        <color theme="1"/>
        <rFont val="Arial"/>
        <family val="2"/>
      </rPr>
      <t xml:space="preserve">Instructions: </t>
    </r>
    <r>
      <rPr>
        <sz val="10"/>
        <color theme="1"/>
        <rFont val="Arial"/>
        <family val="2"/>
      </rPr>
      <t>Complete the task with 1 row (experiment) at a time.</t>
    </r>
  </si>
  <si>
    <t xml:space="preserve">1. Use 5 experiments from Tab 1 - Column W and place them into Tab 2 - Column B. </t>
  </si>
  <si>
    <t>2. In column D, elaborate on what is being tested</t>
  </si>
  <si>
    <t>3. In column E, provide a qualitative and quantitative hypothesis of what will happen</t>
  </si>
  <si>
    <t>4. In column F, describe the rationale of why you chose this experiment from any social proof, previous experience, or from any research.</t>
  </si>
  <si>
    <t>5 In column G, provide a list of stakeholders who would need to be involved to release this experiment and why</t>
  </si>
  <si>
    <t>6. In column H, document what more information is needed for you to execute on this experiment and document what assumptions you are making</t>
  </si>
  <si>
    <t>7. In column I, provide a list of metrics that need to be measured in this experiment that would verify if the experiment failed or passed</t>
  </si>
  <si>
    <t>8. In column J, provide a time-frame the experiment should be run for</t>
  </si>
  <si>
    <t>9 In column K, provide a % of users you would want to experiment with</t>
  </si>
  <si>
    <t>10. In column M - P, apply the ICE framework to your experiments</t>
  </si>
  <si>
    <t xml:space="preserve">B </t>
  </si>
  <si>
    <t>C</t>
  </si>
  <si>
    <r>
      <rPr>
        <b/>
        <sz val="10"/>
        <color theme="1"/>
        <rFont val="Arial"/>
        <family val="2"/>
      </rPr>
      <t xml:space="preserve">Experiment Brief </t>
    </r>
    <r>
      <rPr>
        <b/>
        <sz val="10"/>
        <color theme="1"/>
        <rFont val="Arial"/>
        <family val="2"/>
      </rPr>
      <t>(from Tab 1)</t>
    </r>
  </si>
  <si>
    <t>Which Step of Funnel (name and #) does this experiment impact?</t>
  </si>
  <si>
    <t>Describe what in the experiment is being tested?</t>
  </si>
  <si>
    <t>Hypothesis (What do you think will happen qualitatively and quantitatively?)</t>
  </si>
  <si>
    <t>Rationale (Why do you want to try this experiment?)</t>
  </si>
  <si>
    <t>Stakeholders (What other titles in the company needs to be involved? and why?)</t>
  </si>
  <si>
    <t>What more info do you need to decide this is an experiment you want to run? What assumptions are we making?</t>
  </si>
  <si>
    <t>What metrics should be measured?</t>
  </si>
  <si>
    <t>Length of time to run the experiment?</t>
  </si>
  <si>
    <t>What % of sign up users would you want to experiment with?</t>
  </si>
  <si>
    <t>What Friction is being removed?</t>
  </si>
  <si>
    <t>ICE - Impact? (be quantitative)</t>
  </si>
  <si>
    <t>ICE- Confidence</t>
  </si>
  <si>
    <t>ICE- Ease</t>
  </si>
  <si>
    <t>ICE - Growth Score</t>
  </si>
  <si>
    <t>[ACTION] we can remove the top 50% of the step (role, team size, team use) [OUTCOME] so that we can inc the step completion rate from 92% [THEORY] because we would be decreasing 67% of the clicks on this step.</t>
  </si>
  <si>
    <t>9 - survey</t>
  </si>
  <si>
    <t>We would remove the top portion of this step and only include the button. The screen would then only ask the user for bottom step that starts with "what are you hoping productboard will help you do?" The other steps we removed, we can look into tools like Clearbit that will help us collect the same data.</t>
  </si>
  <si>
    <t>We would remove 67% of the clicks and 4 fields from this step. At the moment the conversion on this step is 92%, but I think we can inc it to 95% as a result of this step.</t>
  </si>
  <si>
    <t>We are asking for too many fields at this step and the user is likely exhausted from going through 9 steps. We need to trim the sign up process to only the bare minimum items we need to get the user to the time-to-value as fast as possible.</t>
  </si>
  <si>
    <t>Sales team to determine how they use the survey data. Marketing team to determine how they use the survey data. Design team to create mockups of the new last step. Engineering team to unmap those fields and remove them from the back end, while keeping historical data.</t>
  </si>
  <si>
    <t>How sales uses this data? Is this data used for marketing engagement and onboarding?</t>
  </si>
  <si>
    <t xml:space="preserve">Higher step 9 conversions and higher total conversions of the funnel. </t>
  </si>
  <si>
    <t>2-weeks</t>
  </si>
  <si>
    <t>Collecting additional data that can be obtained for 3rd party resources. Asking for too much data</t>
  </si>
  <si>
    <r>
      <rPr>
        <b/>
        <sz val="10"/>
        <color theme="1"/>
        <rFont val="Arial"/>
        <family val="2"/>
      </rPr>
      <t xml:space="preserve">Scenario: </t>
    </r>
    <r>
      <rPr>
        <sz val="10"/>
        <color theme="1"/>
        <rFont val="Arial"/>
        <family val="2"/>
      </rPr>
      <t>After doing such an amazing job for Productboard with signup, you have now been brought onto a project at Slack. Slack's revenues have been decreasing by 5% and leadership believes it's an activation problem due to not understanding what we should be guiding our users to-do in our product when the user is signing up.</t>
    </r>
  </si>
  <si>
    <t>You've been tasked to define a more robust activation funnel to achieve shorter time-to-value, product usage, and revenue. You will 
(1) be able to tell Marketing and the Growth PM focusing on acquisition which segment of our users are performing these actions best and 
(2) determine what moments and metrics we should be driving our users towards. NOTE: The rest of the project relates entirely to Slack or a realtime messaging service like Slack.</t>
  </si>
  <si>
    <r>
      <rPr>
        <sz val="10"/>
        <color rgb="FF000000"/>
        <rFont val="Arial"/>
        <family val="2"/>
      </rPr>
      <t xml:space="preserve">You will 
(1) be able to tell Marketing and Growth PM focusing on acquisition which segment of our users are performing these actions best
(2) determine what moments and metrics we should be driving our users towards. 
</t>
    </r>
    <r>
      <rPr>
        <b/>
        <sz val="10"/>
        <color rgb="FF000000"/>
        <rFont val="Arial"/>
        <family val="2"/>
      </rPr>
      <t>NOTE</t>
    </r>
    <r>
      <rPr>
        <sz val="10"/>
        <color rgb="FF000000"/>
        <rFont val="Arial"/>
        <family val="2"/>
      </rPr>
      <t>: The rest of the project relates entirely to Slack or a realtime messaging service like Slack.</t>
    </r>
  </si>
  <si>
    <r>
      <rPr>
        <b/>
        <sz val="10"/>
        <color theme="1"/>
        <rFont val="Arial"/>
        <family val="2"/>
      </rPr>
      <t xml:space="preserve">Skill: </t>
    </r>
    <r>
      <rPr>
        <sz val="10"/>
        <color theme="1"/>
        <rFont val="Arial"/>
        <family val="2"/>
      </rPr>
      <t xml:space="preserve">Before doing any analysis, you want to start off with a hypothesis. Before you quantitatively measure the activation funnel, define your understanding of the product by creating a hypothesis of what the Habit, Aha, and Setup moments are for Slack. </t>
    </r>
  </si>
  <si>
    <t xml:space="preserve">After signing up for Slack, determine what actions in the product and marketing messages the user is driven to. From the actions you are driven to as a new user, determine which actions are leading you to an aha moment to see value of the product or setup moment that are leading you to properly setup your account. </t>
  </si>
  <si>
    <t xml:space="preserve">An example of an Setup Moment is that they market themselves as a replacement of Email on their marketing website, so when you start using the product, they likely get you to take action via Slack what you would normally do via email. </t>
  </si>
  <si>
    <t>An example of Aha Moment is that they get you to engage with the Slackbot or your college, so you can engaging with others, weather that is a human, bots, or other 3rd party services to see value of the tool.</t>
  </si>
  <si>
    <t>Create a hypothesis of what the habit, aha, and setup moments should be for Slack. (Note: this is only for data-dump and for critical thinking.)</t>
  </si>
  <si>
    <t>The answers here are hypothesis based on your experience of starting to use Slack. In addition to creating a new account on Slack, browse through their features page to spark ideas of potential aha moments: https://slack.com/features.</t>
  </si>
  <si>
    <r>
      <rPr>
        <sz val="10"/>
        <color theme="1"/>
        <rFont val="Arial"/>
        <family val="2"/>
      </rPr>
      <t xml:space="preserve">1. List 4 in-product moments you think that if done often would lead a </t>
    </r>
    <r>
      <rPr>
        <b/>
        <sz val="10"/>
        <color rgb="FF4285F4"/>
        <rFont val="Arial"/>
        <family val="2"/>
      </rPr>
      <t>Slack</t>
    </r>
    <r>
      <rPr>
        <sz val="10"/>
        <color theme="1"/>
        <rFont val="Arial"/>
        <family val="2"/>
      </rPr>
      <t xml:space="preserve"> user to build a habit in Row 18-21</t>
    </r>
  </si>
  <si>
    <r>
      <rPr>
        <sz val="10"/>
        <color theme="1"/>
        <rFont val="Arial"/>
        <family val="2"/>
      </rPr>
      <t xml:space="preserve">2. List 4 aha moments in-product that you think if reached, seen, or experienced would get a user to understand the value provided by </t>
    </r>
    <r>
      <rPr>
        <b/>
        <sz val="10"/>
        <color rgb="FF4285F4"/>
        <rFont val="Arial"/>
        <family val="2"/>
      </rPr>
      <t>Slack</t>
    </r>
    <r>
      <rPr>
        <sz val="10"/>
        <color theme="1"/>
        <rFont val="Arial"/>
        <family val="2"/>
      </rPr>
      <t xml:space="preserve"> in Row 15-19</t>
    </r>
  </si>
  <si>
    <r>
      <rPr>
        <sz val="10"/>
        <color theme="1"/>
        <rFont val="Arial"/>
        <family val="2"/>
      </rPr>
      <t xml:space="preserve">2. List 4 aha moments in-product that you think if reached, seen, or experienced would get a user to understand the value provided by </t>
    </r>
    <r>
      <rPr>
        <b/>
        <sz val="10"/>
        <color rgb="FF4285F4"/>
        <rFont val="Arial"/>
        <family val="2"/>
      </rPr>
      <t>Slack</t>
    </r>
    <r>
      <rPr>
        <sz val="10"/>
        <color theme="1"/>
        <rFont val="Arial"/>
        <family val="2"/>
      </rPr>
      <t xml:space="preserve"> in Row 31-34.</t>
    </r>
  </si>
  <si>
    <t>Moment that lead to Habit:</t>
  </si>
  <si>
    <t>Only use Slack, not email, for internal messages</t>
  </si>
  <si>
    <t>Moment that lead to Aha:</t>
  </si>
  <si>
    <t>Getting notifications from team on a group channel</t>
  </si>
  <si>
    <t>Moment that lead to Setup:</t>
  </si>
  <si>
    <t>Engage in a frequency faster than email while being mobile</t>
  </si>
  <si>
    <r>
      <rPr>
        <b/>
        <sz val="10"/>
        <color theme="1"/>
        <rFont val="Arial"/>
        <family val="2"/>
      </rPr>
      <t xml:space="preserve">Scenario: </t>
    </r>
    <r>
      <rPr>
        <sz val="10"/>
        <color theme="1"/>
        <rFont val="Arial"/>
        <family val="2"/>
      </rPr>
      <t xml:space="preserve">The VP of Product took your team's hypothesis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</si>
  <si>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family val="2"/>
      </rPr>
      <t>You need to conduct an analysis on what habit moments and metrics drive users to long-term activation.</t>
    </r>
    <r>
      <rPr>
        <b/>
        <sz val="10"/>
        <color rgb="FF000000"/>
        <rFont val="Arial"/>
        <family val="2"/>
      </rPr>
      <t xml:space="preserve"> 
Remember: </t>
    </r>
    <r>
      <rPr>
        <sz val="10"/>
        <color rgb="FF000000"/>
        <rFont val="Arial"/>
        <family val="2"/>
      </rPr>
      <t xml:space="preserve">Long-term activation would be defined by the metric with the highest % overlap curve. </t>
    </r>
  </si>
  <si>
    <r>
      <rPr>
        <sz val="10"/>
        <color rgb="FF000000"/>
        <rFont val="Arial"/>
        <family val="2"/>
      </rPr>
      <t>The habit, aha, and setup moments will be shared across</t>
    </r>
    <r>
      <rPr>
        <b/>
        <sz val="10"/>
        <color rgb="FF000000"/>
        <rFont val="Arial"/>
        <family val="2"/>
      </rPr>
      <t xml:space="preserve"> next three tabs one for each moment</t>
    </r>
    <r>
      <rPr>
        <sz val="10"/>
        <color rgb="FF000000"/>
        <rFont val="Arial"/>
        <family val="2"/>
      </rPr>
      <t>. 
In this tab, you will analyze just habit moments/metrics and determine whether each of these 3 habit moments affect activation. This is important to know because then we can tailor our product to include the features that allow our users to achieve activation faster. 3 Habit Moments and 3 Habit Metrics are pre-selected for you along with users who completed actions and retained for each of the 3 moments.</t>
    </r>
  </si>
  <si>
    <t>Habit 1 analysis is on row 18-20, habit 2 analysis is on row 30-36, and habit 3 analysis is on row 42-48.</t>
  </si>
  <si>
    <r>
      <rPr>
        <b/>
        <sz val="10"/>
        <color theme="1"/>
        <rFont val="Arial"/>
        <family val="2"/>
      </rPr>
      <t xml:space="preserve">Skills: 
</t>
    </r>
    <r>
      <rPr>
        <sz val="10"/>
        <color theme="1"/>
        <rFont val="Arial"/>
        <family val="2"/>
      </rPr>
      <t>(1) calculate % overlap to measure the relationship of % overlap to habit metric
(2) create line charts to visualize the relationship of the metric
(3) analyze which are the primary habit moments and metric that lead to long-term activation.</t>
    </r>
  </si>
  <si>
    <r>
      <rPr>
        <b/>
        <sz val="10"/>
        <color theme="1"/>
        <rFont val="Arial"/>
        <family val="2"/>
      </rPr>
      <t xml:space="preserve">Instructions: </t>
    </r>
    <r>
      <rPr>
        <sz val="10"/>
        <color theme="1"/>
        <rFont val="Arial"/>
        <family val="2"/>
      </rPr>
      <t>Place any notes, thoughts, comments in the "Observations (Personal Notes)" box in column M -O for yourself as you may want them in the future</t>
    </r>
  </si>
  <si>
    <r>
      <rPr>
        <b/>
        <sz val="10"/>
        <color theme="1"/>
        <rFont val="Arial"/>
        <family val="2"/>
      </rPr>
      <t xml:space="preserve">1. </t>
    </r>
    <r>
      <rPr>
        <sz val="10"/>
        <color theme="1"/>
        <rFont val="Arial"/>
        <family val="2"/>
      </rPr>
      <t xml:space="preserve">Calculate the % overlap for each moment in Column F, </t>
    </r>
  </si>
  <si>
    <r>
      <rPr>
        <b/>
        <sz val="10"/>
        <color theme="1"/>
        <rFont val="Arial"/>
        <family val="2"/>
      </rPr>
      <t xml:space="preserve">2. </t>
    </r>
    <r>
      <rPr>
        <sz val="10"/>
        <color theme="1"/>
        <rFont val="Arial"/>
        <family val="2"/>
      </rPr>
      <t xml:space="preserve">Create a line-graph for each moment in Column H-K to visualize the % Overlap from Column F vs Habit Metric from column A, </t>
    </r>
  </si>
  <si>
    <r>
      <rPr>
        <b/>
        <sz val="10"/>
        <color theme="1"/>
        <rFont val="Arial"/>
        <family val="2"/>
      </rPr>
      <t xml:space="preserve">3. </t>
    </r>
    <r>
      <rPr>
        <sz val="10"/>
        <color theme="1"/>
        <rFont val="Arial"/>
        <family val="2"/>
      </rPr>
      <t>Analyze the data for each moment to determine if based on your analysis, this moment leads to long-term activation or not, and share your reasoning in Column Q - S</t>
    </r>
  </si>
  <si>
    <r>
      <rPr>
        <b/>
        <sz val="10"/>
        <color theme="1"/>
        <rFont val="Arial"/>
        <family val="2"/>
      </rPr>
      <t xml:space="preserve">4. </t>
    </r>
    <r>
      <rPr>
        <sz val="10"/>
        <color theme="1"/>
        <rFont val="Arial"/>
        <family val="2"/>
      </rPr>
      <t>Once Steps 1 - 3 are completed, determine which of the 3 options would the Primary Habit Moment and Metric and explain why in the 2 boxes on the bottom right of this Tab in Row  51.</t>
    </r>
  </si>
  <si>
    <t>Does doing this Habit Metric affect activation? If yes, what is the ideal metric?</t>
  </si>
  <si>
    <t># of</t>
  </si>
  <si>
    <t>User</t>
  </si>
  <si>
    <t>Messages Sent</t>
  </si>
  <si>
    <t>Action Completed</t>
  </si>
  <si>
    <t>Retained + Action NOT completed</t>
  </si>
  <si>
    <t>Retained + Action completed</t>
  </si>
  <si>
    <t>Total Users</t>
  </si>
  <si>
    <t>% Overlap</t>
  </si>
  <si>
    <t>Why?</t>
  </si>
  <si>
    <r>
      <rPr>
        <b/>
        <sz val="10"/>
        <color theme="1"/>
        <rFont val="Arial"/>
        <family val="2"/>
      </rPr>
      <t xml:space="preserve">Habit Moment 2: </t>
    </r>
    <r>
      <rPr>
        <sz val="10"/>
        <color theme="1"/>
        <rFont val="Arial"/>
        <family val="2"/>
      </rPr>
      <t xml:space="preserve">Only use Slack for internal messages, not email   </t>
    </r>
    <r>
      <rPr>
        <b/>
        <sz val="10"/>
        <color theme="1"/>
        <rFont val="Arial"/>
        <family val="2"/>
      </rPr>
      <t xml:space="preserve">                                     </t>
    </r>
  </si>
  <si>
    <r>
      <rPr>
        <b/>
        <sz val="10"/>
        <color theme="1"/>
        <rFont val="Arial"/>
        <family val="2"/>
      </rPr>
      <t xml:space="preserve">Habit Metric 2: </t>
    </r>
    <r>
      <rPr>
        <sz val="10"/>
        <color theme="1"/>
        <rFont val="Arial"/>
        <family val="2"/>
      </rPr>
      <t># of sessions (log-ins) per day</t>
    </r>
  </si>
  <si>
    <t>Session</t>
  </si>
  <si>
    <t>(log-ins)</t>
  </si>
  <si>
    <t>1+</t>
  </si>
  <si>
    <t>2+</t>
  </si>
  <si>
    <t>3+</t>
  </si>
  <si>
    <t>4+</t>
  </si>
  <si>
    <t>5+</t>
  </si>
  <si>
    <t>6+</t>
  </si>
  <si>
    <t>7+</t>
  </si>
  <si>
    <t>Messages</t>
  </si>
  <si>
    <t>Moment</t>
  </si>
  <si>
    <t>Metric</t>
  </si>
  <si>
    <r>
      <rPr>
        <b/>
        <sz val="10"/>
        <color rgb="FF000000"/>
        <rFont val="Arial"/>
        <family val="2"/>
      </rPr>
      <t>What is the best Primary Habit Moment and Metric to select for Slack?</t>
    </r>
    <r>
      <rPr>
        <sz val="10"/>
        <color rgb="FF000000"/>
        <rFont val="Arial"/>
        <family val="2"/>
      </rPr>
      <t xml:space="preserve"> (hint: what did you confirm as a Habit Action in this exercise and which action had the highest overlap - probability to positively affect activation)</t>
    </r>
  </si>
  <si>
    <t>Without using the data analysis, why do you think that this Habit would be the best for Slack?</t>
  </si>
  <si>
    <r>
      <rPr>
        <b/>
        <sz val="10"/>
        <color theme="1"/>
        <rFont val="Arial"/>
        <family val="2"/>
      </rPr>
      <t xml:space="preserve">Scenario: </t>
    </r>
    <r>
      <rPr>
        <sz val="10"/>
        <color theme="1"/>
        <rFont val="Arial"/>
        <family val="2"/>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</si>
  <si>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family val="2"/>
      </rPr>
      <t>You need to conduct an analysis on what habit moments and metrics drive users to long-term activation.</t>
    </r>
    <r>
      <rPr>
        <b/>
        <sz val="10"/>
        <color rgb="FF000000"/>
        <rFont val="Arial"/>
        <family val="2"/>
      </rPr>
      <t xml:space="preserve"> 
Remember: </t>
    </r>
    <r>
      <rPr>
        <sz val="10"/>
        <color rgb="FF000000"/>
        <rFont val="Arial"/>
        <family val="2"/>
      </rPr>
      <t xml:space="preserve">Long-term activation would be defined by the metric with the highest % overlap curve. </t>
    </r>
  </si>
  <si>
    <r>
      <rPr>
        <sz val="10"/>
        <color rgb="FF000000"/>
        <rFont val="Arial"/>
        <family val="2"/>
      </rPr>
      <t>The habit, aha, and setup moments will be shared across</t>
    </r>
    <r>
      <rPr>
        <b/>
        <sz val="10"/>
        <color rgb="FF000000"/>
        <rFont val="Arial"/>
        <family val="2"/>
      </rPr>
      <t xml:space="preserve"> next three tabs one for each moment</t>
    </r>
    <r>
      <rPr>
        <sz val="10"/>
        <color rgb="FF000000"/>
        <rFont val="Arial"/>
        <family val="2"/>
      </rPr>
      <t>. 
In this tab, you will analyze just Aha moments/metrics and determine whether each of these 3 habit moments affect activation. This is important to know because then we can tailor our product to include the features that allow our users to achieve activation faster. 3 Aha Moments and 3 Aha Metrics are pre-selected for you along with users who completed actions and retained for each of the 3 moments.</t>
    </r>
  </si>
  <si>
    <r>
      <rPr>
        <b/>
        <sz val="10"/>
        <color theme="1"/>
        <rFont val="Arial"/>
        <family val="2"/>
      </rPr>
      <t xml:space="preserve">Skill: </t>
    </r>
    <r>
      <rPr>
        <sz val="10"/>
        <color theme="1"/>
        <rFont val="Arial"/>
        <family val="2"/>
      </rPr>
      <t>From these tasks, you can apply your knowledge on how to (1) calculate % overlap to measure the relationship of % overlap to Aha metric, (2) create line charts to visualize the relationship of the metric and (3) analyze which are the primary Aha moments and metric that lead to long-term activation.</t>
    </r>
  </si>
  <si>
    <r>
      <rPr>
        <b/>
        <sz val="10"/>
        <color theme="1"/>
        <rFont val="Arial"/>
        <family val="2"/>
      </rPr>
      <t xml:space="preserve">Instructions: </t>
    </r>
    <r>
      <rPr>
        <sz val="10"/>
        <color theme="1"/>
        <rFont val="Arial"/>
        <family val="2"/>
      </rPr>
      <t>Place any notes, thoughts, comments in the "Observations (Personal Notes)" box in column M - O for yourself to view in the future.</t>
    </r>
  </si>
  <si>
    <r>
      <rPr>
        <b/>
        <sz val="10"/>
        <color theme="1"/>
        <rFont val="Arial"/>
        <family val="2"/>
      </rPr>
      <t xml:space="preserve">1. </t>
    </r>
    <r>
      <rPr>
        <sz val="10"/>
        <color theme="1"/>
        <rFont val="Arial"/>
        <family val="2"/>
      </rPr>
      <t xml:space="preserve">Calculate the % overlap for each moment in Column F, </t>
    </r>
  </si>
  <si>
    <r>
      <rPr>
        <b/>
        <sz val="10"/>
        <color theme="1"/>
        <rFont val="Arial"/>
        <family val="2"/>
      </rPr>
      <t xml:space="preserve">2. </t>
    </r>
    <r>
      <rPr>
        <sz val="10"/>
        <color theme="1"/>
        <rFont val="Arial"/>
        <family val="2"/>
      </rPr>
      <t xml:space="preserve">Create a line-graph for each moment in Column H-K to visualize the % Overlap from Column F vs aha Metric from column A, </t>
    </r>
  </si>
  <si>
    <r>
      <rPr>
        <b/>
        <sz val="10"/>
        <color theme="1"/>
        <rFont val="Arial"/>
        <family val="2"/>
      </rPr>
      <t xml:space="preserve">3. </t>
    </r>
    <r>
      <rPr>
        <sz val="10"/>
        <color theme="1"/>
        <rFont val="Arial"/>
        <family val="2"/>
      </rPr>
      <t>Analyze the data for each moment to determine if based on your analysis, this moment leads to long-term activation or not, and share your reasoning in Column Q - S</t>
    </r>
  </si>
  <si>
    <r>
      <rPr>
        <b/>
        <sz val="10"/>
        <color theme="1"/>
        <rFont val="Arial"/>
        <family val="2"/>
      </rPr>
      <t xml:space="preserve">4. </t>
    </r>
    <r>
      <rPr>
        <sz val="10"/>
        <color theme="1"/>
        <rFont val="Arial"/>
        <family val="2"/>
      </rPr>
      <t>Once Steps 1 - 3 are completed, determine which of the 3 options would the Primary aha Moment and Metric and explain why in the 2 boxes on the bottom right of this Tab in Row 50.</t>
    </r>
  </si>
  <si>
    <t>Aha Moment 1: Engaging with a message in a group channel</t>
  </si>
  <si>
    <t>Does doing this Aha Metric affect activation? If yes, what is the ideal metric?</t>
  </si>
  <si>
    <t xml:space="preserve"># of </t>
  </si>
  <si>
    <t>Days Taken</t>
  </si>
  <si>
    <r>
      <rPr>
        <b/>
        <sz val="10"/>
        <color theme="1"/>
        <rFont val="Arial"/>
        <family val="2"/>
      </rPr>
      <t xml:space="preserve">Aha Moment 2: </t>
    </r>
    <r>
      <rPr>
        <sz val="10"/>
        <color theme="1"/>
        <rFont val="Arial"/>
        <family val="2"/>
      </rPr>
      <t>Messaging with a team member on a direct channel</t>
    </r>
  </si>
  <si>
    <r>
      <rPr>
        <b/>
        <sz val="10"/>
        <color theme="1"/>
        <rFont val="Arial"/>
        <family val="2"/>
      </rPr>
      <t xml:space="preserve">Aha Metric 2: </t>
    </r>
    <r>
      <rPr>
        <sz val="10"/>
        <color theme="1"/>
        <rFont val="Arial"/>
        <family val="2"/>
      </rPr>
      <t xml:space="preserve">sends 1st direct message within X days </t>
    </r>
  </si>
  <si>
    <r>
      <rPr>
        <b/>
        <sz val="10"/>
        <color theme="1"/>
        <rFont val="Arial"/>
        <family val="2"/>
      </rPr>
      <t xml:space="preserve">Aha Moment 3: </t>
    </r>
    <r>
      <rPr>
        <sz val="10"/>
        <color theme="1"/>
        <rFont val="Arial"/>
        <family val="2"/>
      </rPr>
      <t>Searching for old documents, links, and convos</t>
    </r>
  </si>
  <si>
    <t>Aha Metric 3: 1st search for a file or message within X days</t>
  </si>
  <si>
    <r>
      <rPr>
        <b/>
        <sz val="10"/>
        <color rgb="FF000000"/>
        <rFont val="Arial"/>
        <family val="2"/>
      </rPr>
      <t>What is the best Primary Aha Moment and Metric to select for Slack?</t>
    </r>
    <r>
      <rPr>
        <sz val="10"/>
        <color rgb="FF000000"/>
        <rFont val="Arial"/>
        <family val="2"/>
      </rPr>
      <t xml:space="preserve"> (hint: what did you confirm as a Aha Action in this exercise and which action had the highest overlap - probability to positively affect activation)</t>
    </r>
  </si>
  <si>
    <t>Without using the data analysis, why do you think that this Aha would be the best for Slack?</t>
  </si>
  <si>
    <r>
      <rPr>
        <b/>
        <sz val="10"/>
        <color theme="1"/>
        <rFont val="Arial"/>
        <family val="2"/>
      </rPr>
      <t xml:space="preserve">Scenario: </t>
    </r>
    <r>
      <rPr>
        <sz val="10"/>
        <color theme="1"/>
        <rFont val="Arial"/>
        <family val="2"/>
      </rPr>
      <t xml:space="preserve">The VP of Product took your team's hypothesies and narrowed down them down to 3 moments and 3 metrics each fro Habit, Aha, and Setup analysis. The ones provided could include your hypothesis from Tab 3, but if they do not, that does not mean yours hypothesis is not valid. With the VP's experience, he is simply able to narrow down the list for us. </t>
    </r>
  </si>
  <si>
    <r>
      <rPr>
        <sz val="10"/>
        <color rgb="FF000000"/>
        <rFont val="Arial"/>
        <family val="2"/>
      </rPr>
      <t>You need to conduct an analysis on what habit moments and metrics drive users to long-term activation.</t>
    </r>
    <r>
      <rPr>
        <b/>
        <sz val="10"/>
        <color rgb="FF000000"/>
        <rFont val="Arial"/>
        <family val="2"/>
      </rPr>
      <t xml:space="preserve"> 
Remember: </t>
    </r>
    <r>
      <rPr>
        <sz val="10"/>
        <color rgb="FF000000"/>
        <rFont val="Arial"/>
        <family val="2"/>
      </rPr>
      <t xml:space="preserve">Long-term activation would be defined by the metric with the highest % overlap curve. </t>
    </r>
  </si>
  <si>
    <t>The habit, Setup, and setup moments will be shared across next three tabs one for each moment. 
In this tab, you will analyze just Setup moments/metrics and determine whether each of these 3 habit moments affect activation. This is important to know because then we can tailor our product to include the features that allow our users to achieve activation faster. 3 Setup Moments and 3 Setup Metrics are pre-selected for you along with users who completed actions and retained for each of the 3 moments.</t>
  </si>
  <si>
    <r>
      <rPr>
        <b/>
        <sz val="10"/>
        <color theme="1"/>
        <rFont val="Arial"/>
        <family val="2"/>
      </rPr>
      <t xml:space="preserve">Skill: </t>
    </r>
    <r>
      <rPr>
        <sz val="10"/>
        <color theme="1"/>
        <rFont val="Arial"/>
        <family val="2"/>
      </rPr>
      <t>From these tasks, you can apply your knowledge on how to 
(1) calculate % overlap to measure the relationship of % overlap to setup metric
(2) create line charts to visualize the relationship of the metric
(3) analyze which are the primary setup moments and metric that lead to long-term activation.</t>
    </r>
  </si>
  <si>
    <r>
      <rPr>
        <b/>
        <sz val="10"/>
        <color theme="1"/>
        <rFont val="Arial"/>
        <family val="2"/>
      </rPr>
      <t xml:space="preserve">Instructions: </t>
    </r>
    <r>
      <rPr>
        <sz val="10"/>
        <color theme="1"/>
        <rFont val="Arial"/>
        <family val="2"/>
      </rPr>
      <t>Place any notes, thoughts, comments in the "Observations (Personal Notes)" box in column M - O for yourself to view in the future.</t>
    </r>
  </si>
  <si>
    <r>
      <rPr>
        <b/>
        <sz val="10"/>
        <color theme="1"/>
        <rFont val="Arial"/>
        <family val="2"/>
      </rPr>
      <t xml:space="preserve">1. </t>
    </r>
    <r>
      <rPr>
        <sz val="10"/>
        <color theme="1"/>
        <rFont val="Arial"/>
        <family val="2"/>
      </rPr>
      <t xml:space="preserve">Calculate the % overlap for each moment in Column F, </t>
    </r>
  </si>
  <si>
    <r>
      <rPr>
        <b/>
        <sz val="10"/>
        <color theme="1"/>
        <rFont val="Arial"/>
        <family val="2"/>
      </rPr>
      <t xml:space="preserve">2. </t>
    </r>
    <r>
      <rPr>
        <sz val="10"/>
        <color theme="1"/>
        <rFont val="Arial"/>
        <family val="2"/>
      </rPr>
      <t xml:space="preserve">Create a line-graph for each moment in Column H-K to visualize the % Overlap from Column F vs setup Metric from column A, </t>
    </r>
  </si>
  <si>
    <r>
      <rPr>
        <b/>
        <sz val="10"/>
        <color theme="1"/>
        <rFont val="Arial"/>
        <family val="2"/>
      </rPr>
      <t xml:space="preserve">3. </t>
    </r>
    <r>
      <rPr>
        <sz val="10"/>
        <color theme="1"/>
        <rFont val="Arial"/>
        <family val="2"/>
      </rPr>
      <t>Analyze the data for each moment to determine if based on your analysis, this moment leads to long-term activation or not, and share your reasoning in Column Q - S</t>
    </r>
  </si>
  <si>
    <r>
      <rPr>
        <b/>
        <sz val="10"/>
        <color theme="1"/>
        <rFont val="Arial"/>
        <family val="2"/>
      </rPr>
      <t xml:space="preserve">4. </t>
    </r>
    <r>
      <rPr>
        <sz val="10"/>
        <color theme="1"/>
        <rFont val="Arial"/>
        <family val="2"/>
      </rPr>
      <t>Once Steps 1 - 3 are completed, determine which of the 3 options would the Primary setup Moment and Metric and explain why in the 2 boxes on the bottom right of this Tab in Row 50.</t>
    </r>
  </si>
  <si>
    <r>
      <rPr>
        <b/>
        <sz val="10"/>
        <color theme="1"/>
        <rFont val="Arial"/>
        <family val="2"/>
      </rPr>
      <t xml:space="preserve">Setup Moment 1: </t>
    </r>
    <r>
      <rPr>
        <sz val="10"/>
        <color theme="1"/>
        <rFont val="Arial"/>
        <family val="2"/>
      </rPr>
      <t>Configure settings and profile</t>
    </r>
  </si>
  <si>
    <r>
      <rPr>
        <b/>
        <sz val="10"/>
        <color theme="1"/>
        <rFont val="Arial"/>
        <family val="2"/>
      </rPr>
      <t xml:space="preserve">Setup Metric 1: </t>
    </r>
    <r>
      <rPr>
        <sz val="10"/>
        <color theme="1"/>
        <rFont val="Arial"/>
        <family val="2"/>
      </rPr>
      <t>Setting up profile pic within X days</t>
    </r>
  </si>
  <si>
    <t>Does doing this Setup Metric affect activation? If yes, what is the ideal metric?</t>
  </si>
  <si>
    <r>
      <rPr>
        <b/>
        <sz val="10"/>
        <color theme="1"/>
        <rFont val="Arial"/>
        <family val="2"/>
      </rPr>
      <t xml:space="preserve">Setup Moment 2: </t>
    </r>
    <r>
      <rPr>
        <sz val="10"/>
        <color theme="1"/>
        <rFont val="Arial"/>
        <family val="2"/>
      </rPr>
      <t>Integrate to a 3rd party Slack App</t>
    </r>
  </si>
  <si>
    <r>
      <rPr>
        <b/>
        <sz val="10"/>
        <color theme="1"/>
        <rFont val="Arial"/>
        <family val="2"/>
      </rPr>
      <t xml:space="preserve">Setup Metric 2: </t>
    </r>
    <r>
      <rPr>
        <sz val="10"/>
        <color theme="1"/>
        <rFont val="Arial"/>
        <family val="2"/>
      </rPr>
      <t>Integrate to a 3rd party app within 7-days</t>
    </r>
  </si>
  <si>
    <t>Users Invited</t>
  </si>
  <si>
    <r>
      <rPr>
        <b/>
        <sz val="10"/>
        <color rgb="FF000000"/>
        <rFont val="Arial"/>
        <family val="2"/>
      </rPr>
      <t>What is the best Primary Setup Moment and Metric to select for Slack?</t>
    </r>
    <r>
      <rPr>
        <sz val="10"/>
        <color rgb="FF000000"/>
        <rFont val="Arial"/>
        <family val="2"/>
      </rPr>
      <t xml:space="preserve"> (hint: what did you confirm as a Aha Action in this exercise and which action had the highest overlap - probability to positively affect activation)</t>
    </r>
  </si>
  <si>
    <t>Without using the data analysis, why do you think that this Setup would be the best for Slack?</t>
  </si>
  <si>
    <t>Suggested Experiments from Tab 3</t>
  </si>
  <si>
    <r>
      <rPr>
        <b/>
        <sz val="10"/>
        <color theme="1"/>
        <rFont val="Arial"/>
        <family val="2"/>
      </rPr>
      <t xml:space="preserve">Scenario: </t>
    </r>
    <r>
      <rPr>
        <sz val="10"/>
        <color theme="1"/>
        <rFont val="Arial"/>
        <family val="2"/>
      </rPr>
      <t xml:space="preserve">You have been brought onto a project at Slack to help define the activation funnel. </t>
    </r>
  </si>
  <si>
    <t>On this tab, you will be putting all the analysis you've done in previous 3 tabs together. From the 3 previous tabs, you should have identified the primary habit, aha, and signup moment that most influenced activation.</t>
  </si>
  <si>
    <r>
      <rPr>
        <b/>
        <sz val="10"/>
        <color theme="1"/>
        <rFont val="Arial"/>
        <family val="2"/>
      </rPr>
      <t xml:space="preserve">Skill: </t>
    </r>
    <r>
      <rPr>
        <sz val="10"/>
        <color theme="1"/>
        <rFont val="Arial"/>
        <family val="2"/>
      </rPr>
      <t xml:space="preserve">You have determined that many moments and metrics can lead users to activate, but there are only a few </t>
    </r>
    <r>
      <rPr>
        <b/>
        <sz val="10"/>
        <color theme="1"/>
        <rFont val="Arial"/>
        <family val="2"/>
      </rPr>
      <t>Primary</t>
    </r>
    <r>
      <rPr>
        <sz val="10"/>
        <color theme="1"/>
        <rFont val="Arial"/>
        <family val="2"/>
      </rPr>
      <t xml:space="preserve"> moments and metrics that we should drive users towards as they lead to long-term activation.</t>
    </r>
  </si>
  <si>
    <r>
      <rPr>
        <b/>
        <sz val="10"/>
        <color theme="1"/>
        <rFont val="Arial"/>
        <family val="2"/>
      </rPr>
      <t xml:space="preserve">Instructions: </t>
    </r>
    <r>
      <rPr>
        <sz val="10"/>
        <color theme="1"/>
        <rFont val="Arial"/>
        <family val="2"/>
      </rPr>
      <t>Compare your hypothesis from Tab 3- Activation Hyopthesis against the post-analysis activation funnel in Tab 7. Please add your thoughts Column C.</t>
    </r>
  </si>
  <si>
    <r>
      <rPr>
        <sz val="10"/>
        <color theme="1"/>
        <rFont val="Arial"/>
        <family val="2"/>
      </rPr>
      <t xml:space="preserve">1. </t>
    </r>
    <r>
      <rPr>
        <sz val="10"/>
        <color theme="1"/>
        <rFont val="Arial"/>
        <family val="2"/>
      </rPr>
      <t>Your Habit moments and metrics (They should appear here from the relevant tabs, if they do not, please copy them here) for your to reflect on are in A11 and B11</t>
    </r>
    <r>
      <rPr>
        <sz val="10"/>
        <color theme="1"/>
        <rFont val="Arial"/>
        <family val="2"/>
      </rPr>
      <t xml:space="preserve">                                                </t>
    </r>
  </si>
  <si>
    <t>2. Your Aha moments and metrics (They should appear here from the relevant tabs, if they do not, please copy them here) for your to reflect on are in A11 and B12</t>
  </si>
  <si>
    <t>3. Your Setup moments and metrics (They should appear here from the relevant tabs, if they do not, please copy them here) for your to reflect on are in A11 and B13</t>
  </si>
  <si>
    <t>Cells  in orange have been done for you.</t>
  </si>
  <si>
    <t>Metrics that lead to Habit:</t>
  </si>
  <si>
    <t>Observations/Reflections on Hypothesis</t>
  </si>
  <si>
    <t>Metrics that lead to Aha:</t>
  </si>
  <si>
    <t>Moments that lead to Signup:</t>
  </si>
  <si>
    <t>Metrics that lead to Signup:</t>
  </si>
  <si>
    <r>
      <rPr>
        <b/>
        <sz val="10"/>
        <color theme="1"/>
        <rFont val="Arial"/>
        <family val="2"/>
      </rPr>
      <t xml:space="preserve">Scenario: </t>
    </r>
    <r>
      <rPr>
        <sz val="10"/>
        <color theme="1"/>
        <rFont val="Arial"/>
        <family val="2"/>
      </rPr>
      <t xml:space="preserve">Now that you have determined one of Slack's Habit, Aha, and Setup moments, you have been asked by the VP of Product to segment our users through the activation funnel. He requests you share with marketing any findings on what users are performing well, not well, and what areas can be improved on. </t>
    </r>
  </si>
  <si>
    <t xml:space="preserve">The findings will help marketing team focus on Ideal Customer Profiles (ICPs), so they know where to invest for Acquisition. The activation funnel has already been applied to these segments and your goal is to see analyze delta between the funnel and how many users make it through the funnel. </t>
  </si>
  <si>
    <r>
      <rPr>
        <b/>
        <sz val="10"/>
        <color rgb="FF000000"/>
        <rFont val="Arial"/>
        <family val="2"/>
      </rPr>
      <t>Remember</t>
    </r>
    <r>
      <rPr>
        <sz val="10"/>
        <color rgb="FF000000"/>
        <rFont val="Arial"/>
        <family val="2"/>
      </rPr>
      <t xml:space="preserve">: The delta is the percentage of users that make it from one stage of the funnel to the next to ultimately tell us what percent of our acquired users go through all stages of funnel to achieve activation. </t>
    </r>
  </si>
  <si>
    <t>Once your conduct this analysis, you can then create experiments on how to convert more users through each step in the Setup, Aha, and Habit moments. The goal for Slack is to get more users through the funnel so we have more users and  a higer % of users that become activated.</t>
  </si>
  <si>
    <t xml:space="preserve">Skill: Analyze how different segments flow through the activation funnel by determining the # and % of users activated per segment. </t>
  </si>
  <si>
    <r>
      <rPr>
        <b/>
        <sz val="10"/>
        <color theme="1"/>
        <rFont val="Arial"/>
        <family val="2"/>
      </rPr>
      <t>Instructions</t>
    </r>
    <r>
      <rPr>
        <sz val="10"/>
        <color theme="1"/>
        <rFont val="Arial"/>
        <family val="2"/>
      </rPr>
      <t xml:space="preserve">: Conduct each segment analysis in order: 
Industry (Row 8 - 28)
Company Size (Row 30 -50)
Account Size (Row 52 - 71)
Source (Row 73 - 90). </t>
    </r>
  </si>
  <si>
    <t xml:space="preserve">Place any notes, thoughts, comments in the "Observations (Personal Notes)" box for yourself to view in the future - these will not be graded. </t>
  </si>
  <si>
    <t>In your text-based analysis, your goal is to increase the total average % you calculate in row 31, 53, 74, and 93 across each segment. To determine what is a good threshold of % of users activated that is good enough vs.needs more support, compare the % users activated for each segmen to the average for that segment.</t>
  </si>
  <si>
    <r>
      <rPr>
        <b/>
        <sz val="10"/>
        <color theme="1"/>
        <rFont val="Arial"/>
        <family val="2"/>
      </rPr>
      <t xml:space="preserve">1. </t>
    </r>
    <r>
      <rPr>
        <sz val="10"/>
        <color theme="1"/>
        <rFont val="Arial"/>
        <family val="2"/>
      </rPr>
      <t xml:space="preserve">Calculate the Delta (Setup to Aha) ratio in Column D     </t>
    </r>
    <r>
      <rPr>
        <b/>
        <sz val="10"/>
        <color theme="1"/>
        <rFont val="Arial"/>
        <family val="2"/>
      </rPr>
      <t xml:space="preserve">                                              </t>
    </r>
  </si>
  <si>
    <r>
      <rPr>
        <b/>
        <sz val="10"/>
        <color theme="1"/>
        <rFont val="Arial"/>
        <family val="2"/>
      </rPr>
      <t xml:space="preserve">2. </t>
    </r>
    <r>
      <rPr>
        <sz val="10"/>
        <color theme="1"/>
        <rFont val="Arial"/>
        <family val="2"/>
      </rPr>
      <t xml:space="preserve">Calculate Delta (Aha to Habit) ratio in Column F,        </t>
    </r>
    <r>
      <rPr>
        <b/>
        <sz val="10"/>
        <color theme="1"/>
        <rFont val="Arial"/>
        <family val="2"/>
      </rPr>
      <t xml:space="preserve">                                          </t>
    </r>
  </si>
  <si>
    <t xml:space="preserve">3. Calculate # of users activated in Column H,                                                       </t>
  </si>
  <si>
    <r>
      <rPr>
        <b/>
        <sz val="10"/>
        <color theme="1"/>
        <rFont val="Arial"/>
        <family val="2"/>
      </rPr>
      <t xml:space="preserve">4. </t>
    </r>
    <r>
      <rPr>
        <sz val="10"/>
        <color theme="1"/>
        <rFont val="Arial"/>
        <family val="2"/>
      </rPr>
      <t>% of Users Activated in Column I,</t>
    </r>
  </si>
  <si>
    <r>
      <rPr>
        <b/>
        <sz val="10"/>
        <color theme="1"/>
        <rFont val="Arial"/>
        <family val="2"/>
      </rPr>
      <t xml:space="preserve">5. </t>
    </r>
    <r>
      <rPr>
        <sz val="10"/>
        <color theme="1"/>
        <rFont val="Arial"/>
        <family val="2"/>
      </rPr>
      <t>Address questions (located below each segment) regarding what segment has the best/worst activation funnel and create an experiment l to focus effort on a specific segment funnel. Use the [Action], [Outcome], and [Theory] Framework.</t>
    </r>
  </si>
  <si>
    <t>Cells colored in Blue have ben completed as examples for you. The formulas have been removed.</t>
  </si>
  <si>
    <t>Segment Analysis by Industry for June 2019</t>
  </si>
  <si>
    <t>Industry</t>
  </si>
  <si>
    <t>New Users Acquired</t>
  </si>
  <si>
    <t># of Users activated</t>
  </si>
  <si>
    <t>% of Users Activated</t>
  </si>
  <si>
    <t>Total</t>
  </si>
  <si>
    <t>Setup Moment</t>
  </si>
  <si>
    <t>Delta (Setup to Aha)</t>
  </si>
  <si>
    <t>Aha Moment</t>
  </si>
  <si>
    <t>Delta (Aha to Habit)</t>
  </si>
  <si>
    <t>Habit Moment</t>
  </si>
  <si>
    <t>Technology</t>
  </si>
  <si>
    <t xml:space="preserve">Retail </t>
  </si>
  <si>
    <t>Healthcare</t>
  </si>
  <si>
    <t>Financial Services</t>
  </si>
  <si>
    <t>Manufacturing</t>
  </si>
  <si>
    <t>Consume Goods</t>
  </si>
  <si>
    <t>Transportation</t>
  </si>
  <si>
    <t>Oil and Gas</t>
  </si>
  <si>
    <t>What industry has the best activation Funnel? Why?</t>
  </si>
  <si>
    <t>What industry has the worst activation Funnel? Why?</t>
  </si>
  <si>
    <t>What would you want to report to Marketing?</t>
  </si>
  <si>
    <t>Experiment Brief using Action, Outcome, Theory  (Select 1 moments to improve)</t>
  </si>
  <si>
    <t>Segment Analysis by Company Size for June 2019</t>
  </si>
  <si>
    <t>Company Size</t>
  </si>
  <si>
    <t>New Users</t>
  </si>
  <si>
    <t>1-5</t>
  </si>
  <si>
    <t>6-10</t>
  </si>
  <si>
    <t>11-20</t>
  </si>
  <si>
    <t>21-50</t>
  </si>
  <si>
    <t>51-100</t>
  </si>
  <si>
    <t>101-250</t>
  </si>
  <si>
    <t>251-500</t>
  </si>
  <si>
    <t>501+</t>
  </si>
  <si>
    <t>What company size has the best activation Funnel? Why?</t>
  </si>
  <si>
    <t>What company size has the worst activation Funnel? Why?</t>
  </si>
  <si>
    <t>Segment Analysis by Account Size for June 2019</t>
  </si>
  <si>
    <t>Account Size</t>
  </si>
  <si>
    <t>1 - 2</t>
  </si>
  <si>
    <t>2 - 5</t>
  </si>
  <si>
    <t>5 - 10</t>
  </si>
  <si>
    <t>10 - 20</t>
  </si>
  <si>
    <t>20 - 50</t>
  </si>
  <si>
    <t>50 - 100</t>
  </si>
  <si>
    <t>100+</t>
  </si>
  <si>
    <t>What account size has the best activation Funnel? Why?</t>
  </si>
  <si>
    <t>What account size has the worst activation Funnel? Why?</t>
  </si>
  <si>
    <t>Segment Funnel by Sources for June 2019</t>
  </si>
  <si>
    <t>Source</t>
  </si>
  <si>
    <t>Pricing Page</t>
  </si>
  <si>
    <t>Free Trial Page</t>
  </si>
  <si>
    <t>Referral link</t>
  </si>
  <si>
    <t>Team Invitation</t>
  </si>
  <si>
    <t>Blog Page</t>
  </si>
  <si>
    <t>What source has the best activation Funnel? Why?</t>
  </si>
  <si>
    <t>What source has the worst activation Funnel? Why?</t>
  </si>
  <si>
    <r>
      <t xml:space="preserve">Drop-off % through funnel </t>
    </r>
    <r>
      <rPr>
        <sz val="10"/>
        <color theme="1"/>
        <rFont val="Arial"/>
        <family val="2"/>
      </rPr>
      <t>(starting signup)</t>
    </r>
  </si>
  <si>
    <t>Just a simple page with OAuth option  and Email field to fill and  a chack box for policy agreement and call-to-action (Sign-up)</t>
  </si>
  <si>
    <t>the page contains 3 call-to-actions to open the email in different options based on your email domain.</t>
  </si>
  <si>
    <t>Email contains 1 call-to-action</t>
  </si>
  <si>
    <t>start free trail and Request a demo</t>
  </si>
  <si>
    <t>Open Gmail,open Outlook, and open Yahoo Buttons</t>
  </si>
  <si>
    <t>Oauth google and Sign-up button</t>
  </si>
  <si>
    <t xml:space="preserve">
Activate account Button</t>
  </si>
  <si>
    <t>simple page to add personal information has  call-to-action</t>
  </si>
  <si>
    <t>Continue Button</t>
  </si>
  <si>
    <t>simple page to name your workspace and set the workspaces domain with 1 call-to-action</t>
  </si>
  <si>
    <t>the page contains fields to fill with colleagues' emails to invite them with 2 call-to-action</t>
  </si>
  <si>
    <t>Invite and Skip Button</t>
  </si>
  <si>
    <t>Next Button</t>
  </si>
  <si>
    <t>Page has 3 questions 2 are drop-down fields and other typing fields that is optional with 1 call-to-action</t>
  </si>
  <si>
    <t>Open the email to activate the account</t>
  </si>
  <si>
    <t>Activate the account</t>
  </si>
  <si>
    <t>information related to the work</t>
  </si>
  <si>
    <t>add name, set a password, and add a mobile number as an option.</t>
  </si>
  <si>
    <t xml:space="preserve">Name the workspace and set the workplace url </t>
  </si>
  <si>
    <t>Add email addresses of colleagues.</t>
  </si>
  <si>
    <t>yes</t>
  </si>
  <si>
    <t>No</t>
  </si>
  <si>
    <t>set a customer profile</t>
  </si>
  <si>
    <t xml:space="preserve">Bad </t>
  </si>
  <si>
    <t>Bad</t>
  </si>
  <si>
    <t>Colleague's invitation we can remove this step and replace it with a button on the top home page after the customer logged-in.</t>
  </si>
  <si>
    <t>We can remove   the activation process to avoid the customer distraction</t>
  </si>
  <si>
    <t>We can remove or delay as last step of the activation process to avoid customer distraction and the customer quit the page,</t>
  </si>
  <si>
    <t>segment the customer need and specefied the workplaces features as the customer want</t>
  </si>
  <si>
    <t>.</t>
  </si>
  <si>
    <t>Remove the field 'How did you hear about us'</t>
  </si>
  <si>
    <t>We should remove the transfer page to emails for the activation email from the sign-up flow to potentially increase the sign-up conversion by 9 % because transferring the customer of the site to email leads to distraction from the analysis we can see the drop rate is 6%. we will redeace clicks.</t>
  </si>
  <si>
    <t>We should remove the transfer page to emails for the activation email from the sign-up flow to potentially increase the sign-up conversion by 9 % because transferring the customer of the site to email leads to distraction from the analysis we can see the drop rate is 3%. we will redeace clicks.</t>
  </si>
  <si>
    <t>Observations (Personal Notes): we can see that invite 1 team mate and had a back-and-forth direct conversation  activate faster. Invating more team mate less likelihood the user retained .</t>
  </si>
  <si>
    <r>
      <t xml:space="preserve">Habit Metric 3: </t>
    </r>
    <r>
      <rPr>
        <sz val="10"/>
        <color theme="1"/>
        <rFont val="Arial"/>
        <family val="2"/>
      </rPr>
      <t># of messages they were linked to (with an @) that brought them back to Slack</t>
    </r>
  </si>
  <si>
    <t>Yes, the ideal Metrix 3 to 6 sessions(log-ins) per day.</t>
  </si>
  <si>
    <r>
      <t xml:space="preserve">Habit Moment 3: </t>
    </r>
    <r>
      <rPr>
        <sz val="10"/>
        <color theme="1"/>
        <rFont val="Arial"/>
        <family val="2"/>
      </rPr>
      <t xml:space="preserve">Checking a notification when something is addressed to me                      </t>
    </r>
  </si>
  <si>
    <r>
      <t xml:space="preserve">Aha Metric 1: </t>
    </r>
    <r>
      <rPr>
        <sz val="10"/>
        <color theme="1"/>
        <rFont val="Arial"/>
        <family val="2"/>
      </rPr>
      <t>Sending 1st message in a group channel within X days</t>
    </r>
  </si>
  <si>
    <t>Yes ,The ideal Metric Sending 1st message in a group channel within X days</t>
  </si>
  <si>
    <t>Observations (Personal Notes): Sending 1st message in a group channel in the 1st day is the ideal day that gets our users to retain and get  to Aha Moment</t>
  </si>
  <si>
    <t>Observations (Personal Notes): sendding the first direct massage to a team member on a direct channel in the first day gets our  to AHA moment.</t>
  </si>
  <si>
    <t>Technology Because has the highest % and # uses activated with Delta(Setup to Aha) and Delta (Aha to Habit) higher than Average</t>
  </si>
  <si>
    <t>21-50 company size because Because has the highest % and # uses activated with Delta(Setup to Aha) and Delta (Aha to Habit) higher than Average</t>
  </si>
  <si>
    <t>Transportation because has the lowest  % and # uses activated with Delta(Setup to Aha) and Delta (Aha to Habit)  below Average</t>
  </si>
  <si>
    <t>01-05 company size because has the lowest  % and # uses activated with Delta(Setup to Aha) and Delta (Aha to Habit)  below Average</t>
  </si>
  <si>
    <t>50-100 account size  Because has the highest % and # uses activated with Delta(Setup to Aha) and Delta (Aha to Habit) higher than Average</t>
  </si>
  <si>
    <t>1-2 Account size because has the lowest  % and # uses activated with Delta(Setup to Aha) and Delta (Aha to Habit)  below Average</t>
  </si>
  <si>
    <t>Team Invitation Because has the highest % and # uses activated with Delta(Setup to Aha) and Delta (Aha to Habit) higher than Average</t>
  </si>
  <si>
    <t>Blog because has the lowest  % and # uses activated with Delta(Setup to Aha) and Delta (Aha to Habit)  below Average</t>
  </si>
  <si>
    <t>if we remove the field "How did you hear about us " from the last step of singup flow then we run an A/B test by replacing it by small top-up page after the customer setup his account ,we can evaluate if there is decrease in the drop-off % Because we will be removing more fields from the Sign-up flow</t>
  </si>
  <si>
    <t xml:space="preserve">if we remove this step from sign-up flow then we run an A/B test by place a button "Invite collegues" on right-top home page, to potentially decrease the drop-off % by 14%, Because we will be removing the more time-cunsoming and more desctraction step from the sign-up flow. </t>
  </si>
  <si>
    <t>We can remove add mobile number fields.</t>
  </si>
  <si>
    <t>we should remove add mobile number fields from the sign-up flow step.to potentially increase sign-up conversion by 6.8% .Because we will be removing  field from the Sign-up flow and based on the signup analysis done by Heap’s (discussed on the User Input Concept), they have seen a drop of 6.8% in conversions when such fields are asked</t>
  </si>
  <si>
    <t>We would remove this step from the sign-up flow after the customer typed his email and then click on the submit button we should directly, transfer him to submit his personal info.</t>
  </si>
  <si>
    <t xml:space="preserve">Transferring the user out the website can lead to user distraction, we can replace it with a top-up page once finishing the setup account. </t>
  </si>
  <si>
    <t xml:space="preserve">We are asking for email activation at the first step by directly transferring to email this leads to user distraction and is likely to drop. </t>
  </si>
  <si>
    <t xml:space="preserve">if we remove this step from sign-up flow then we run an A/B test by place a button "Invite collegues" on right-top home page after user sign-in, to potentially decrease the drop-off % by 14%, Because we will be removing the more time-cunsoming and more desctraction step from the sign-up flow. </t>
  </si>
  <si>
    <t xml:space="preserve">We would remove this step from the sign-up flow after the use sumit his personel information we transfer him directly to starts with "what are you hoping productboard will help you do?" </t>
  </si>
  <si>
    <t>remove the add mobile number fields and keep the other fields ,the screen would then only ask the user for first and last name.</t>
  </si>
  <si>
    <t>We would change the text "try now" to "start free trial"</t>
  </si>
  <si>
    <t xml:space="preserve">We are asking user to type  collegues email that takes long time of typing that can fruastrated the user ,and maybe the user doesn’t know collegues email </t>
  </si>
  <si>
    <t xml:space="preserve"> the signup analysis done by Heap’s (discussed on the User Input Concept), they have seen a drop of 6.8% in conversions when such fields are asked</t>
  </si>
  <si>
    <t>The text will present that the trial is offered for free</t>
  </si>
  <si>
    <t>user fraustration and destruction,</t>
  </si>
  <si>
    <r>
      <t xml:space="preserve">Setup Moment 3: </t>
    </r>
    <r>
      <rPr>
        <sz val="10"/>
        <color theme="1"/>
        <rFont val="Arial"/>
        <family val="2"/>
      </rPr>
      <t>Invite a team mate and had a back-and-forth direct convo</t>
    </r>
  </si>
  <si>
    <t>Invite a team mate and had a back-and-forth direct convo</t>
  </si>
  <si>
    <r>
      <t xml:space="preserve">Setup Metric 3: </t>
    </r>
    <r>
      <rPr>
        <sz val="10"/>
        <color theme="1"/>
        <rFont val="Arial"/>
        <family val="2"/>
      </rPr>
      <t># of users invited within 7-days</t>
    </r>
  </si>
  <si>
    <t># of users invited within 7-days</t>
  </si>
  <si>
    <t>Engaging with a message in a group channel</t>
  </si>
  <si>
    <t xml:space="preserve"> Sending 1st message in a group channel within X days</t>
  </si>
  <si>
    <t>Getting email address and accept agremment</t>
  </si>
  <si>
    <t>to help the lead verify his email as soon as possible</t>
  </si>
  <si>
    <t>Email: to reach out to the lead, agreement check box to confirm that the lead has a clear knowledge about agreements and privacy policy</t>
  </si>
  <si>
    <t>to ensure that the lead used the correct email that has access to it and will a way to follow-up with customer</t>
  </si>
  <si>
    <t>set up unique workspace that related to the lead company</t>
  </si>
  <si>
    <t>to invite colleagues to use ProductBoard and will be a merketing way .</t>
  </si>
  <si>
    <t>to personalise the user features that related to his field.</t>
  </si>
  <si>
    <t>No, this may be confusing for the user.</t>
  </si>
  <si>
    <t>No, it can be done later, until the user gets the Aha moment and sees the value of the product for sure he will invite his colleagues.</t>
  </si>
  <si>
    <t>No, the confusion of the user at that moment maybe will drop.</t>
  </si>
  <si>
    <t>Send messages of chat privately or with a group.</t>
  </si>
  <si>
    <t>Join and create channels</t>
  </si>
  <si>
    <t>Receive emails or mobile notifications regarding user concern</t>
  </si>
  <si>
    <t>Generate private groups</t>
  </si>
  <si>
    <t xml:space="preserve">send messages to selected users with the same content at the same time </t>
  </si>
  <si>
    <t>Set reminders</t>
  </si>
  <si>
    <t>configure profile</t>
  </si>
  <si>
    <t>Observations (Personal Notes): the graph shows that there is a positive correlation between ovelap% and the growth of sent messages, the significant or ideal Overlap % is started after sending 1000 to 2000 messages.</t>
  </si>
  <si>
    <t>Yes, the ideal matrix is 2000+ messages</t>
  </si>
  <si>
    <t>From the graph, we see the positive correlation increasing the number of sent messages the habit gets strong and gets better ovelap %</t>
  </si>
  <si>
    <t>Observations (Personal Notes): we can see the overlap % increases till the point of 3+ sessions, after that the % started to decrease. This translates to most users reach the habit on the 3rd session per week</t>
  </si>
  <si>
    <t xml:space="preserve">Observations (Personal Notes): we can see a negative correlation, </t>
  </si>
  <si>
    <t xml:space="preserve">Yes, the ideal matrix : 1+ of messages they were linked to (with an @) that brought them back to Slack </t>
  </si>
  <si>
    <r>
      <t xml:space="preserve">Habit Moment 1: </t>
    </r>
    <r>
      <rPr>
        <sz val="10"/>
        <color theme="1"/>
        <rFont val="Arial"/>
        <family val="2"/>
      </rPr>
      <t xml:space="preserve">look for a communication tool outside of email to engage with teammates   </t>
    </r>
    <r>
      <rPr>
        <b/>
        <sz val="10"/>
        <color theme="1"/>
        <rFont val="Arial"/>
        <family val="2"/>
      </rPr>
      <t xml:space="preserve">                                     </t>
    </r>
  </si>
  <si>
    <t xml:space="preserve">look for a communication tool outside of email to engage with teammates   </t>
  </si>
  <si>
    <r>
      <t xml:space="preserve">Habit Metric 1: </t>
    </r>
    <r>
      <rPr>
        <sz val="10"/>
        <color theme="1"/>
        <rFont val="Arial"/>
        <family val="2"/>
      </rPr>
      <t># of Team Slack Messages Sent in 7-days</t>
    </r>
  </si>
  <si>
    <t>Habit Metric 1: # of Team Slack Messages Sent in 7-days</t>
  </si>
  <si>
    <t>Slack is a network platform for users. the ability to communicate with others is the key to the platform. more messages sent more relationship builts and habit.</t>
  </si>
  <si>
    <t>from the graph, we can see that any delay in sending the 1st the more drop in users happened.</t>
  </si>
  <si>
    <t>Yes , the ideal metrix is 1 day</t>
  </si>
  <si>
    <t>form the data most of users get to the Aha moment  if they send the direct messages within 1 day of usage.</t>
  </si>
  <si>
    <t xml:space="preserve">Observations (Personal Notes): the graph shows slight </t>
  </si>
  <si>
    <t xml:space="preserve"> Group messaging helps to keep communication for a long time between different people.</t>
  </si>
  <si>
    <t>Observations (Personal Notes): As we can see the tendency getting decreasing with an increase number of days token to configuring settings.</t>
  </si>
  <si>
    <t>The % overlap is too low means not influence activa</t>
  </si>
  <si>
    <t xml:space="preserve">Observations (Personal Notes): the graph shows a declining tendency </t>
  </si>
  <si>
    <t>Yes, The ideal Metric is the 1st day.</t>
  </si>
  <si>
    <t>if the integration with 3rd party app happens within 1st day of the usage we get good %overlap.</t>
  </si>
  <si>
    <t>Yes, the ideal metric is 1+user invited</t>
  </si>
  <si>
    <t>from the data, we can see the best overlap is the user who invited 1+ mate.</t>
  </si>
  <si>
    <t>The main feature is communication between users.Inviting and initiating a back and forth chat with at least one user uncovers the key value of the product and shows that the users are properly setup.</t>
  </si>
  <si>
    <t>Integrate Slack with 3rd party App</t>
  </si>
  <si>
    <t>focus on the Technology industry because it has the biggest #of new users and the delta(Aha to Habit), I recommend  to less focus on  oil and gas and Transportation industries have the lowest  # of users activated,</t>
  </si>
  <si>
    <t>We need to focus more on small businesses and engage with them, also improve the results through different moments due to the loss of users .</t>
  </si>
  <si>
    <t>from the analysis the accounts with a size 5+ have a good Delta(Aha to Habit ) by focusing on those type of accounts we will activate more users.</t>
  </si>
  <si>
    <t>New users coming from invitation from existing users, focusing on the retention leads to more new user ,for the pricing and blog page we need to improve them.</t>
  </si>
  <si>
    <t>We can provide 24 hrs free to try all types of subscriptions to show the leads the benefits of every subscription type, So we can increase the conversion rate, because by this way the leads will see features in action and get to the Aha moment.</t>
  </si>
  <si>
    <t xml:space="preserve">initiate a pricing plan for accounts that are over 5 users means the more users join the account get the cheaper prices, By this way will encourage more users to join because this helps to reduce the cost and use our product as the main communication channel. </t>
  </si>
  <si>
    <t>if we can generate a video that provides deep details and instructions for  teams to use the workspace, we can increase the three moments,  especially for companies over 50, because will simplify the set-up process and show how communication is done through the channels.</t>
  </si>
  <si>
    <t>the user gets to the habit moment after 1st mentioning and increasing mentioning does not lead to more activation.</t>
  </si>
  <si>
    <t>from the data, it takes 3+ sessions per week to create a habit.</t>
  </si>
  <si>
    <t xml:space="preserve"> </t>
  </si>
  <si>
    <t>removing the whole step  we decrease the number of clicks,that's speed up the process to a lead getting an Aha moment,I would expect an increase in conversion rate up to 2%</t>
  </si>
  <si>
    <t>removing the whole step  we decrease the number of clicks and eliminate any chance that allows the lead  to leave our product page, I would expect an increase in conversion up to 1%</t>
  </si>
  <si>
    <t xml:space="preserve">By making the text clear that tring our product for free we reduce uncertainty and give a chance to user to try the product that increase the trust ,I would expect an increase clicks through rate up to 96% </t>
  </si>
  <si>
    <t>How sales and marketing team using these emails?</t>
  </si>
  <si>
    <t xml:space="preserve">Marketing team to determine whether they use these emails with promotion campaigns.
Design team to understand to impact o removing this step on UX design 
The engineering team asking them how much time and effort were needed to remove the step.
</t>
  </si>
  <si>
    <t>Higher total conversion of the funnel</t>
  </si>
  <si>
    <t xml:space="preserve">Design Team to approach the perfect UX design. </t>
  </si>
  <si>
    <t>Higher step 2 conversion and higher total conversion of funnel</t>
  </si>
  <si>
    <t>1- Month</t>
  </si>
  <si>
    <t>Remove Uncertainty</t>
  </si>
  <si>
    <t>Marketing team to determine whether they use these mobile numbers for marketing. 
Design team to understand to impact o removing this step on UX design 
The engineering team asking them how much time and effort were needed to remove the step.</t>
  </si>
  <si>
    <t xml:space="preserve">Security team 
Quality team 
Design team
Engineering Team </t>
  </si>
  <si>
    <t>How security and quality team check the email ?</t>
  </si>
  <si>
    <t>Higher step conversions and higher total conversions of the funnel</t>
  </si>
  <si>
    <t xml:space="preserve">Sending messages in groups will be an effective way for replacing email and eliminating any
 thoughts of delayed emails or emails going to the spam folder. 
This feature allows users to track any reply from the team and also by a way for users to discover the value of the product. </t>
  </si>
  <si>
    <t>Inviting colleagues to join Slack for communication is a good sign that they discover the value of the product and using it s a primary source for communication that’s mean they get the Aha moment .</t>
  </si>
  <si>
    <t>The conversion in groups is much easier to track the replies or create one. 
The feature gets the user to the Aha moment and articulates the key value of the product.</t>
  </si>
  <si>
    <t>if we generate a training to the financial services who to use our product features and how much securitywe offer so we can increase the convertion rate because offering security for a sensetive information .</t>
  </si>
  <si>
    <t>Create a workspace</t>
  </si>
  <si>
    <t>invite colleagues /Coworker</t>
  </si>
  <si>
    <t>Track action Iteams</t>
  </si>
  <si>
    <t>Use Slack for meetings video call with  members ( canvases)</t>
  </si>
  <si>
    <r>
      <t>Scenario:</t>
    </r>
    <r>
      <rPr>
        <sz val="10"/>
        <color theme="1"/>
        <rFont val="Arial"/>
        <family val="2"/>
      </rPr>
      <t xml:space="preserve"> The director of PM at Productboard has looked at your analysis of experiments in Tab 1 and wants to better understand how you will implement these experiments, your hypothesis on the impacts, how you will prioritize them, and how you will measure success. Not every experiment needs to be expanded on, so he asks to choose your top 5.</t>
    </r>
  </si>
  <si>
    <t xml:space="preserve"> If we run an a/b experiment by changing the copy from "try now" to "start free trial", or "start 15-day trial" [OUTCOME] we can evaluate if there is more click-throughs to the sign-up page [Theory] because the copy will better present that the trial is offered for free, is for 15-days, and does not require a credit card.</t>
  </si>
  <si>
    <t xml:space="preserve">By Making the Text clear  can we increase the sing up numbers ? </t>
  </si>
  <si>
    <t>Remove any lead's fear to use the mobile number for unwanted cold calls or masseges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</si>
</sst>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mmm\-yy"/>
    <numFmt numFmtId="165" formatCode="0.0%"/>
  </numFmts>
  <fonts count="31">
    <font>
      <sz val="10"/>
      <color rgb="FF000000"/>
      <name val="Arial"/>
      <scheme val="minor"/>
    </font>
    <font>
      <sz val="31"/>
      <color rgb="FF000000"/>
      <name val="Arial"/>
      <family val="2"/>
    </font>
    <font>
      <sz val="10"/>
      <name val="Arial"/>
      <family val="2"/>
    </font>
    <font>
      <sz val="10"/>
      <color theme="1"/>
      <name val="Arial"/>
      <family val="2"/>
      <scheme val="minor"/>
    </font>
    <font>
      <u/>
      <sz val="10"/>
      <color rgb="FF0000FF"/>
      <name val="Arial"/>
      <family val="2"/>
    </font>
    <font>
      <sz val="10"/>
      <color rgb="FF000000"/>
      <name val="Arial"/>
      <family val="2"/>
    </font>
    <font>
      <b/>
      <sz val="10"/>
      <color rgb="FF000000"/>
      <name val="Arial"/>
      <family val="2"/>
    </font>
    <font>
      <b/>
      <sz val="10"/>
      <color theme="1"/>
      <name val="Arial"/>
      <family val="2"/>
    </font>
    <font>
      <sz val="10"/>
      <color theme="1"/>
      <name val="Arial"/>
      <family val="2"/>
    </font>
    <font>
      <sz val="11"/>
      <color rgb="FF222222"/>
      <name val="&quot;Google Sans&quot;"/>
    </font>
    <font>
      <b/>
      <sz val="20"/>
      <color theme="1"/>
      <name val="Arial"/>
      <family val="2"/>
    </font>
    <font>
      <b/>
      <sz val="30"/>
      <color theme="1"/>
      <name val="Arial"/>
      <family val="2"/>
      <scheme val="minor"/>
    </font>
    <font>
      <b/>
      <u/>
      <sz val="10"/>
      <color rgb="FF0000FF"/>
      <name val="Arial"/>
      <family val="2"/>
    </font>
    <font>
      <b/>
      <sz val="10"/>
      <color theme="1"/>
      <name val="Arial"/>
      <family val="2"/>
      <scheme val="minor"/>
    </font>
    <font>
      <b/>
      <sz val="30"/>
      <color theme="1"/>
      <name val="Arial"/>
      <family val="2"/>
    </font>
    <font>
      <b/>
      <sz val="10"/>
      <color rgb="FFB7B7B7"/>
      <name val="Arial"/>
      <family val="2"/>
      <scheme val="minor"/>
    </font>
    <font>
      <sz val="10"/>
      <color rgb="FFB7B7B7"/>
      <name val="Arial"/>
      <family val="2"/>
      <scheme val="minor"/>
    </font>
    <font>
      <b/>
      <sz val="10"/>
      <color rgb="FFB7B7B7"/>
      <name val="Arial"/>
      <family val="2"/>
    </font>
    <font>
      <sz val="11"/>
      <color rgb="FF000000"/>
      <name val="Arial"/>
      <family val="2"/>
    </font>
    <font>
      <b/>
      <sz val="18"/>
      <color theme="1"/>
      <name val="Arial"/>
      <family val="2"/>
      <scheme val="minor"/>
    </font>
    <font>
      <sz val="10"/>
      <color theme="1"/>
      <name val="Arial"/>
      <family val="2"/>
      <scheme val="minor"/>
    </font>
    <font>
      <b/>
      <sz val="10"/>
      <color rgb="FF000000"/>
      <name val="Open Sans"/>
    </font>
    <font>
      <b/>
      <sz val="10"/>
      <color theme="1"/>
      <name val="Arial"/>
      <family val="2"/>
      <scheme val="minor"/>
    </font>
    <font>
      <sz val="10"/>
      <color rgb="FF000000"/>
      <name val="Open Sans"/>
    </font>
    <font>
      <b/>
      <sz val="10"/>
      <color theme="1"/>
      <name val="Open Sans"/>
    </font>
    <font>
      <b/>
      <sz val="10"/>
      <color rgb="FF4285F4"/>
      <name val="Arial"/>
      <family val="2"/>
    </font>
    <font>
      <sz val="10"/>
      <color theme="1"/>
      <name val="Arial"/>
      <family val="2"/>
    </font>
    <font>
      <sz val="10"/>
      <color rgb="FF000000"/>
      <name val="Arial"/>
      <family val="2"/>
    </font>
    <font>
      <b/>
      <sz val="10"/>
      <color theme="1"/>
      <name val="Arial"/>
      <family val="2"/>
    </font>
    <font>
      <b/>
      <sz val="10"/>
      <color theme="1"/>
      <name val="Arial"/>
      <family val="2"/>
      <scheme val="minor"/>
    </font>
    <font>
      <sz val="10"/>
      <color theme="1"/>
      <name val="Arial"/>
      <family val="2"/>
      <scheme val="minor"/>
    </font>
  </fonts>
  <fills count="26">
    <fill>
      <patternFill patternType="none"/>
    </fill>
    <fill>
      <patternFill patternType="gray125"/>
    </fill>
    <fill>
      <patternFill patternType="solid">
        <fgColor rgb="FFCCCCCC"/>
        <bgColor rgb="FFCCCCCC"/>
      </patternFill>
    </fill>
    <fill>
      <patternFill patternType="solid">
        <fgColor rgb="FFFFFFFF"/>
        <bgColor rgb="FFFFFFFF"/>
      </patternFill>
    </fill>
    <fill>
      <patternFill patternType="solid">
        <fgColor rgb="FFB6D7A8"/>
        <bgColor rgb="FFB6D7A8"/>
      </patternFill>
    </fill>
    <fill>
      <patternFill patternType="solid">
        <fgColor rgb="FFF6B26B"/>
        <bgColor rgb="FFF6B26B"/>
      </patternFill>
    </fill>
    <fill>
      <patternFill patternType="solid">
        <fgColor rgb="FFF3F3F3"/>
        <bgColor rgb="FFF3F3F3"/>
      </patternFill>
    </fill>
    <fill>
      <patternFill patternType="solid">
        <fgColor rgb="FFBDBDBD"/>
        <bgColor rgb="FFBDBDBD"/>
      </patternFill>
    </fill>
    <fill>
      <patternFill patternType="solid">
        <fgColor rgb="FFA4C2F4"/>
        <bgColor rgb="FFA4C2F4"/>
      </patternFill>
    </fill>
    <fill>
      <patternFill patternType="solid">
        <fgColor rgb="FFD8D8D8"/>
        <bgColor rgb="FFD8D8D8"/>
      </patternFill>
    </fill>
    <fill>
      <patternFill patternType="solid">
        <fgColor rgb="FFC0CE7B"/>
        <bgColor rgb="FFC0CE7B"/>
      </patternFill>
    </fill>
    <fill>
      <patternFill patternType="solid">
        <fgColor rgb="FFFBD584"/>
        <bgColor rgb="FFFBD584"/>
      </patternFill>
    </fill>
    <fill>
      <patternFill patternType="solid">
        <fgColor rgb="FFEF9E65"/>
        <bgColor rgb="FFEF9E65"/>
      </patternFill>
    </fill>
    <fill>
      <patternFill patternType="solid">
        <fgColor rgb="FFF9CA7E"/>
        <bgColor rgb="FFF9CA7E"/>
      </patternFill>
    </fill>
    <fill>
      <patternFill patternType="solid">
        <fgColor rgb="FFF0A468"/>
        <bgColor rgb="FFF0A468"/>
      </patternFill>
    </fill>
    <fill>
      <patternFill patternType="solid">
        <fgColor rgb="FFE98256"/>
        <bgColor rgb="FFE98256"/>
      </patternFill>
    </fill>
    <fill>
      <patternFill patternType="solid">
        <fgColor rgb="FFFEE18B"/>
        <bgColor rgb="FFFEE18B"/>
      </patternFill>
    </fill>
    <fill>
      <patternFill patternType="solid">
        <fgColor rgb="FFF1A96C"/>
        <bgColor rgb="FFF1A96C"/>
      </patternFill>
    </fill>
    <fill>
      <patternFill patternType="solid">
        <fgColor rgb="FFE5724D"/>
        <bgColor rgb="FFE5724D"/>
      </patternFill>
    </fill>
    <fill>
      <patternFill patternType="solid">
        <fgColor rgb="FFF7C57B"/>
        <bgColor rgb="FFF7C57B"/>
      </patternFill>
    </fill>
    <fill>
      <patternFill patternType="solid">
        <fgColor rgb="FFEC935F"/>
        <bgColor rgb="FFEC935F"/>
      </patternFill>
    </fill>
    <fill>
      <patternFill patternType="solid">
        <fgColor rgb="FFEC8F5D"/>
        <bgColor rgb="FFEC8F5D"/>
      </patternFill>
    </fill>
    <fill>
      <patternFill patternType="solid">
        <fgColor rgb="FFE26344"/>
        <bgColor rgb="FFE26344"/>
      </patternFill>
    </fill>
    <fill>
      <patternFill patternType="solid">
        <fgColor rgb="FFDF563D"/>
        <bgColor rgb="FFDF563D"/>
      </patternFill>
    </fill>
    <fill>
      <patternFill patternType="solid">
        <fgColor rgb="FFEA8859"/>
        <bgColor rgb="FFEA8859"/>
      </patternFill>
    </fill>
    <fill>
      <patternFill patternType="solid">
        <fgColor theme="0"/>
        <bgColor rgb="FFB6D7A8"/>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9">
    <xf numFmtId="0" fontId="0" fillId="0" borderId="0" xfId="0"/>
    <xf numFmtId="0" fontId="5" fillId="3" borderId="0" xfId="0" applyFont="1" applyFill="1" applyAlignment="1">
      <alignment horizontal="left"/>
    </xf>
    <xf numFmtId="0" fontId="7" fillId="0" borderId="2" xfId="0" applyFont="1" applyBorder="1" applyAlignment="1">
      <alignment horizontal="center"/>
    </xf>
    <xf numFmtId="0" fontId="7" fillId="0" borderId="3" xfId="0" applyFont="1" applyBorder="1" applyAlignment="1">
      <alignment horizontal="center"/>
    </xf>
    <xf numFmtId="0" fontId="7" fillId="2" borderId="10" xfId="0" applyFont="1" applyFill="1" applyBorder="1" applyAlignment="1">
      <alignment horizontal="center"/>
    </xf>
    <xf numFmtId="0" fontId="7" fillId="2" borderId="10" xfId="0" applyFont="1" applyFill="1" applyBorder="1"/>
    <xf numFmtId="0" fontId="8" fillId="2" borderId="10" xfId="0" applyFont="1" applyFill="1" applyBorder="1"/>
    <xf numFmtId="0" fontId="8" fillId="2" borderId="3" xfId="0" applyFont="1" applyFill="1" applyBorder="1"/>
    <xf numFmtId="0" fontId="8" fillId="0" borderId="11" xfId="0" applyFont="1" applyBorder="1" applyAlignment="1">
      <alignment horizontal="center"/>
    </xf>
    <xf numFmtId="0" fontId="8" fillId="4" borderId="10" xfId="0" applyFont="1" applyFill="1" applyBorder="1"/>
    <xf numFmtId="0" fontId="8" fillId="0" borderId="10" xfId="0" applyFont="1" applyBorder="1"/>
    <xf numFmtId="0" fontId="3" fillId="0" borderId="10" xfId="0" applyFont="1" applyBorder="1" applyAlignment="1">
      <alignment horizontal="center"/>
    </xf>
    <xf numFmtId="0" fontId="8" fillId="2" borderId="10" xfId="0" applyFont="1" applyFill="1" applyBorder="1" applyAlignment="1">
      <alignment horizontal="center"/>
    </xf>
    <xf numFmtId="0" fontId="9" fillId="3" borderId="10" xfId="0" applyFont="1" applyFill="1" applyBorder="1"/>
    <xf numFmtId="0" fontId="8" fillId="0" borderId="0" xfId="0" applyFont="1"/>
    <xf numFmtId="0" fontId="7" fillId="0" borderId="0" xfId="0" applyFont="1" applyAlignment="1">
      <alignment wrapText="1"/>
    </xf>
    <xf numFmtId="0" fontId="6" fillId="5" borderId="0" xfId="0" applyFont="1" applyFill="1" applyAlignment="1">
      <alignment horizontal="left"/>
    </xf>
    <xf numFmtId="0" fontId="5" fillId="5" borderId="8" xfId="0" applyFont="1" applyFill="1" applyBorder="1" applyAlignment="1">
      <alignment horizontal="left"/>
    </xf>
    <xf numFmtId="0" fontId="5" fillId="5" borderId="9" xfId="0" applyFont="1" applyFill="1" applyBorder="1" applyAlignment="1">
      <alignment horizontal="left"/>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8" fillId="3" borderId="10" xfId="0" applyFont="1" applyFill="1" applyBorder="1" applyAlignment="1">
      <alignment horizontal="right"/>
    </xf>
    <xf numFmtId="0" fontId="8" fillId="3" borderId="10" xfId="0" applyFont="1" applyFill="1" applyBorder="1"/>
    <xf numFmtId="10" fontId="8" fillId="5" borderId="10" xfId="0" applyNumberFormat="1" applyFont="1" applyFill="1" applyBorder="1" applyAlignment="1">
      <alignment horizontal="right"/>
    </xf>
    <xf numFmtId="0" fontId="8" fillId="5" borderId="10" xfId="0" applyFont="1" applyFill="1" applyBorder="1" applyAlignment="1">
      <alignment horizontal="center"/>
    </xf>
    <xf numFmtId="0" fontId="8" fillId="5" borderId="10" xfId="0" applyFont="1" applyFill="1" applyBorder="1" applyAlignment="1">
      <alignment horizontal="right" wrapText="1"/>
    </xf>
    <xf numFmtId="0" fontId="5" fillId="5" borderId="10" xfId="0" applyFont="1" applyFill="1" applyBorder="1" applyAlignment="1">
      <alignment vertical="top" wrapText="1"/>
    </xf>
    <xf numFmtId="0" fontId="8" fillId="5" borderId="10" xfId="0" applyFont="1" applyFill="1" applyBorder="1" applyAlignment="1">
      <alignment vertical="top"/>
    </xf>
    <xf numFmtId="0" fontId="5" fillId="5" borderId="10" xfId="0" applyFont="1" applyFill="1" applyBorder="1" applyAlignment="1">
      <alignment wrapText="1"/>
    </xf>
    <xf numFmtId="0" fontId="8" fillId="5" borderId="10" xfId="0" applyFont="1" applyFill="1" applyBorder="1" applyAlignment="1">
      <alignment wrapText="1"/>
    </xf>
    <xf numFmtId="0" fontId="8" fillId="5" borderId="10" xfId="0" applyFont="1" applyFill="1" applyBorder="1"/>
    <xf numFmtId="0" fontId="8" fillId="5" borderId="10" xfId="0" applyFont="1" applyFill="1" applyBorder="1" applyAlignment="1">
      <alignment vertical="top" wrapText="1"/>
    </xf>
    <xf numFmtId="0" fontId="8" fillId="0" borderId="10" xfId="0" applyFont="1" applyBorder="1" applyAlignment="1">
      <alignment horizontal="right"/>
    </xf>
    <xf numFmtId="10" fontId="8" fillId="4" borderId="10" xfId="0" applyNumberFormat="1" applyFont="1" applyFill="1" applyBorder="1" applyAlignment="1">
      <alignment horizontal="right"/>
    </xf>
    <xf numFmtId="0" fontId="8" fillId="4" borderId="10" xfId="0" applyFont="1" applyFill="1" applyBorder="1" applyAlignment="1">
      <alignment horizontal="right" wrapText="1"/>
    </xf>
    <xf numFmtId="0" fontId="8" fillId="4" borderId="11" xfId="0" applyFont="1" applyFill="1" applyBorder="1" applyAlignment="1">
      <alignment vertical="top" wrapText="1"/>
    </xf>
    <xf numFmtId="0" fontId="8" fillId="4" borderId="10" xfId="0" applyFont="1" applyFill="1" applyBorder="1" applyAlignment="1">
      <alignment vertical="top"/>
    </xf>
    <xf numFmtId="0" fontId="8" fillId="4" borderId="10" xfId="0" applyFont="1" applyFill="1" applyBorder="1" applyAlignment="1">
      <alignment wrapText="1"/>
    </xf>
    <xf numFmtId="0" fontId="8" fillId="4" borderId="10" xfId="0" applyFont="1" applyFill="1" applyBorder="1" applyAlignment="1">
      <alignment vertical="top" wrapText="1"/>
    </xf>
    <xf numFmtId="0" fontId="5" fillId="4" borderId="11" xfId="0" applyFont="1" applyFill="1" applyBorder="1" applyAlignment="1">
      <alignment vertical="top" wrapText="1"/>
    </xf>
    <xf numFmtId="0" fontId="5" fillId="4" borderId="10" xfId="0" applyFont="1" applyFill="1" applyBorder="1" applyAlignment="1">
      <alignment vertical="top" wrapText="1"/>
    </xf>
    <xf numFmtId="0" fontId="8" fillId="0" borderId="11" xfId="0" applyFont="1" applyBorder="1" applyAlignment="1">
      <alignment horizontal="right"/>
    </xf>
    <xf numFmtId="0" fontId="8" fillId="0" borderId="9" xfId="0" applyFont="1" applyBorder="1"/>
    <xf numFmtId="0" fontId="8" fillId="0" borderId="9" xfId="0" applyFont="1" applyBorder="1" applyAlignment="1">
      <alignment horizontal="right"/>
    </xf>
    <xf numFmtId="10" fontId="8" fillId="0" borderId="0" xfId="0" applyNumberFormat="1" applyFont="1"/>
    <xf numFmtId="10" fontId="8" fillId="0" borderId="8" xfId="0" applyNumberFormat="1" applyFont="1" applyBorder="1"/>
    <xf numFmtId="0" fontId="8" fillId="0" borderId="8" xfId="0" applyFont="1" applyBorder="1"/>
    <xf numFmtId="0" fontId="8" fillId="0" borderId="13" xfId="0" applyFont="1" applyBorder="1"/>
    <xf numFmtId="10" fontId="8" fillId="4" borderId="9" xfId="0" applyNumberFormat="1" applyFont="1" applyFill="1" applyBorder="1" applyAlignment="1">
      <alignment horizontal="right"/>
    </xf>
    <xf numFmtId="0" fontId="8" fillId="4" borderId="9" xfId="0" applyFont="1" applyFill="1" applyBorder="1" applyAlignment="1">
      <alignment horizontal="right"/>
    </xf>
    <xf numFmtId="0" fontId="8" fillId="0" borderId="7" xfId="0" applyFont="1" applyBorder="1" applyAlignment="1">
      <alignment horizontal="left" vertical="top"/>
    </xf>
    <xf numFmtId="0" fontId="8" fillId="0" borderId="8" xfId="0" applyFont="1" applyBorder="1" applyAlignment="1">
      <alignment horizontal="left" vertical="top"/>
    </xf>
    <xf numFmtId="0" fontId="8" fillId="0" borderId="9" xfId="0" applyFont="1" applyBorder="1" applyAlignment="1">
      <alignment horizontal="left" vertical="top"/>
    </xf>
    <xf numFmtId="0" fontId="8" fillId="0" borderId="10" xfId="0" applyFont="1" applyBorder="1" applyAlignment="1">
      <alignment horizontal="left" vertical="top"/>
    </xf>
    <xf numFmtId="0" fontId="7" fillId="2" borderId="1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8" fillId="5" borderId="11" xfId="0" applyFont="1" applyFill="1" applyBorder="1" applyAlignment="1">
      <alignment horizontal="right" wrapText="1"/>
    </xf>
    <xf numFmtId="0" fontId="8" fillId="5" borderId="9" xfId="0" applyFont="1" applyFill="1" applyBorder="1" applyAlignment="1">
      <alignment wrapText="1"/>
    </xf>
    <xf numFmtId="9" fontId="8" fillId="5" borderId="9" xfId="0" applyNumberFormat="1" applyFont="1" applyFill="1" applyBorder="1" applyAlignment="1">
      <alignment horizontal="right" wrapText="1"/>
    </xf>
    <xf numFmtId="0" fontId="8" fillId="5" borderId="9" xfId="0" applyFont="1" applyFill="1" applyBorder="1" applyAlignment="1">
      <alignment horizontal="right" wrapText="1"/>
    </xf>
    <xf numFmtId="2" fontId="8" fillId="5" borderId="9" xfId="0" applyNumberFormat="1" applyFont="1" applyFill="1" applyBorder="1" applyAlignment="1">
      <alignment horizontal="right" wrapText="1"/>
    </xf>
    <xf numFmtId="0" fontId="8" fillId="4" borderId="11" xfId="0" applyFont="1" applyFill="1" applyBorder="1" applyAlignment="1">
      <alignment horizontal="right" wrapText="1"/>
    </xf>
    <xf numFmtId="0" fontId="8" fillId="4" borderId="9" xfId="0" applyFont="1" applyFill="1" applyBorder="1" applyAlignment="1">
      <alignment wrapText="1"/>
    </xf>
    <xf numFmtId="9" fontId="8" fillId="4" borderId="9" xfId="0" applyNumberFormat="1" applyFont="1" applyFill="1" applyBorder="1" applyAlignment="1">
      <alignment horizontal="right" wrapText="1"/>
    </xf>
    <xf numFmtId="0" fontId="8" fillId="4" borderId="9" xfId="0" applyFont="1" applyFill="1" applyBorder="1" applyAlignment="1">
      <alignment horizontal="right" wrapText="1"/>
    </xf>
    <xf numFmtId="2" fontId="8" fillId="4" borderId="9" xfId="0" applyNumberFormat="1" applyFont="1" applyFill="1" applyBorder="1" applyAlignment="1">
      <alignment horizontal="right" wrapText="1"/>
    </xf>
    <xf numFmtId="0" fontId="8" fillId="4" borderId="9" xfId="0" applyFont="1" applyFill="1" applyBorder="1" applyAlignment="1">
      <alignment vertical="top" wrapText="1"/>
    </xf>
    <xf numFmtId="0" fontId="5" fillId="3" borderId="0" xfId="0" applyFont="1" applyFill="1" applyAlignment="1">
      <alignment horizontal="left" wrapText="1"/>
    </xf>
    <xf numFmtId="0" fontId="3" fillId="5" borderId="0" xfId="0" applyFont="1" applyFill="1"/>
    <xf numFmtId="0" fontId="3" fillId="0" borderId="10" xfId="0" applyFont="1" applyBorder="1"/>
    <xf numFmtId="0" fontId="3" fillId="5" borderId="10" xfId="0" applyFont="1" applyFill="1" applyBorder="1"/>
    <xf numFmtId="0" fontId="3" fillId="4" borderId="10" xfId="0" applyFont="1" applyFill="1" applyBorder="1"/>
    <xf numFmtId="0" fontId="7" fillId="0" borderId="0" xfId="0" applyFont="1" applyAlignment="1">
      <alignment horizontal="left" vertical="top" wrapText="1"/>
    </xf>
    <xf numFmtId="0" fontId="13" fillId="0" borderId="0" xfId="0" applyFont="1" applyAlignment="1">
      <alignment horizontal="left" vertical="top" wrapText="1"/>
    </xf>
    <xf numFmtId="0" fontId="6" fillId="3" borderId="0" xfId="0" applyFont="1" applyFill="1" applyAlignment="1">
      <alignment horizontal="left" wrapText="1"/>
    </xf>
    <xf numFmtId="0" fontId="13" fillId="0" borderId="0" xfId="0" applyFont="1" applyAlignment="1">
      <alignment wrapText="1"/>
    </xf>
    <xf numFmtId="0" fontId="15" fillId="2" borderId="0" xfId="0" applyFont="1" applyFill="1" applyAlignment="1">
      <alignment horizontal="center"/>
    </xf>
    <xf numFmtId="0" fontId="15" fillId="2" borderId="0" xfId="0" applyFont="1" applyFill="1" applyAlignment="1">
      <alignment horizontal="left" vertical="top" wrapText="1"/>
    </xf>
    <xf numFmtId="0" fontId="16" fillId="2" borderId="0" xfId="0" applyFont="1" applyFill="1"/>
    <xf numFmtId="0" fontId="17" fillId="2" borderId="0" xfId="0" applyFont="1" applyFill="1" applyAlignment="1">
      <alignment horizontal="left" wrapText="1"/>
    </xf>
    <xf numFmtId="0" fontId="13" fillId="0" borderId="0" xfId="0" applyFont="1" applyAlignment="1">
      <alignment horizontal="center"/>
    </xf>
    <xf numFmtId="0" fontId="7" fillId="6" borderId="10" xfId="0" applyFont="1" applyFill="1" applyBorder="1" applyAlignment="1">
      <alignment horizontal="center"/>
    </xf>
    <xf numFmtId="0" fontId="13" fillId="0" borderId="0" xfId="0" applyFont="1"/>
    <xf numFmtId="0" fontId="7" fillId="3" borderId="10" xfId="0" applyFont="1" applyFill="1" applyBorder="1" applyAlignment="1">
      <alignment horizontal="center" wrapText="1"/>
    </xf>
    <xf numFmtId="0" fontId="7" fillId="3" borderId="10" xfId="0" applyFont="1" applyFill="1" applyBorder="1" applyAlignment="1">
      <alignment wrapText="1"/>
    </xf>
    <xf numFmtId="0" fontId="7" fillId="6" borderId="10" xfId="0" applyFont="1" applyFill="1" applyBorder="1" applyAlignment="1">
      <alignment horizontal="right"/>
    </xf>
    <xf numFmtId="0" fontId="8" fillId="6" borderId="10" xfId="0" applyFont="1" applyFill="1" applyBorder="1" applyAlignment="1">
      <alignment horizontal="right"/>
    </xf>
    <xf numFmtId="0" fontId="18" fillId="6" borderId="10" xfId="0" applyFont="1" applyFill="1" applyBorder="1" applyAlignment="1">
      <alignment horizontal="right"/>
    </xf>
    <xf numFmtId="3" fontId="8" fillId="6" borderId="10" xfId="0" applyNumberFormat="1" applyFont="1" applyFill="1" applyBorder="1" applyAlignment="1">
      <alignment horizontal="right"/>
    </xf>
    <xf numFmtId="9" fontId="8" fillId="5" borderId="10" xfId="0" applyNumberFormat="1" applyFont="1" applyFill="1" applyBorder="1" applyAlignment="1">
      <alignment horizontal="right"/>
    </xf>
    <xf numFmtId="0" fontId="18" fillId="3" borderId="0" xfId="0" applyFont="1" applyFill="1" applyAlignment="1">
      <alignment horizontal="right"/>
    </xf>
    <xf numFmtId="0" fontId="6" fillId="3" borderId="12" xfId="0" applyFont="1" applyFill="1" applyBorder="1" applyAlignment="1">
      <alignment horizontal="left" wrapText="1"/>
    </xf>
    <xf numFmtId="0" fontId="6" fillId="3" borderId="13" xfId="0" applyFont="1" applyFill="1" applyBorder="1" applyAlignment="1">
      <alignment horizontal="left" wrapText="1"/>
    </xf>
    <xf numFmtId="0" fontId="7" fillId="3" borderId="10" xfId="0" applyFont="1" applyFill="1" applyBorder="1" applyAlignment="1">
      <alignment horizontal="right"/>
    </xf>
    <xf numFmtId="3" fontId="8" fillId="3" borderId="10" xfId="0" applyNumberFormat="1" applyFont="1" applyFill="1" applyBorder="1" applyAlignment="1">
      <alignment horizontal="right"/>
    </xf>
    <xf numFmtId="9" fontId="8" fillId="4" borderId="10" xfId="0" applyNumberFormat="1" applyFont="1" applyFill="1" applyBorder="1" applyAlignment="1">
      <alignment horizontal="right"/>
    </xf>
    <xf numFmtId="0" fontId="8" fillId="0" borderId="0" xfId="0" applyFont="1" applyAlignment="1">
      <alignment horizontal="right"/>
    </xf>
    <xf numFmtId="0" fontId="13" fillId="0" borderId="0" xfId="0" applyFont="1" applyAlignment="1">
      <alignment horizontal="right"/>
    </xf>
    <xf numFmtId="0" fontId="7" fillId="2" borderId="10" xfId="0" applyFont="1" applyFill="1" applyBorder="1" applyAlignment="1">
      <alignment horizontal="center" wrapText="1"/>
    </xf>
    <xf numFmtId="0" fontId="7" fillId="2" borderId="10" xfId="0" applyFont="1" applyFill="1" applyBorder="1" applyAlignment="1">
      <alignment wrapText="1"/>
    </xf>
    <xf numFmtId="0" fontId="7" fillId="0" borderId="10" xfId="0" applyFont="1" applyBorder="1" applyAlignment="1">
      <alignment horizontal="right"/>
    </xf>
    <xf numFmtId="0" fontId="18" fillId="3" borderId="10" xfId="0" applyFont="1" applyFill="1" applyBorder="1" applyAlignment="1">
      <alignment horizontal="right"/>
    </xf>
    <xf numFmtId="3" fontId="8" fillId="0" borderId="10" xfId="0" applyNumberFormat="1" applyFont="1" applyBorder="1" applyAlignment="1">
      <alignment horizontal="right"/>
    </xf>
    <xf numFmtId="0" fontId="3" fillId="0" borderId="0" xfId="0" applyFont="1" applyAlignment="1">
      <alignment horizontal="right"/>
    </xf>
    <xf numFmtId="0" fontId="3" fillId="0" borderId="0" xfId="0" applyFont="1"/>
    <xf numFmtId="0" fontId="13" fillId="0" borderId="0" xfId="0" applyFont="1" applyAlignment="1">
      <alignment horizontal="center" wrapText="1"/>
    </xf>
    <xf numFmtId="0" fontId="3" fillId="0" borderId="0" xfId="0" applyFont="1" applyAlignment="1">
      <alignment wrapText="1"/>
    </xf>
    <xf numFmtId="9" fontId="7" fillId="5" borderId="10" xfId="0" applyNumberFormat="1" applyFont="1" applyFill="1" applyBorder="1" applyAlignment="1">
      <alignment horizontal="right"/>
    </xf>
    <xf numFmtId="3" fontId="8" fillId="0" borderId="0" xfId="0" applyNumberFormat="1" applyFont="1" applyAlignment="1">
      <alignment horizontal="right"/>
    </xf>
    <xf numFmtId="9" fontId="8" fillId="0" borderId="0" xfId="0" applyNumberFormat="1" applyFont="1" applyAlignment="1">
      <alignment horizontal="right"/>
    </xf>
    <xf numFmtId="0" fontId="11" fillId="2" borderId="0" xfId="0" applyFont="1" applyFill="1" applyAlignment="1">
      <alignment horizontal="center"/>
    </xf>
    <xf numFmtId="0" fontId="19" fillId="2" borderId="0" xfId="0" applyFont="1" applyFill="1" applyAlignment="1">
      <alignment horizontal="center"/>
    </xf>
    <xf numFmtId="0" fontId="7" fillId="5" borderId="0" xfId="0" applyFont="1" applyFill="1" applyAlignment="1">
      <alignment horizontal="left" vertical="top" wrapText="1"/>
    </xf>
    <xf numFmtId="0" fontId="5" fillId="5" borderId="0" xfId="0" applyFont="1" applyFill="1" applyAlignment="1">
      <alignment horizontal="left" wrapText="1"/>
    </xf>
    <xf numFmtId="0" fontId="3" fillId="3" borderId="0" xfId="0" applyFont="1" applyFill="1" applyAlignment="1">
      <alignment horizontal="left" wrapText="1"/>
    </xf>
    <xf numFmtId="0" fontId="13" fillId="2" borderId="0" xfId="0" applyFont="1" applyFill="1" applyAlignment="1">
      <alignment horizontal="center"/>
    </xf>
    <xf numFmtId="0" fontId="8" fillId="5" borderId="0" xfId="0" applyFont="1" applyFill="1" applyAlignment="1">
      <alignment horizontal="center"/>
    </xf>
    <xf numFmtId="0" fontId="6" fillId="5" borderId="0" xfId="0" applyFont="1" applyFill="1" applyAlignment="1">
      <alignment horizontal="left" wrapText="1"/>
    </xf>
    <xf numFmtId="0" fontId="8" fillId="5" borderId="0" xfId="0" applyFont="1" applyFill="1" applyAlignment="1">
      <alignment horizontal="center" wrapText="1"/>
    </xf>
    <xf numFmtId="0" fontId="8" fillId="4" borderId="0" xfId="0" applyFont="1" applyFill="1" applyAlignment="1">
      <alignment horizontal="center" wrapText="1"/>
    </xf>
    <xf numFmtId="0" fontId="8" fillId="3" borderId="0" xfId="0" applyFont="1" applyFill="1" applyAlignment="1">
      <alignment horizontal="center" wrapText="1"/>
    </xf>
    <xf numFmtId="0" fontId="20" fillId="0" borderId="0" xfId="0" applyFont="1"/>
    <xf numFmtId="0" fontId="22" fillId="0" borderId="0" xfId="0" applyFont="1" applyAlignment="1">
      <alignment horizontal="center" vertical="center"/>
    </xf>
    <xf numFmtId="0" fontId="21" fillId="2" borderId="10" xfId="0" applyFont="1" applyFill="1" applyBorder="1" applyAlignment="1">
      <alignment horizontal="center" wrapText="1"/>
    </xf>
    <xf numFmtId="0" fontId="21" fillId="9" borderId="10" xfId="0" applyFont="1" applyFill="1" applyBorder="1" applyAlignment="1">
      <alignment horizontal="center"/>
    </xf>
    <xf numFmtId="3" fontId="21" fillId="9" borderId="10" xfId="0" applyNumberFormat="1" applyFont="1" applyFill="1" applyBorder="1" applyAlignment="1">
      <alignment horizontal="center"/>
    </xf>
    <xf numFmtId="1" fontId="21" fillId="9" borderId="10" xfId="0" applyNumberFormat="1" applyFont="1" applyFill="1" applyBorder="1" applyAlignment="1">
      <alignment horizontal="center"/>
    </xf>
    <xf numFmtId="0" fontId="23" fillId="9" borderId="10" xfId="0" applyFont="1" applyFill="1" applyBorder="1" applyAlignment="1">
      <alignment horizontal="center"/>
    </xf>
    <xf numFmtId="3" fontId="23" fillId="9" borderId="10" xfId="0" applyNumberFormat="1" applyFont="1" applyFill="1" applyBorder="1" applyAlignment="1">
      <alignment horizontal="center"/>
    </xf>
    <xf numFmtId="9" fontId="23" fillId="10" borderId="10" xfId="0" applyNumberFormat="1" applyFont="1" applyFill="1" applyBorder="1" applyAlignment="1">
      <alignment horizontal="center"/>
    </xf>
    <xf numFmtId="9" fontId="23" fillId="8" borderId="10" xfId="0" applyNumberFormat="1" applyFont="1" applyFill="1" applyBorder="1" applyAlignment="1">
      <alignment horizontal="center"/>
    </xf>
    <xf numFmtId="9" fontId="23" fillId="11" borderId="10" xfId="0" applyNumberFormat="1" applyFont="1" applyFill="1" applyBorder="1" applyAlignment="1">
      <alignment horizontal="center"/>
    </xf>
    <xf numFmtId="9" fontId="23" fillId="12" borderId="10" xfId="0" applyNumberFormat="1" applyFont="1" applyFill="1" applyBorder="1" applyAlignment="1">
      <alignment horizontal="center"/>
    </xf>
    <xf numFmtId="1" fontId="20" fillId="8" borderId="10" xfId="0" applyNumberFormat="1" applyFont="1" applyFill="1" applyBorder="1" applyAlignment="1">
      <alignment horizontal="center"/>
    </xf>
    <xf numFmtId="9" fontId="20" fillId="8" borderId="10" xfId="0" applyNumberFormat="1" applyFont="1" applyFill="1" applyBorder="1" applyAlignment="1">
      <alignment horizontal="center"/>
    </xf>
    <xf numFmtId="9" fontId="23" fillId="13" borderId="10" xfId="0" applyNumberFormat="1" applyFont="1" applyFill="1" applyBorder="1" applyAlignment="1">
      <alignment horizontal="center"/>
    </xf>
    <xf numFmtId="1" fontId="20" fillId="4" borderId="10" xfId="0" applyNumberFormat="1" applyFont="1" applyFill="1" applyBorder="1" applyAlignment="1">
      <alignment horizontal="center"/>
    </xf>
    <xf numFmtId="9" fontId="23" fillId="14" borderId="10" xfId="0" applyNumberFormat="1" applyFont="1" applyFill="1" applyBorder="1" applyAlignment="1">
      <alignment horizontal="center"/>
    </xf>
    <xf numFmtId="9" fontId="23" fillId="15" borderId="10" xfId="0" applyNumberFormat="1" applyFont="1" applyFill="1" applyBorder="1" applyAlignment="1">
      <alignment horizontal="center"/>
    </xf>
    <xf numFmtId="9" fontId="20" fillId="4" borderId="10" xfId="0" applyNumberFormat="1" applyFont="1" applyFill="1" applyBorder="1" applyAlignment="1">
      <alignment horizontal="center"/>
    </xf>
    <xf numFmtId="9" fontId="23" fillId="16" borderId="10" xfId="0" applyNumberFormat="1" applyFont="1" applyFill="1" applyBorder="1" applyAlignment="1">
      <alignment horizontal="center"/>
    </xf>
    <xf numFmtId="9" fontId="23" fillId="17" borderId="10" xfId="0" applyNumberFormat="1" applyFont="1" applyFill="1" applyBorder="1" applyAlignment="1">
      <alignment horizontal="center"/>
    </xf>
    <xf numFmtId="9" fontId="23" fillId="18" borderId="10" xfId="0" applyNumberFormat="1" applyFont="1" applyFill="1" applyBorder="1" applyAlignment="1">
      <alignment horizontal="center"/>
    </xf>
    <xf numFmtId="9" fontId="23" fillId="19" borderId="10" xfId="0" applyNumberFormat="1" applyFont="1" applyFill="1" applyBorder="1" applyAlignment="1">
      <alignment horizontal="center"/>
    </xf>
    <xf numFmtId="9" fontId="23" fillId="20" borderId="10" xfId="0" applyNumberFormat="1" applyFont="1" applyFill="1" applyBorder="1" applyAlignment="1">
      <alignment horizontal="center"/>
    </xf>
    <xf numFmtId="9" fontId="23" fillId="21" borderId="10" xfId="0" applyNumberFormat="1" applyFont="1" applyFill="1" applyBorder="1" applyAlignment="1">
      <alignment horizontal="center"/>
    </xf>
    <xf numFmtId="9" fontId="23" fillId="22" borderId="10" xfId="0" applyNumberFormat="1" applyFont="1" applyFill="1" applyBorder="1" applyAlignment="1">
      <alignment horizontal="center"/>
    </xf>
    <xf numFmtId="9" fontId="23" fillId="23" borderId="10" xfId="0" applyNumberFormat="1" applyFont="1" applyFill="1" applyBorder="1" applyAlignment="1">
      <alignment horizontal="center"/>
    </xf>
    <xf numFmtId="9" fontId="23" fillId="24" borderId="10" xfId="0" applyNumberFormat="1" applyFont="1" applyFill="1" applyBorder="1" applyAlignment="1">
      <alignment horizontal="center"/>
    </xf>
    <xf numFmtId="164" fontId="21" fillId="9" borderId="10" xfId="0" applyNumberFormat="1" applyFont="1" applyFill="1" applyBorder="1" applyAlignment="1">
      <alignment horizontal="center"/>
    </xf>
    <xf numFmtId="3" fontId="24" fillId="9" borderId="10" xfId="0" applyNumberFormat="1" applyFont="1" applyFill="1" applyBorder="1" applyAlignment="1">
      <alignment horizontal="center"/>
    </xf>
    <xf numFmtId="9" fontId="24" fillId="9" borderId="10" xfId="0" applyNumberFormat="1" applyFont="1" applyFill="1" applyBorder="1" applyAlignment="1">
      <alignment horizontal="center"/>
    </xf>
    <xf numFmtId="3" fontId="24" fillId="4" borderId="10" xfId="0" applyNumberFormat="1" applyFont="1" applyFill="1" applyBorder="1" applyAlignment="1">
      <alignment horizontal="center"/>
    </xf>
    <xf numFmtId="10" fontId="20" fillId="0" borderId="0" xfId="0" applyNumberFormat="1" applyFont="1"/>
    <xf numFmtId="9" fontId="24" fillId="4" borderId="10" xfId="0" applyNumberFormat="1" applyFont="1" applyFill="1" applyBorder="1" applyAlignment="1">
      <alignment horizontal="center"/>
    </xf>
    <xf numFmtId="0" fontId="27" fillId="4" borderId="11" xfId="0" applyFont="1" applyFill="1" applyBorder="1" applyAlignment="1">
      <alignment vertical="top" wrapText="1"/>
    </xf>
    <xf numFmtId="0" fontId="26" fillId="4" borderId="10" xfId="0" applyFont="1" applyFill="1" applyBorder="1" applyAlignment="1">
      <alignment vertical="top"/>
    </xf>
    <xf numFmtId="0" fontId="27" fillId="4" borderId="10" xfId="0" applyFont="1" applyFill="1" applyBorder="1" applyAlignment="1">
      <alignment vertical="top" wrapText="1"/>
    </xf>
    <xf numFmtId="0" fontId="27" fillId="4" borderId="10" xfId="0" applyFont="1" applyFill="1" applyBorder="1" applyAlignment="1">
      <alignment wrapText="1"/>
    </xf>
    <xf numFmtId="0" fontId="26" fillId="4" borderId="10" xfId="0" applyFont="1" applyFill="1" applyBorder="1" applyAlignment="1">
      <alignment wrapText="1"/>
    </xf>
    <xf numFmtId="0" fontId="28" fillId="2" borderId="10" xfId="0" applyFont="1" applyFill="1" applyBorder="1" applyAlignment="1">
      <alignment horizontal="center" vertical="center" wrapText="1"/>
    </xf>
    <xf numFmtId="0" fontId="26" fillId="4" borderId="10" xfId="0" applyFont="1" applyFill="1" applyBorder="1"/>
    <xf numFmtId="0" fontId="8" fillId="4" borderId="11" xfId="0" applyFont="1" applyFill="1" applyBorder="1"/>
    <xf numFmtId="0" fontId="27" fillId="4" borderId="1" xfId="0" applyFont="1" applyFill="1" applyBorder="1" applyAlignment="1">
      <alignment wrapText="1"/>
    </xf>
    <xf numFmtId="0" fontId="8" fillId="4" borderId="14" xfId="0" applyFont="1" applyFill="1" applyBorder="1"/>
    <xf numFmtId="0" fontId="26" fillId="4" borderId="16" xfId="0" applyFont="1" applyFill="1" applyBorder="1"/>
    <xf numFmtId="0" fontId="26" fillId="5" borderId="10" xfId="0" applyFont="1" applyFill="1" applyBorder="1"/>
    <xf numFmtId="0" fontId="26" fillId="4" borderId="3" xfId="0" applyFont="1" applyFill="1" applyBorder="1"/>
    <xf numFmtId="0" fontId="26" fillId="4" borderId="10" xfId="0" applyFont="1" applyFill="1" applyBorder="1" applyAlignment="1">
      <alignment vertical="top" wrapText="1"/>
    </xf>
    <xf numFmtId="165" fontId="8" fillId="4" borderId="10" xfId="0" applyNumberFormat="1" applyFont="1" applyFill="1" applyBorder="1" applyAlignment="1">
      <alignment horizontal="right"/>
    </xf>
    <xf numFmtId="1" fontId="8" fillId="5" borderId="10" xfId="0" applyNumberFormat="1" applyFont="1" applyFill="1" applyBorder="1" applyAlignment="1">
      <alignment horizontal="right" wrapText="1"/>
    </xf>
    <xf numFmtId="1" fontId="8" fillId="4" borderId="10" xfId="0" applyNumberFormat="1" applyFont="1" applyFill="1" applyBorder="1" applyAlignment="1">
      <alignment horizontal="right" wrapText="1"/>
    </xf>
    <xf numFmtId="1" fontId="8" fillId="4" borderId="9" xfId="0" applyNumberFormat="1" applyFont="1" applyFill="1" applyBorder="1" applyAlignment="1">
      <alignment horizontal="right"/>
    </xf>
    <xf numFmtId="0" fontId="8" fillId="4" borderId="0" xfId="0" applyFont="1" applyFill="1" applyAlignment="1">
      <alignment wrapText="1"/>
    </xf>
    <xf numFmtId="0" fontId="8" fillId="25" borderId="9" xfId="0" applyFont="1" applyFill="1" applyBorder="1" applyAlignment="1">
      <alignment wrapText="1"/>
    </xf>
    <xf numFmtId="0" fontId="3" fillId="0" borderId="1" xfId="0" applyFont="1" applyBorder="1" applyAlignment="1">
      <alignment vertical="top" wrapText="1"/>
    </xf>
    <xf numFmtId="0" fontId="2" fillId="0" borderId="2" xfId="0" applyFont="1" applyBorder="1"/>
    <xf numFmtId="0" fontId="2" fillId="0" borderId="3" xfId="0" applyFont="1" applyBorder="1"/>
    <xf numFmtId="0" fontId="6" fillId="3" borderId="1" xfId="0" applyFont="1" applyFill="1" applyBorder="1" applyAlignment="1">
      <alignment horizontal="left" wrapText="1"/>
    </xf>
    <xf numFmtId="0" fontId="1" fillId="2" borderId="1" xfId="0" applyFont="1" applyFill="1" applyBorder="1" applyAlignment="1">
      <alignment horizontal="right"/>
    </xf>
    <xf numFmtId="0" fontId="3" fillId="0" borderId="4" xfId="0" applyFont="1" applyBorder="1" applyAlignment="1">
      <alignment vertical="top" wrapText="1"/>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4" fillId="0" borderId="1" xfId="0" applyFont="1" applyBorder="1" applyAlignment="1">
      <alignment vertical="top" wrapText="1"/>
    </xf>
    <xf numFmtId="0" fontId="5" fillId="3" borderId="8" xfId="0" applyFont="1" applyFill="1" applyBorder="1" applyAlignment="1">
      <alignment horizontal="left" wrapText="1"/>
    </xf>
    <xf numFmtId="0" fontId="10" fillId="2" borderId="4" xfId="0" applyFont="1" applyFill="1" applyBorder="1" applyAlignment="1">
      <alignment horizontal="center"/>
    </xf>
    <xf numFmtId="0" fontId="7" fillId="0" borderId="4" xfId="0" applyFont="1" applyBorder="1" applyAlignment="1">
      <alignment vertical="top" wrapText="1"/>
    </xf>
    <xf numFmtId="0" fontId="7" fillId="0" borderId="1" xfId="0" applyFont="1" applyBorder="1" applyAlignment="1">
      <alignment vertical="top" wrapText="1"/>
    </xf>
    <xf numFmtId="0" fontId="7" fillId="0" borderId="12" xfId="0" applyFont="1" applyBorder="1" applyAlignment="1">
      <alignment horizontal="left" vertical="top" wrapText="1"/>
    </xf>
    <xf numFmtId="0" fontId="0" fillId="0" borderId="0" xfId="0"/>
    <xf numFmtId="0" fontId="2" fillId="0" borderId="13" xfId="0" applyFont="1" applyBorder="1"/>
    <xf numFmtId="0" fontId="8" fillId="0" borderId="12" xfId="0" applyFont="1" applyBorder="1" applyAlignment="1">
      <alignment vertical="top" wrapText="1"/>
    </xf>
    <xf numFmtId="0" fontId="7" fillId="0" borderId="12" xfId="0" applyFont="1" applyBorder="1" applyAlignment="1">
      <alignment vertical="top" wrapText="1"/>
    </xf>
    <xf numFmtId="0" fontId="27" fillId="4" borderId="1" xfId="0" applyFont="1" applyFill="1" applyBorder="1" applyAlignment="1">
      <alignment vertical="top" wrapText="1"/>
    </xf>
    <xf numFmtId="0" fontId="5" fillId="4" borderId="1" xfId="0" applyFont="1" applyFill="1" applyBorder="1" applyAlignment="1">
      <alignment vertical="top" wrapText="1"/>
    </xf>
    <xf numFmtId="0" fontId="7" fillId="0" borderId="7" xfId="0" applyFont="1" applyBorder="1" applyAlignment="1">
      <alignment horizontal="left" vertical="top" wrapText="1"/>
    </xf>
    <xf numFmtId="0" fontId="7" fillId="2" borderId="1" xfId="0" applyFont="1" applyFill="1" applyBorder="1" applyAlignment="1">
      <alignment horizontal="center" vertical="center" wrapText="1"/>
    </xf>
    <xf numFmtId="0" fontId="5" fillId="5" borderId="1" xfId="0" applyFont="1" applyFill="1" applyBorder="1" applyAlignment="1">
      <alignment vertical="top" wrapText="1"/>
    </xf>
    <xf numFmtId="0" fontId="8" fillId="4" borderId="1" xfId="0" applyFont="1" applyFill="1" applyBorder="1" applyAlignment="1">
      <alignment vertical="top" wrapText="1"/>
    </xf>
    <xf numFmtId="0" fontId="8" fillId="0" borderId="12" xfId="0" applyFont="1" applyBorder="1" applyAlignment="1">
      <alignment horizontal="left" vertical="top"/>
    </xf>
    <xf numFmtId="0" fontId="7" fillId="0" borderId="4" xfId="0" applyFont="1" applyBorder="1" applyAlignment="1">
      <alignment horizontal="left" vertical="top" wrapText="1"/>
    </xf>
    <xf numFmtId="0" fontId="11" fillId="2" borderId="1" xfId="0" applyFont="1" applyFill="1" applyBorder="1" applyAlignment="1">
      <alignment horizontal="center"/>
    </xf>
    <xf numFmtId="0" fontId="7" fillId="0" borderId="1" xfId="0" applyFont="1" applyBorder="1" applyAlignment="1">
      <alignment horizontal="left" vertical="top" wrapText="1"/>
    </xf>
    <xf numFmtId="0" fontId="5" fillId="3" borderId="1" xfId="0" applyFont="1" applyFill="1" applyBorder="1" applyAlignment="1">
      <alignment horizontal="left" wrapText="1"/>
    </xf>
    <xf numFmtId="0" fontId="12" fillId="0" borderId="4" xfId="0" applyFont="1" applyBorder="1" applyAlignment="1">
      <alignment horizontal="left" vertical="top" wrapText="1"/>
    </xf>
    <xf numFmtId="0" fontId="3" fillId="3" borderId="1" xfId="0" applyFont="1" applyFill="1" applyBorder="1" applyAlignment="1">
      <alignment horizontal="left" wrapText="1"/>
    </xf>
    <xf numFmtId="0" fontId="13" fillId="2" borderId="1" xfId="0" applyFont="1" applyFill="1" applyBorder="1" applyAlignment="1">
      <alignment horizontal="center"/>
    </xf>
    <xf numFmtId="0" fontId="5" fillId="3" borderId="0" xfId="0" applyFont="1" applyFill="1" applyAlignment="1">
      <alignment horizontal="left" wrapText="1"/>
    </xf>
    <xf numFmtId="0" fontId="3" fillId="3" borderId="12" xfId="0" applyFont="1" applyFill="1" applyBorder="1" applyAlignment="1">
      <alignment horizontal="left" wrapText="1"/>
    </xf>
    <xf numFmtId="0" fontId="14" fillId="2" borderId="1" xfId="0" applyFont="1" applyFill="1" applyBorder="1" applyAlignment="1">
      <alignment horizontal="center"/>
    </xf>
    <xf numFmtId="0" fontId="13" fillId="0" borderId="4" xfId="0" applyFont="1" applyBorder="1" applyAlignment="1">
      <alignment wrapText="1"/>
    </xf>
    <xf numFmtId="0" fontId="7" fillId="6" borderId="1" xfId="0" applyFont="1" applyFill="1" applyBorder="1" applyAlignment="1">
      <alignment horizontal="center"/>
    </xf>
    <xf numFmtId="0" fontId="2" fillId="6" borderId="2" xfId="0" applyFont="1" applyFill="1" applyBorder="1"/>
    <xf numFmtId="0" fontId="2" fillId="6" borderId="3" xfId="0" applyFont="1" applyFill="1" applyBorder="1"/>
    <xf numFmtId="0" fontId="7" fillId="2" borderId="1" xfId="0" applyFont="1" applyFill="1" applyBorder="1" applyAlignment="1">
      <alignment horizontal="center"/>
    </xf>
    <xf numFmtId="0" fontId="28" fillId="2" borderId="1" xfId="0" applyFont="1" applyFill="1" applyBorder="1" applyAlignment="1">
      <alignment horizontal="center"/>
    </xf>
    <xf numFmtId="0" fontId="13" fillId="0" borderId="12" xfId="0" applyFont="1" applyBorder="1" applyAlignment="1">
      <alignment wrapText="1"/>
    </xf>
    <xf numFmtId="0" fontId="13" fillId="0" borderId="7" xfId="0" applyFont="1" applyBorder="1" applyAlignment="1">
      <alignment wrapText="1"/>
    </xf>
    <xf numFmtId="0" fontId="13" fillId="5" borderId="0" xfId="0" applyFont="1" applyFill="1" applyAlignment="1">
      <alignment wrapText="1"/>
    </xf>
    <xf numFmtId="0" fontId="2" fillId="7" borderId="2" xfId="0" applyFont="1" applyFill="1" applyBorder="1"/>
    <xf numFmtId="0" fontId="2" fillId="7" borderId="3" xfId="0" applyFont="1" applyFill="1" applyBorder="1"/>
    <xf numFmtId="0" fontId="7" fillId="3" borderId="1" xfId="0" applyFont="1" applyFill="1" applyBorder="1" applyAlignment="1">
      <alignment horizontal="center"/>
    </xf>
    <xf numFmtId="0" fontId="2" fillId="3" borderId="2" xfId="0" applyFont="1" applyFill="1" applyBorder="1"/>
    <xf numFmtId="0" fontId="2" fillId="3" borderId="3" xfId="0" applyFont="1" applyFill="1" applyBorder="1"/>
    <xf numFmtId="0" fontId="13" fillId="0" borderId="4" xfId="0" applyFont="1" applyBorder="1" applyAlignment="1">
      <alignment horizontal="center"/>
    </xf>
    <xf numFmtId="0" fontId="2" fillId="0" borderId="12" xfId="0" applyFont="1" applyBorder="1"/>
    <xf numFmtId="0" fontId="6" fillId="3" borderId="14" xfId="0" applyFont="1" applyFill="1" applyBorder="1" applyAlignment="1">
      <alignment horizontal="left" wrapText="1"/>
    </xf>
    <xf numFmtId="0" fontId="2" fillId="0" borderId="15" xfId="0" applyFont="1" applyBorder="1"/>
    <xf numFmtId="0" fontId="2" fillId="0" borderId="11" xfId="0" applyFont="1" applyBorder="1"/>
    <xf numFmtId="0" fontId="6" fillId="3" borderId="4" xfId="0" applyFont="1" applyFill="1" applyBorder="1" applyAlignment="1">
      <alignment horizontal="left" wrapText="1"/>
    </xf>
    <xf numFmtId="0" fontId="29" fillId="4" borderId="4" xfId="0" applyFont="1" applyFill="1" applyBorder="1" applyAlignment="1">
      <alignment horizontal="left" vertical="top" wrapText="1"/>
    </xf>
    <xf numFmtId="0" fontId="30" fillId="4" borderId="14" xfId="0" applyFont="1" applyFill="1" applyBorder="1" applyAlignment="1">
      <alignment wrapText="1"/>
    </xf>
    <xf numFmtId="0" fontId="3" fillId="4" borderId="4" xfId="0" applyFont="1" applyFill="1" applyBorder="1" applyAlignment="1">
      <alignment wrapText="1"/>
    </xf>
    <xf numFmtId="0" fontId="26" fillId="4" borderId="14" xfId="0" applyFont="1" applyFill="1" applyBorder="1" applyAlignment="1">
      <alignment horizontal="center" wrapText="1"/>
    </xf>
    <xf numFmtId="0" fontId="8" fillId="4" borderId="14" xfId="0" applyFont="1" applyFill="1" applyBorder="1" applyAlignment="1">
      <alignment horizontal="center" wrapText="1"/>
    </xf>
    <xf numFmtId="0" fontId="13" fillId="0" borderId="1" xfId="0" applyFont="1" applyBorder="1" applyAlignment="1">
      <alignment wrapText="1"/>
    </xf>
    <xf numFmtId="0" fontId="3" fillId="4" borderId="14" xfId="0" applyFont="1" applyFill="1" applyBorder="1" applyAlignment="1">
      <alignment wrapText="1"/>
    </xf>
    <xf numFmtId="0" fontId="13" fillId="4" borderId="4" xfId="0" applyFont="1" applyFill="1" applyBorder="1" applyAlignment="1">
      <alignment horizontal="left" vertical="top" wrapText="1"/>
    </xf>
    <xf numFmtId="0" fontId="7" fillId="0" borderId="4" xfId="0" applyFont="1" applyBorder="1"/>
    <xf numFmtId="0" fontId="3" fillId="0" borderId="1" xfId="0" applyFont="1" applyBorder="1" applyAlignment="1">
      <alignment wrapText="1"/>
    </xf>
    <xf numFmtId="0" fontId="13" fillId="5" borderId="0" xfId="0" applyFont="1" applyFill="1" applyAlignment="1">
      <alignment horizontal="left"/>
    </xf>
    <xf numFmtId="2" fontId="3" fillId="4" borderId="4" xfId="0" applyNumberFormat="1" applyFont="1" applyFill="1" applyBorder="1" applyAlignment="1">
      <alignment horizontal="left" vertical="top" wrapText="1"/>
    </xf>
    <xf numFmtId="2" fontId="2" fillId="0" borderId="6" xfId="0" applyNumberFormat="1" applyFont="1" applyBorder="1"/>
    <xf numFmtId="2" fontId="2" fillId="0" borderId="12" xfId="0" applyNumberFormat="1" applyFont="1" applyBorder="1"/>
    <xf numFmtId="2" fontId="2" fillId="0" borderId="13" xfId="0" applyNumberFormat="1" applyFont="1" applyBorder="1"/>
    <xf numFmtId="2" fontId="2" fillId="0" borderId="7" xfId="0" applyNumberFormat="1" applyFont="1" applyBorder="1"/>
    <xf numFmtId="2" fontId="2" fillId="0" borderId="9" xfId="0" applyNumberFormat="1" applyFont="1" applyBorder="1"/>
    <xf numFmtId="0" fontId="3" fillId="4" borderId="4" xfId="0" applyFont="1" applyFill="1" applyBorder="1" applyAlignment="1">
      <alignment horizontal="left" vertical="top" wrapText="1"/>
    </xf>
    <xf numFmtId="0" fontId="21" fillId="2" borderId="1" xfId="0" applyFont="1" applyFill="1" applyBorder="1" applyAlignment="1">
      <alignment horizontal="center"/>
    </xf>
    <xf numFmtId="0" fontId="22" fillId="0" borderId="0" xfId="0" applyFont="1" applyAlignment="1">
      <alignment horizontal="center" vertical="center"/>
    </xf>
    <xf numFmtId="0" fontId="22" fillId="2" borderId="14" xfId="0" applyFont="1" applyFill="1" applyBorder="1" applyAlignment="1">
      <alignment horizontal="center" wrapText="1"/>
    </xf>
    <xf numFmtId="0" fontId="6" fillId="2" borderId="14" xfId="0" applyFont="1" applyFill="1" applyBorder="1" applyAlignment="1">
      <alignment horizontal="center" wrapText="1"/>
    </xf>
    <xf numFmtId="0" fontId="20" fillId="0" borderId="4" xfId="0" applyFont="1" applyBorder="1"/>
    <xf numFmtId="0" fontId="13" fillId="2" borderId="4" xfId="0" applyFont="1" applyFill="1" applyBorder="1" applyAlignment="1">
      <alignment horizontal="center" vertical="center" wrapText="1"/>
    </xf>
    <xf numFmtId="0" fontId="13" fillId="8" borderId="0" xfId="0" applyFont="1" applyFill="1" applyAlignment="1">
      <alignment horizontal="left"/>
    </xf>
  </cellXfs>
  <cellStyles count="1">
    <cellStyle name="Normal" xfId="0" builtinId="0"/>
  </cellStyles>
  <dxfs count="69">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4" formatCode="0.00%"/>
    </dxf>
    <dxf>
      <numFmt numFmtId="1" formatCode="0"/>
    </dxf>
    <dxf>
      <numFmt numFmtId="13" formatCode="0%"/>
    </dxf>
    <dxf>
      <numFmt numFmtId="13" formatCode="0%"/>
    </dxf>
    <dxf>
      <numFmt numFmtId="13" formatCode="0%"/>
    </dxf>
    <dxf>
      <numFmt numFmtId="13" formatCode="0%"/>
    </dxf>
    <dxf>
      <numFmt numFmtId="1" formatCode="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2">
    <tableStyle name="Tab 8 - Segment Analysis-style" pivot="0" count="3" xr9:uid="{00000000-0011-0000-FFFF-FFFF00000000}">
      <tableStyleElement type="headerRow" dxfId="68"/>
      <tableStyleElement type="firstRowStripe" dxfId="67"/>
      <tableStyleElement type="secondRowStripe" dxfId="66"/>
    </tableStyle>
    <tableStyle name="Tab 8 - Segment Analysis-style 2" pivot="0" count="3" xr9:uid="{00000000-0011-0000-FFFF-FFFF01000000}">
      <tableStyleElement type="headerRow" dxfId="65"/>
      <tableStyleElement type="firstRowStripe" dxfId="64"/>
      <tableStyleElement type="secondRowStripe" dxfId="63"/>
    </tableStyle>
    <tableStyle name="Tab 8 - Segment Analysis-style 3" pivot="0" count="3" xr9:uid="{00000000-0011-0000-FFFF-FFFF02000000}">
      <tableStyleElement type="headerRow" dxfId="62"/>
      <tableStyleElement type="firstRowStripe" dxfId="61"/>
      <tableStyleElement type="secondRowStripe" dxfId="60"/>
    </tableStyle>
    <tableStyle name="Tab 8 - Segment Analysis-style 4" pivot="0" count="3" xr9:uid="{00000000-0011-0000-FFFF-FFFF03000000}">
      <tableStyleElement type="headerRow" dxfId="59"/>
      <tableStyleElement type="firstRowStripe" dxfId="58"/>
      <tableStyleElement type="secondRowStripe" dxfId="57"/>
    </tableStyle>
    <tableStyle name="Tab 8 - Segment Analysis-style 5" pivot="0" count="3" xr9:uid="{00000000-0011-0000-FFFF-FFFF04000000}">
      <tableStyleElement type="headerRow" dxfId="56"/>
      <tableStyleElement type="firstRowStripe" dxfId="55"/>
      <tableStyleElement type="secondRowStripe" dxfId="54"/>
    </tableStyle>
    <tableStyle name="Tab 8 - Segment Analysis-style 6" pivot="0" count="3" xr9:uid="{00000000-0011-0000-FFFF-FFFF05000000}">
      <tableStyleElement type="headerRow" dxfId="53"/>
      <tableStyleElement type="firstRowStripe" dxfId="52"/>
      <tableStyleElement type="secondRowStripe" dxfId="51"/>
    </tableStyle>
    <tableStyle name="Tab 8 - Segment Analysis-style 7" pivot="0" count="3" xr9:uid="{00000000-0011-0000-FFFF-FFFF06000000}">
      <tableStyleElement type="headerRow" dxfId="50"/>
      <tableStyleElement type="firstRowStripe" dxfId="49"/>
      <tableStyleElement type="secondRowStripe" dxfId="48"/>
    </tableStyle>
    <tableStyle name="Tab 8 - Segment Analysis-style 8" pivot="0" count="3" xr9:uid="{00000000-0011-0000-FFFF-FFFF07000000}">
      <tableStyleElement type="headerRow" dxfId="47"/>
      <tableStyleElement type="firstRowStripe" dxfId="46"/>
      <tableStyleElement type="secondRowStripe" dxfId="45"/>
    </tableStyle>
    <tableStyle name="Tab 8 - Segment Analysis-style 9" pivot="0" count="3" xr9:uid="{00000000-0011-0000-FFFF-FFFF08000000}">
      <tableStyleElement type="headerRow" dxfId="44"/>
      <tableStyleElement type="firstRowStripe" dxfId="43"/>
      <tableStyleElement type="secondRowStripe" dxfId="42"/>
    </tableStyle>
    <tableStyle name="Tab 8 - Segment Analysis-style 10" pivot="0" count="3" xr9:uid="{00000000-0011-0000-FFFF-FFFF09000000}">
      <tableStyleElement type="headerRow" dxfId="41"/>
      <tableStyleElement type="firstRowStripe" dxfId="40"/>
      <tableStyleElement type="secondRowStripe" dxfId="39"/>
    </tableStyle>
    <tableStyle name="Tab 8 - Segment Analysis-style 11" pivot="0" count="3" xr9:uid="{00000000-0011-0000-FFFF-FFFF0A000000}">
      <tableStyleElement type="headerRow" dxfId="38"/>
      <tableStyleElement type="firstRowStripe" dxfId="37"/>
      <tableStyleElement type="secondRowStripe" dxfId="36"/>
    </tableStyle>
    <tableStyle name="Tab 8 - Segment Analysis-style 12" pivot="0" count="3" xr9:uid="{00000000-0011-0000-FFFF-FFFF0B000000}">
      <tableStyleElement type="headerRow" dxfId="35"/>
      <tableStyleElement type="firstRowStripe" dxfId="34"/>
      <tableStyleElement type="secondRowStrip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4 - Habit Moment and Metric'!$F$17</c:f>
              <c:strCache>
                <c:ptCount val="1"/>
                <c:pt idx="0">
                  <c:v>% Overlap</c:v>
                </c:pt>
              </c:strCache>
            </c:strRef>
          </c:tx>
          <c:spPr>
            <a:ln w="28575" cap="rnd">
              <a:solidFill>
                <a:schemeClr val="accent1"/>
              </a:solidFill>
              <a:round/>
            </a:ln>
            <a:effectLst/>
          </c:spPr>
          <c:marker>
            <c:symbol val="none"/>
          </c:marker>
          <c:cat>
            <c:numRef>
              <c:f>'Tab 4 - Habit Moment and Metric'!$A$18:$A$24</c:f>
              <c:numCache>
                <c:formatCode>General</c:formatCode>
                <c:ptCount val="7"/>
                <c:pt idx="0">
                  <c:v>100</c:v>
                </c:pt>
                <c:pt idx="1">
                  <c:v>500</c:v>
                </c:pt>
                <c:pt idx="2">
                  <c:v>1000</c:v>
                </c:pt>
                <c:pt idx="3">
                  <c:v>2000</c:v>
                </c:pt>
                <c:pt idx="4">
                  <c:v>5000</c:v>
                </c:pt>
                <c:pt idx="5">
                  <c:v>10000</c:v>
                </c:pt>
                <c:pt idx="6">
                  <c:v>20000</c:v>
                </c:pt>
              </c:numCache>
            </c:numRef>
          </c:cat>
          <c:val>
            <c:numRef>
              <c:f>'Tab 4 - Habit Moment and Metric'!$F$18:$F$24</c:f>
              <c:numCache>
                <c:formatCode>0%</c:formatCode>
                <c:ptCount val="7"/>
                <c:pt idx="0">
                  <c:v>0.38</c:v>
                </c:pt>
                <c:pt idx="1">
                  <c:v>0.49823321554770317</c:v>
                </c:pt>
                <c:pt idx="2">
                  <c:v>0.47609942638623326</c:v>
                </c:pt>
                <c:pt idx="3">
                  <c:v>0.5508684863523573</c:v>
                </c:pt>
                <c:pt idx="4">
                  <c:v>0.56000000000000005</c:v>
                </c:pt>
                <c:pt idx="5">
                  <c:v>0.5714285714285714</c:v>
                </c:pt>
                <c:pt idx="6">
                  <c:v>0.5757575757575758</c:v>
                </c:pt>
              </c:numCache>
            </c:numRef>
          </c:val>
          <c:smooth val="0"/>
          <c:extLst>
            <c:ext xmlns:c16="http://schemas.microsoft.com/office/drawing/2014/chart" uri="{C3380CC4-5D6E-409C-BE32-E72D297353CC}">
              <c16:uniqueId val="{00000003-F77C-4AB6-A6F7-92E7E1BA44A3}"/>
            </c:ext>
          </c:extLst>
        </c:ser>
        <c:dLbls>
          <c:showLegendKey val="0"/>
          <c:showVal val="0"/>
          <c:showCatName val="0"/>
          <c:showSerName val="0"/>
          <c:showPercent val="0"/>
          <c:showBubbleSize val="0"/>
        </c:dLbls>
        <c:smooth val="0"/>
        <c:axId val="712332431"/>
        <c:axId val="712326671"/>
      </c:lineChart>
      <c:catAx>
        <c:axId val="71233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26671"/>
        <c:crosses val="autoZero"/>
        <c:auto val="1"/>
        <c:lblAlgn val="ctr"/>
        <c:lblOffset val="100"/>
        <c:noMultiLvlLbl val="0"/>
      </c:catAx>
      <c:valAx>
        <c:axId val="7123266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2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4 - Habit Moment and Metric'!$F$29</c:f>
              <c:strCache>
                <c:ptCount val="1"/>
                <c:pt idx="0">
                  <c:v>% Overlap</c:v>
                </c:pt>
              </c:strCache>
            </c:strRef>
          </c:tx>
          <c:spPr>
            <a:ln w="28575" cap="rnd">
              <a:solidFill>
                <a:schemeClr val="accent1"/>
              </a:solidFill>
              <a:round/>
            </a:ln>
            <a:effectLst/>
          </c:spPr>
          <c:marker>
            <c:symbol val="none"/>
          </c:marker>
          <c:cat>
            <c:strRef>
              <c:f>'Tab 4 - Habit Moment and Metric'!$A$30:$A$36</c:f>
              <c:strCache>
                <c:ptCount val="7"/>
                <c:pt idx="0">
                  <c:v>1+</c:v>
                </c:pt>
                <c:pt idx="1">
                  <c:v>2+</c:v>
                </c:pt>
                <c:pt idx="2">
                  <c:v>3+</c:v>
                </c:pt>
                <c:pt idx="3">
                  <c:v>4+</c:v>
                </c:pt>
                <c:pt idx="4">
                  <c:v>5+</c:v>
                </c:pt>
                <c:pt idx="5">
                  <c:v>6+</c:v>
                </c:pt>
                <c:pt idx="6">
                  <c:v>7+</c:v>
                </c:pt>
              </c:strCache>
            </c:strRef>
          </c:cat>
          <c:val>
            <c:numRef>
              <c:f>'Tab 4 - Habit Moment and Metric'!$F$30:$F$36</c:f>
              <c:numCache>
                <c:formatCode>0%</c:formatCode>
                <c:ptCount val="7"/>
                <c:pt idx="0">
                  <c:v>0.34953703703703703</c:v>
                </c:pt>
                <c:pt idx="1">
                  <c:v>0.40169332079021636</c:v>
                </c:pt>
                <c:pt idx="2">
                  <c:v>0.45274725274725275</c:v>
                </c:pt>
                <c:pt idx="3">
                  <c:v>0.45432692307692307</c:v>
                </c:pt>
                <c:pt idx="4">
                  <c:v>0.43833943833943834</c:v>
                </c:pt>
                <c:pt idx="5">
                  <c:v>0.44606413994169097</c:v>
                </c:pt>
                <c:pt idx="6">
                  <c:v>0.4264487369985141</c:v>
                </c:pt>
              </c:numCache>
            </c:numRef>
          </c:val>
          <c:smooth val="0"/>
          <c:extLst>
            <c:ext xmlns:c16="http://schemas.microsoft.com/office/drawing/2014/chart" uri="{C3380CC4-5D6E-409C-BE32-E72D297353CC}">
              <c16:uniqueId val="{00000000-B6B2-4459-98B5-2F6C3FE1C2CA}"/>
            </c:ext>
          </c:extLst>
        </c:ser>
        <c:dLbls>
          <c:showLegendKey val="0"/>
          <c:showVal val="0"/>
          <c:showCatName val="0"/>
          <c:showSerName val="0"/>
          <c:showPercent val="0"/>
          <c:showBubbleSize val="0"/>
        </c:dLbls>
        <c:smooth val="0"/>
        <c:axId val="712338671"/>
        <c:axId val="712334351"/>
      </c:lineChart>
      <c:catAx>
        <c:axId val="71233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4351"/>
        <c:crosses val="autoZero"/>
        <c:auto val="1"/>
        <c:lblAlgn val="ctr"/>
        <c:lblOffset val="100"/>
        <c:noMultiLvlLbl val="0"/>
      </c:catAx>
      <c:valAx>
        <c:axId val="712334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4 - Habit Moment and Metric'!$F$41</c:f>
              <c:strCache>
                <c:ptCount val="1"/>
                <c:pt idx="0">
                  <c:v>% Overlap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 4 - Habit Moment and Metric'!$A$42:$A$48</c:f>
              <c:strCache>
                <c:ptCount val="7"/>
                <c:pt idx="0">
                  <c:v>1+</c:v>
                </c:pt>
                <c:pt idx="1">
                  <c:v>2+</c:v>
                </c:pt>
                <c:pt idx="2">
                  <c:v>3+</c:v>
                </c:pt>
                <c:pt idx="3">
                  <c:v>4+</c:v>
                </c:pt>
                <c:pt idx="4">
                  <c:v>5+</c:v>
                </c:pt>
                <c:pt idx="5">
                  <c:v>6+</c:v>
                </c:pt>
                <c:pt idx="6">
                  <c:v>7+</c:v>
                </c:pt>
              </c:strCache>
            </c:strRef>
          </c:cat>
          <c:val>
            <c:numRef>
              <c:f>'Tab 4 - Habit Moment and Metric'!$F$42:$F$48</c:f>
              <c:numCache>
                <c:formatCode>0%</c:formatCode>
                <c:ptCount val="7"/>
                <c:pt idx="0">
                  <c:v>0.46641791044776121</c:v>
                </c:pt>
                <c:pt idx="1">
                  <c:v>0.45673076923076922</c:v>
                </c:pt>
                <c:pt idx="2">
                  <c:v>0.45576407506702415</c:v>
                </c:pt>
                <c:pt idx="3">
                  <c:v>0.44891640866873067</c:v>
                </c:pt>
                <c:pt idx="4">
                  <c:v>0.43109540636042404</c:v>
                </c:pt>
                <c:pt idx="5">
                  <c:v>0.43426294820717132</c:v>
                </c:pt>
                <c:pt idx="6">
                  <c:v>0.42857142857142855</c:v>
                </c:pt>
              </c:numCache>
            </c:numRef>
          </c:val>
          <c:smooth val="0"/>
          <c:extLst>
            <c:ext xmlns:c16="http://schemas.microsoft.com/office/drawing/2014/chart" uri="{C3380CC4-5D6E-409C-BE32-E72D297353CC}">
              <c16:uniqueId val="{00000000-90B5-4BC0-99E4-1CBBACD841D2}"/>
            </c:ext>
          </c:extLst>
        </c:ser>
        <c:dLbls>
          <c:showLegendKey val="0"/>
          <c:showVal val="0"/>
          <c:showCatName val="0"/>
          <c:showSerName val="0"/>
          <c:showPercent val="0"/>
          <c:showBubbleSize val="0"/>
        </c:dLbls>
        <c:marker val="1"/>
        <c:smooth val="0"/>
        <c:axId val="712331471"/>
        <c:axId val="712331951"/>
      </c:lineChart>
      <c:catAx>
        <c:axId val="71233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1951"/>
        <c:crosses val="autoZero"/>
        <c:auto val="1"/>
        <c:lblAlgn val="ctr"/>
        <c:lblOffset val="100"/>
        <c:noMultiLvlLbl val="0"/>
      </c:catAx>
      <c:valAx>
        <c:axId val="7123319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1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5 - Aha Moment and Metric A'!$F$16</c:f>
              <c:strCache>
                <c:ptCount val="1"/>
                <c:pt idx="0">
                  <c:v>% Overlap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'Tab 5 - Aha Moment and Metric A'!$F$17:$F$23</c:f>
              <c:numCache>
                <c:formatCode>0%</c:formatCode>
                <c:ptCount val="7"/>
                <c:pt idx="0">
                  <c:v>0.83</c:v>
                </c:pt>
                <c:pt idx="1">
                  <c:v>0.80566037735849061</c:v>
                </c:pt>
                <c:pt idx="2">
                  <c:v>0.78927203065134099</c:v>
                </c:pt>
                <c:pt idx="3">
                  <c:v>0.77142857142857146</c:v>
                </c:pt>
                <c:pt idx="4">
                  <c:v>0.58852459016393444</c:v>
                </c:pt>
                <c:pt idx="5">
                  <c:v>0.42797202797202799</c:v>
                </c:pt>
                <c:pt idx="6">
                  <c:v>0.31747787610619471</c:v>
                </c:pt>
              </c:numCache>
            </c:numRef>
          </c:val>
          <c:smooth val="0"/>
          <c:extLst>
            <c:ext xmlns:c16="http://schemas.microsoft.com/office/drawing/2014/chart" uri="{C3380CC4-5D6E-409C-BE32-E72D297353CC}">
              <c16:uniqueId val="{00000000-A351-499F-B12C-1B88ADE35BD3}"/>
            </c:ext>
          </c:extLst>
        </c:ser>
        <c:dLbls>
          <c:showLegendKey val="0"/>
          <c:showVal val="0"/>
          <c:showCatName val="0"/>
          <c:showSerName val="0"/>
          <c:showPercent val="0"/>
          <c:showBubbleSize val="0"/>
        </c:dLbls>
        <c:marker val="1"/>
        <c:smooth val="0"/>
        <c:axId val="712330031"/>
        <c:axId val="712337711"/>
      </c:lineChart>
      <c:catAx>
        <c:axId val="7123300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7711"/>
        <c:crosses val="autoZero"/>
        <c:auto val="1"/>
        <c:lblAlgn val="ctr"/>
        <c:lblOffset val="100"/>
        <c:noMultiLvlLbl val="0"/>
      </c:catAx>
      <c:valAx>
        <c:axId val="712337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5 - Aha Moment and Metric A'!$F$28</c:f>
              <c:strCache>
                <c:ptCount val="1"/>
                <c:pt idx="0">
                  <c:v>% Overlap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 5 - Aha Moment and Metric A'!$A$29:$A$35</c:f>
              <c:strCache>
                <c:ptCount val="7"/>
                <c:pt idx="0">
                  <c:v>1+</c:v>
                </c:pt>
                <c:pt idx="1">
                  <c:v>2+</c:v>
                </c:pt>
                <c:pt idx="2">
                  <c:v>3+</c:v>
                </c:pt>
                <c:pt idx="3">
                  <c:v>4+</c:v>
                </c:pt>
                <c:pt idx="4">
                  <c:v>5+</c:v>
                </c:pt>
                <c:pt idx="5">
                  <c:v>6+</c:v>
                </c:pt>
                <c:pt idx="6">
                  <c:v>7+</c:v>
                </c:pt>
              </c:strCache>
            </c:strRef>
          </c:cat>
          <c:val>
            <c:numRef>
              <c:f>'Tab 5 - Aha Moment and Metric A'!$F$29:$F$35</c:f>
              <c:numCache>
                <c:formatCode>0%</c:formatCode>
                <c:ptCount val="7"/>
                <c:pt idx="0">
                  <c:v>0.61349693251533743</c:v>
                </c:pt>
                <c:pt idx="1">
                  <c:v>0.58984007525870175</c:v>
                </c:pt>
                <c:pt idx="2">
                  <c:v>0.56595744680851068</c:v>
                </c:pt>
                <c:pt idx="3">
                  <c:v>0.55048076923076927</c:v>
                </c:pt>
                <c:pt idx="4">
                  <c:v>0.41311852704257768</c:v>
                </c:pt>
                <c:pt idx="5">
                  <c:v>0.36602870813397131</c:v>
                </c:pt>
                <c:pt idx="6">
                  <c:v>0.22721749696233293</c:v>
                </c:pt>
              </c:numCache>
            </c:numRef>
          </c:val>
          <c:smooth val="0"/>
          <c:extLst>
            <c:ext xmlns:c16="http://schemas.microsoft.com/office/drawing/2014/chart" uri="{C3380CC4-5D6E-409C-BE32-E72D297353CC}">
              <c16:uniqueId val="{00000000-CA4B-45BB-B613-8AAFF0AA68B7}"/>
            </c:ext>
          </c:extLst>
        </c:ser>
        <c:dLbls>
          <c:showLegendKey val="0"/>
          <c:showVal val="0"/>
          <c:showCatName val="0"/>
          <c:showSerName val="0"/>
          <c:showPercent val="0"/>
          <c:showBubbleSize val="0"/>
        </c:dLbls>
        <c:marker val="1"/>
        <c:smooth val="0"/>
        <c:axId val="712336751"/>
        <c:axId val="712324751"/>
      </c:lineChart>
      <c:catAx>
        <c:axId val="71233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24751"/>
        <c:crosses val="autoZero"/>
        <c:auto val="1"/>
        <c:lblAlgn val="ctr"/>
        <c:lblOffset val="100"/>
        <c:noMultiLvlLbl val="0"/>
      </c:catAx>
      <c:valAx>
        <c:axId val="7123247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5 - Aha Moment and Metric A'!$F$40</c:f>
              <c:strCache>
                <c:ptCount val="1"/>
                <c:pt idx="0">
                  <c:v>% Overlap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 5 - Aha Moment and Metric A'!$A$41:$A$47</c:f>
              <c:strCache>
                <c:ptCount val="7"/>
                <c:pt idx="0">
                  <c:v>1+</c:v>
                </c:pt>
                <c:pt idx="1">
                  <c:v>2+</c:v>
                </c:pt>
                <c:pt idx="2">
                  <c:v>3+</c:v>
                </c:pt>
                <c:pt idx="3">
                  <c:v>4+</c:v>
                </c:pt>
                <c:pt idx="4">
                  <c:v>5+</c:v>
                </c:pt>
                <c:pt idx="5">
                  <c:v>6+</c:v>
                </c:pt>
                <c:pt idx="6">
                  <c:v>7+</c:v>
                </c:pt>
              </c:strCache>
            </c:strRef>
          </c:cat>
          <c:val>
            <c:numRef>
              <c:f>'Tab 5 - Aha Moment and Metric A'!$F$41:$F$47</c:f>
              <c:numCache>
                <c:formatCode>0%</c:formatCode>
                <c:ptCount val="7"/>
                <c:pt idx="0">
                  <c:v>0.4170124481327801</c:v>
                </c:pt>
                <c:pt idx="1">
                  <c:v>0.40169332079021636</c:v>
                </c:pt>
                <c:pt idx="2">
                  <c:v>0.43829787234042555</c:v>
                </c:pt>
                <c:pt idx="3">
                  <c:v>0.42857142857142855</c:v>
                </c:pt>
                <c:pt idx="4">
                  <c:v>0.41311852704257768</c:v>
                </c:pt>
                <c:pt idx="5">
                  <c:v>0.36602870813397131</c:v>
                </c:pt>
                <c:pt idx="6">
                  <c:v>0.34872417982989062</c:v>
                </c:pt>
              </c:numCache>
            </c:numRef>
          </c:val>
          <c:smooth val="0"/>
          <c:extLst>
            <c:ext xmlns:c16="http://schemas.microsoft.com/office/drawing/2014/chart" uri="{C3380CC4-5D6E-409C-BE32-E72D297353CC}">
              <c16:uniqueId val="{00000000-9A49-4261-B324-C38E57863FF3}"/>
            </c:ext>
          </c:extLst>
        </c:ser>
        <c:dLbls>
          <c:showLegendKey val="0"/>
          <c:showVal val="0"/>
          <c:showCatName val="0"/>
          <c:showSerName val="0"/>
          <c:showPercent val="0"/>
          <c:showBubbleSize val="0"/>
        </c:dLbls>
        <c:marker val="1"/>
        <c:smooth val="0"/>
        <c:axId val="447886015"/>
        <c:axId val="447886975"/>
      </c:lineChart>
      <c:catAx>
        <c:axId val="447886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86975"/>
        <c:crosses val="autoZero"/>
        <c:auto val="1"/>
        <c:lblAlgn val="ctr"/>
        <c:lblOffset val="100"/>
        <c:noMultiLvlLbl val="0"/>
      </c:catAx>
      <c:valAx>
        <c:axId val="447886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88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6 - Setup Moment and Metric'!$F$15</c:f>
              <c:strCache>
                <c:ptCount val="1"/>
                <c:pt idx="0">
                  <c:v>% Overlap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 6 - Setup Moment and Metric'!$A$16:$A$22</c:f>
              <c:strCache>
                <c:ptCount val="7"/>
                <c:pt idx="0">
                  <c:v>1+</c:v>
                </c:pt>
                <c:pt idx="1">
                  <c:v>2+</c:v>
                </c:pt>
                <c:pt idx="2">
                  <c:v>3+</c:v>
                </c:pt>
                <c:pt idx="3">
                  <c:v>4+</c:v>
                </c:pt>
                <c:pt idx="4">
                  <c:v>5+</c:v>
                </c:pt>
                <c:pt idx="5">
                  <c:v>6+</c:v>
                </c:pt>
                <c:pt idx="6">
                  <c:v>7+</c:v>
                </c:pt>
              </c:strCache>
            </c:strRef>
          </c:cat>
          <c:val>
            <c:numRef>
              <c:f>'Tab 6 - Setup Moment and Metric'!$F$16:$F$22</c:f>
              <c:numCache>
                <c:formatCode>0%</c:formatCode>
                <c:ptCount val="7"/>
                <c:pt idx="0">
                  <c:v>0.39</c:v>
                </c:pt>
                <c:pt idx="1">
                  <c:v>0.36715391229578676</c:v>
                </c:pt>
                <c:pt idx="2">
                  <c:v>0.39615384615384613</c:v>
                </c:pt>
                <c:pt idx="3">
                  <c:v>0.38492871690427699</c:v>
                </c:pt>
                <c:pt idx="4">
                  <c:v>0.37048503611971106</c:v>
                </c:pt>
                <c:pt idx="5">
                  <c:v>0.32692307692307693</c:v>
                </c:pt>
                <c:pt idx="6">
                  <c:v>0.31094257854821233</c:v>
                </c:pt>
              </c:numCache>
            </c:numRef>
          </c:val>
          <c:smooth val="0"/>
          <c:extLst>
            <c:ext xmlns:c16="http://schemas.microsoft.com/office/drawing/2014/chart" uri="{C3380CC4-5D6E-409C-BE32-E72D297353CC}">
              <c16:uniqueId val="{00000000-D9AA-4F8F-A11D-C98DDBC1DE6A}"/>
            </c:ext>
          </c:extLst>
        </c:ser>
        <c:dLbls>
          <c:showLegendKey val="0"/>
          <c:showVal val="0"/>
          <c:showCatName val="0"/>
          <c:showSerName val="0"/>
          <c:showPercent val="0"/>
          <c:showBubbleSize val="0"/>
        </c:dLbls>
        <c:marker val="1"/>
        <c:smooth val="0"/>
        <c:axId val="442860735"/>
        <c:axId val="722535295"/>
      </c:lineChart>
      <c:catAx>
        <c:axId val="44286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35295"/>
        <c:crosses val="autoZero"/>
        <c:auto val="1"/>
        <c:lblAlgn val="ctr"/>
        <c:lblOffset val="100"/>
        <c:noMultiLvlLbl val="0"/>
      </c:catAx>
      <c:valAx>
        <c:axId val="7225352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86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6 - Setup Moment and Metric'!$F$27</c:f>
              <c:strCache>
                <c:ptCount val="1"/>
                <c:pt idx="0">
                  <c:v>% Overlap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 6 - Setup Moment and Metric'!$A$28:$A$34</c:f>
              <c:strCache>
                <c:ptCount val="7"/>
                <c:pt idx="0">
                  <c:v>1+</c:v>
                </c:pt>
                <c:pt idx="1">
                  <c:v>2+</c:v>
                </c:pt>
                <c:pt idx="2">
                  <c:v>3+</c:v>
                </c:pt>
                <c:pt idx="3">
                  <c:v>4+</c:v>
                </c:pt>
                <c:pt idx="4">
                  <c:v>5+</c:v>
                </c:pt>
                <c:pt idx="5">
                  <c:v>6+</c:v>
                </c:pt>
                <c:pt idx="6">
                  <c:v>7+</c:v>
                </c:pt>
              </c:strCache>
            </c:strRef>
          </c:cat>
          <c:val>
            <c:numRef>
              <c:f>'Tab 6 - Setup Moment and Metric'!$F$28:$F$34</c:f>
              <c:numCache>
                <c:formatCode>0%</c:formatCode>
                <c:ptCount val="7"/>
                <c:pt idx="0">
                  <c:v>0.56980056980056981</c:v>
                </c:pt>
                <c:pt idx="1">
                  <c:v>0.5391229578675838</c:v>
                </c:pt>
                <c:pt idx="2">
                  <c:v>0.52777777777777779</c:v>
                </c:pt>
                <c:pt idx="3">
                  <c:v>0.51927437641723351</c:v>
                </c:pt>
                <c:pt idx="4">
                  <c:v>0.50350631136044877</c:v>
                </c:pt>
                <c:pt idx="5">
                  <c:v>0.49434571890145396</c:v>
                </c:pt>
                <c:pt idx="6">
                  <c:v>0.46875</c:v>
                </c:pt>
              </c:numCache>
            </c:numRef>
          </c:val>
          <c:smooth val="0"/>
          <c:extLst>
            <c:ext xmlns:c16="http://schemas.microsoft.com/office/drawing/2014/chart" uri="{C3380CC4-5D6E-409C-BE32-E72D297353CC}">
              <c16:uniqueId val="{00000000-3D73-45F5-8CF3-744E8692B5BB}"/>
            </c:ext>
          </c:extLst>
        </c:ser>
        <c:dLbls>
          <c:showLegendKey val="0"/>
          <c:showVal val="0"/>
          <c:showCatName val="0"/>
          <c:showSerName val="0"/>
          <c:showPercent val="0"/>
          <c:showBubbleSize val="0"/>
        </c:dLbls>
        <c:marker val="1"/>
        <c:smooth val="0"/>
        <c:axId val="712327151"/>
        <c:axId val="712335311"/>
      </c:lineChart>
      <c:catAx>
        <c:axId val="71232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35311"/>
        <c:crosses val="autoZero"/>
        <c:auto val="1"/>
        <c:lblAlgn val="ctr"/>
        <c:lblOffset val="100"/>
        <c:noMultiLvlLbl val="0"/>
      </c:catAx>
      <c:valAx>
        <c:axId val="7123353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327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 6 - Setup Moment and Metric'!$F$39</c:f>
              <c:strCache>
                <c:ptCount val="1"/>
                <c:pt idx="0">
                  <c:v>% Overlap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 6 - Setup Moment and Metric'!$A$40:$A$46</c:f>
              <c:strCache>
                <c:ptCount val="7"/>
                <c:pt idx="0">
                  <c:v>1+</c:v>
                </c:pt>
                <c:pt idx="1">
                  <c:v>2+</c:v>
                </c:pt>
                <c:pt idx="2">
                  <c:v>3+</c:v>
                </c:pt>
                <c:pt idx="3">
                  <c:v>4+</c:v>
                </c:pt>
                <c:pt idx="4">
                  <c:v>5+</c:v>
                </c:pt>
                <c:pt idx="5">
                  <c:v>6+</c:v>
                </c:pt>
                <c:pt idx="6">
                  <c:v>7+</c:v>
                </c:pt>
              </c:strCache>
            </c:strRef>
          </c:cat>
          <c:val>
            <c:numRef>
              <c:f>'Tab 6 - Setup Moment and Metric'!$F$40:$F$46</c:f>
              <c:numCache>
                <c:formatCode>0%</c:formatCode>
                <c:ptCount val="7"/>
                <c:pt idx="0">
                  <c:v>0.70123839009287925</c:v>
                </c:pt>
                <c:pt idx="1">
                  <c:v>0.67777777777777781</c:v>
                </c:pt>
                <c:pt idx="2">
                  <c:v>0.66237942122186499</c:v>
                </c:pt>
                <c:pt idx="3">
                  <c:v>0.64067796610169492</c:v>
                </c:pt>
                <c:pt idx="4">
                  <c:v>0.5056338028169014</c:v>
                </c:pt>
                <c:pt idx="5">
                  <c:v>0.3754601226993865</c:v>
                </c:pt>
                <c:pt idx="6">
                  <c:v>0.28585657370517931</c:v>
                </c:pt>
              </c:numCache>
            </c:numRef>
          </c:val>
          <c:smooth val="0"/>
          <c:extLst>
            <c:ext xmlns:c16="http://schemas.microsoft.com/office/drawing/2014/chart" uri="{C3380CC4-5D6E-409C-BE32-E72D297353CC}">
              <c16:uniqueId val="{00000000-E18A-4E7C-B498-957137A9FC95}"/>
            </c:ext>
          </c:extLst>
        </c:ser>
        <c:dLbls>
          <c:showLegendKey val="0"/>
          <c:showVal val="0"/>
          <c:showCatName val="0"/>
          <c:showSerName val="0"/>
          <c:showPercent val="0"/>
          <c:showBubbleSize val="0"/>
        </c:dLbls>
        <c:marker val="1"/>
        <c:smooth val="0"/>
        <c:axId val="722532415"/>
        <c:axId val="722532895"/>
      </c:lineChart>
      <c:catAx>
        <c:axId val="72253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32895"/>
        <c:crosses val="autoZero"/>
        <c:auto val="1"/>
        <c:lblAlgn val="ctr"/>
        <c:lblOffset val="100"/>
        <c:noMultiLvlLbl val="0"/>
      </c:catAx>
      <c:valAx>
        <c:axId val="7225328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3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723899</xdr:colOff>
      <xdr:row>13</xdr:row>
      <xdr:rowOff>9524</xdr:rowOff>
    </xdr:from>
    <xdr:to>
      <xdr:col>11</xdr:col>
      <xdr:colOff>323850</xdr:colOff>
      <xdr:row>24</xdr:row>
      <xdr:rowOff>66675</xdr:rowOff>
    </xdr:to>
    <xdr:graphicFrame macro="">
      <xdr:nvGraphicFramePr>
        <xdr:cNvPr id="6" name="Chart 5">
          <a:extLst>
            <a:ext uri="{FF2B5EF4-FFF2-40B4-BE49-F238E27FC236}">
              <a16:creationId xmlns:a16="http://schemas.microsoft.com/office/drawing/2014/main" id="{BABBEB80-374D-7874-DE71-BBC017374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752475</xdr:colOff>
      <xdr:row>24</xdr:row>
      <xdr:rowOff>114301</xdr:rowOff>
    </xdr:from>
    <xdr:to>
      <xdr:col>11</xdr:col>
      <xdr:colOff>352425</xdr:colOff>
      <xdr:row>36</xdr:row>
      <xdr:rowOff>28575</xdr:rowOff>
    </xdr:to>
    <xdr:graphicFrame macro="">
      <xdr:nvGraphicFramePr>
        <xdr:cNvPr id="7" name="Chart 6">
          <a:extLst>
            <a:ext uri="{FF2B5EF4-FFF2-40B4-BE49-F238E27FC236}">
              <a16:creationId xmlns:a16="http://schemas.microsoft.com/office/drawing/2014/main" id="{96A8B004-A4E9-74F3-37F8-2136F45E1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781050</xdr:colOff>
      <xdr:row>36</xdr:row>
      <xdr:rowOff>85724</xdr:rowOff>
    </xdr:from>
    <xdr:to>
      <xdr:col>11</xdr:col>
      <xdr:colOff>342900</xdr:colOff>
      <xdr:row>49</xdr:row>
      <xdr:rowOff>28574</xdr:rowOff>
    </xdr:to>
    <xdr:graphicFrame macro="">
      <xdr:nvGraphicFramePr>
        <xdr:cNvPr id="8" name="Chart 7">
          <a:extLst>
            <a:ext uri="{FF2B5EF4-FFF2-40B4-BE49-F238E27FC236}">
              <a16:creationId xmlns:a16="http://schemas.microsoft.com/office/drawing/2014/main" id="{E86BFF5B-893B-ECB5-7904-3557738C6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552450</xdr:colOff>
      <xdr:row>11</xdr:row>
      <xdr:rowOff>152400</xdr:rowOff>
    </xdr:from>
    <xdr:to>
      <xdr:col>11</xdr:col>
      <xdr:colOff>409575</xdr:colOff>
      <xdr:row>23</xdr:row>
      <xdr:rowOff>19050</xdr:rowOff>
    </xdr:to>
    <xdr:graphicFrame macro="">
      <xdr:nvGraphicFramePr>
        <xdr:cNvPr id="5" name="Chart 4">
          <a:extLst>
            <a:ext uri="{FF2B5EF4-FFF2-40B4-BE49-F238E27FC236}">
              <a16:creationId xmlns:a16="http://schemas.microsoft.com/office/drawing/2014/main" id="{C43E6A56-2C83-31E1-ECC0-6D11D6F1D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542925</xdr:colOff>
      <xdr:row>23</xdr:row>
      <xdr:rowOff>114300</xdr:rowOff>
    </xdr:from>
    <xdr:to>
      <xdr:col>11</xdr:col>
      <xdr:colOff>514350</xdr:colOff>
      <xdr:row>35</xdr:row>
      <xdr:rowOff>66675</xdr:rowOff>
    </xdr:to>
    <xdr:graphicFrame macro="">
      <xdr:nvGraphicFramePr>
        <xdr:cNvPr id="6" name="Chart 5">
          <a:extLst>
            <a:ext uri="{FF2B5EF4-FFF2-40B4-BE49-F238E27FC236}">
              <a16:creationId xmlns:a16="http://schemas.microsoft.com/office/drawing/2014/main" id="{F33C28BD-15AC-7841-D84E-86FF604C92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552449</xdr:colOff>
      <xdr:row>35</xdr:row>
      <xdr:rowOff>114299</xdr:rowOff>
    </xdr:from>
    <xdr:to>
      <xdr:col>11</xdr:col>
      <xdr:colOff>390524</xdr:colOff>
      <xdr:row>47</xdr:row>
      <xdr:rowOff>123825</xdr:rowOff>
    </xdr:to>
    <xdr:graphicFrame macro="">
      <xdr:nvGraphicFramePr>
        <xdr:cNvPr id="7" name="Chart 6">
          <a:extLst>
            <a:ext uri="{FF2B5EF4-FFF2-40B4-BE49-F238E27FC236}">
              <a16:creationId xmlns:a16="http://schemas.microsoft.com/office/drawing/2014/main" id="{AFA5ADB5-4994-522A-9CDD-DD42B116C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771525</xdr:colOff>
      <xdr:row>10</xdr:row>
      <xdr:rowOff>152400</xdr:rowOff>
    </xdr:from>
    <xdr:to>
      <xdr:col>11</xdr:col>
      <xdr:colOff>371474</xdr:colOff>
      <xdr:row>22</xdr:row>
      <xdr:rowOff>0</xdr:rowOff>
    </xdr:to>
    <xdr:graphicFrame macro="">
      <xdr:nvGraphicFramePr>
        <xdr:cNvPr id="5" name="Chart 4">
          <a:extLst>
            <a:ext uri="{FF2B5EF4-FFF2-40B4-BE49-F238E27FC236}">
              <a16:creationId xmlns:a16="http://schemas.microsoft.com/office/drawing/2014/main" id="{7C774335-7F3D-D523-90EA-72168AC9A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771525</xdr:colOff>
      <xdr:row>22</xdr:row>
      <xdr:rowOff>142875</xdr:rowOff>
    </xdr:from>
    <xdr:to>
      <xdr:col>11</xdr:col>
      <xdr:colOff>466724</xdr:colOff>
      <xdr:row>35</xdr:row>
      <xdr:rowOff>38100</xdr:rowOff>
    </xdr:to>
    <xdr:graphicFrame macro="">
      <xdr:nvGraphicFramePr>
        <xdr:cNvPr id="6" name="Chart 5">
          <a:extLst>
            <a:ext uri="{FF2B5EF4-FFF2-40B4-BE49-F238E27FC236}">
              <a16:creationId xmlns:a16="http://schemas.microsoft.com/office/drawing/2014/main" id="{99709087-1E06-261F-9C9A-E1F2E988E5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762000</xdr:colOff>
      <xdr:row>35</xdr:row>
      <xdr:rowOff>57150</xdr:rowOff>
    </xdr:from>
    <xdr:to>
      <xdr:col>11</xdr:col>
      <xdr:colOff>419100</xdr:colOff>
      <xdr:row>47</xdr:row>
      <xdr:rowOff>47625</xdr:rowOff>
    </xdr:to>
    <xdr:graphicFrame macro="">
      <xdr:nvGraphicFramePr>
        <xdr:cNvPr id="7" name="Chart 6">
          <a:extLst>
            <a:ext uri="{FF2B5EF4-FFF2-40B4-BE49-F238E27FC236}">
              <a16:creationId xmlns:a16="http://schemas.microsoft.com/office/drawing/2014/main" id="{5EFB0158-AC58-5EE3-7E4A-E89379E62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D41:D49" headerRowCount="0">
  <tableColumns count="1">
    <tableColumn id="1" xr3:uid="{00000000-0010-0000-0000-000001000000}" name="Column1" dataDxfId="32">
      <calculatedColumnFormula>E41/C41</calculatedColumnFormula>
    </tableColumn>
  </tableColumns>
  <tableStyleInfo name="Tab 8 - Segment Analysis-style" showFirstColumn="1" showLastColumn="1" showRowStripes="1" showColumnStripes="0"/>
  <extLst>
    <ext uri="GoogleSheetsCustomDataVersion1">
      <go:sheetsCustomData xmlns:go="http://customooxmlschemas.google.com/" headerRowCount="1"/>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F84:F89" headerRowCount="0" headerRowDxfId="8" dataDxfId="7" totalsRowDxfId="6">
  <tableColumns count="1">
    <tableColumn id="1" xr3:uid="{00000000-0010-0000-0900-000001000000}" name="Column1" dataDxfId="5">
      <calculatedColumnFormula>ROUND(G84/E84,2)</calculatedColumnFormula>
    </tableColumn>
  </tableColumns>
  <tableStyleInfo name="Tab 8 - Segment Analysis-style 10" showFirstColumn="1" showLastColumn="1" showRowStripes="1" showColumnStripes="0"/>
  <extLst>
    <ext uri="GoogleSheetsCustomDataVersion1">
      <go:sheetsCustomData xmlns:go="http://customooxmlschemas.google.com/" headerRowCount="1"/>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H84:H89" headerRowCount="0">
  <tableColumns count="1">
    <tableColumn id="1" xr3:uid="{00000000-0010-0000-0A00-000001000000}" name="Column1" dataDxfId="4">
      <calculatedColumnFormula>B84*C84*E84*G84</calculatedColumnFormula>
    </tableColumn>
  </tableColumns>
  <tableStyleInfo name="Tab 8 - Segment Analysis-style 11" showFirstColumn="1" showLastColumn="1" showRowStripes="1" showColumnStripes="0"/>
  <extLst>
    <ext uri="GoogleSheetsCustomDataVersion1">
      <go:sheetsCustomData xmlns:go="http://customooxmlschemas.google.com/" headerRowCount="1"/>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_12" displayName="Table_12" ref="I84:I89" headerRowCount="0" headerRowDxfId="3" dataDxfId="2" totalsRowDxfId="1">
  <tableColumns count="1">
    <tableColumn id="1" xr3:uid="{00000000-0010-0000-0B00-000001000000}" name="Column1" dataDxfId="0">
      <calculatedColumnFormula>ROUND(Table_11[[#This Row],[Column1]]/B84,2)</calculatedColumnFormula>
    </tableColumn>
  </tableColumns>
  <tableStyleInfo name="Tab 8 - Segment Analysis-style 12"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F41:F49" headerRowCount="0" headerRowDxfId="31" dataDxfId="30" totalsRowDxfId="29">
  <tableColumns count="1">
    <tableColumn id="1" xr3:uid="{00000000-0010-0000-0100-000001000000}" name="Column1" dataDxfId="28">
      <calculatedColumnFormula>ROUND(G41/E41,2)</calculatedColumnFormula>
    </tableColumn>
  </tableColumns>
  <tableStyleInfo name="Tab 8 - Segment Analysi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41:H49" headerRowCount="0">
  <tableColumns count="1">
    <tableColumn id="1" xr3:uid="{00000000-0010-0000-0200-000001000000}" name="Column1" dataDxfId="27">
      <calculatedColumnFormula>B41*C41*E41*G41</calculatedColumnFormula>
    </tableColumn>
  </tableColumns>
  <tableStyleInfo name="Tab 8 - Segment Analysis-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I41:I49" headerRowCount="0">
  <tableColumns count="1">
    <tableColumn id="1" xr3:uid="{00000000-0010-0000-0300-000001000000}" name="Column1" dataDxfId="26">
      <calculatedColumnFormula>ROUND(Table_3[[#This Row],[Column1]]/B41,2)</calculatedColumnFormula>
    </tableColumn>
  </tableColumns>
  <tableStyleInfo name="Tab 8 - Segment Analysis-style 4"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D63:D70" headerRowCount="0" headerRowDxfId="25" dataDxfId="24" totalsRowDxfId="23">
  <tableColumns count="1">
    <tableColumn id="1" xr3:uid="{00000000-0010-0000-0400-000001000000}" name="Column1" dataDxfId="22">
      <calculatedColumnFormula>ROUND(E63/C63,2)</calculatedColumnFormula>
    </tableColumn>
  </tableColumns>
  <tableStyleInfo name="Tab 8 - Segment Analysis-style 5"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F63:F70" headerRowCount="0" headerRowDxfId="21" dataDxfId="20" totalsRowDxfId="19">
  <tableColumns count="1">
    <tableColumn id="1" xr3:uid="{00000000-0010-0000-0500-000001000000}" name="Column1" dataDxfId="18">
      <calculatedColumnFormula>ROUND(G63/E63,2)</calculatedColumnFormula>
    </tableColumn>
  </tableColumns>
  <tableStyleInfo name="Tab 8 - Segment Analysis-style 6"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H63:H70" headerRowCount="0">
  <tableColumns count="1">
    <tableColumn id="1" xr3:uid="{00000000-0010-0000-0600-000001000000}" name="Column1" dataDxfId="17">
      <calculatedColumnFormula>B63*C63*E63*G63</calculatedColumnFormula>
    </tableColumn>
  </tableColumns>
  <tableStyleInfo name="Tab 8 - Segment Analysis-style 7"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I63:I70" headerRowCount="0" headerRowDxfId="16" dataDxfId="15" totalsRowDxfId="14">
  <tableColumns count="1">
    <tableColumn id="1" xr3:uid="{00000000-0010-0000-0700-000001000000}" name="Column1" dataDxfId="13">
      <calculatedColumnFormula>ROUND(Table_7[[#This Row],[Column1]]/B63,2)</calculatedColumnFormula>
    </tableColumn>
  </tableColumns>
  <tableStyleInfo name="Tab 8 - Segment Analysis-style 8" showFirstColumn="1" showLastColumn="1" showRowStripes="1" showColumnStripes="0"/>
  <extLst>
    <ext uri="GoogleSheetsCustomDataVersion1">
      <go:sheetsCustomData xmlns:go="http://customooxmlschemas.google.com/" headerRowCount="1"/>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D84:D89" headerRowCount="0" headerRowDxfId="12" dataDxfId="11" totalsRowDxfId="10">
  <tableColumns count="1">
    <tableColumn id="1" xr3:uid="{00000000-0010-0000-0800-000001000000}" name="Column1" dataDxfId="9">
      <calculatedColumnFormula>ROUND(E84/C84,2)</calculatedColumnFormula>
    </tableColumn>
  </tableColumns>
  <tableStyleInfo name="Tab 8 - Segment Analysis-style 9"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4"/>
  <sheetViews>
    <sheetView showGridLines="0" topLeftCell="A9" workbookViewId="0">
      <selection activeCell="B24" sqref="B24"/>
    </sheetView>
  </sheetViews>
  <sheetFormatPr defaultColWidth="12.5703125" defaultRowHeight="15.75" customHeight="1"/>
  <cols>
    <col min="1" max="2" width="10.85546875" customWidth="1"/>
    <col min="3" max="3" width="42.85546875" customWidth="1"/>
  </cols>
  <sheetData>
    <row r="1" spans="1:3" ht="38.25">
      <c r="A1" s="180" t="s">
        <v>0</v>
      </c>
      <c r="B1" s="177"/>
      <c r="C1" s="178"/>
    </row>
    <row r="2" spans="1:3" ht="12.75">
      <c r="A2" s="181" t="s">
        <v>1</v>
      </c>
      <c r="B2" s="182"/>
      <c r="C2" s="183"/>
    </row>
    <row r="3" spans="1:3" ht="30.75" customHeight="1">
      <c r="A3" s="184"/>
      <c r="B3" s="185"/>
      <c r="C3" s="186"/>
    </row>
    <row r="4" spans="1:3" ht="30.75" customHeight="1">
      <c r="A4" s="187" t="str">
        <f>HYPERLINK("https://app.productboard.com/register","Step 1: Complete Tabs 1 - 2 in order by signing up for the free trial of productboard: https://app.productboard.com/register. 
")</f>
        <v xml:space="preserve">Step 1: Complete Tabs 1 - 2 in order by signing up for the free trial of productboard: https://app.productboard.com/register. 
</v>
      </c>
      <c r="B4" s="177"/>
      <c r="C4" s="178"/>
    </row>
    <row r="5" spans="1:3" ht="54.75" customHeight="1">
      <c r="A5" s="188" t="s">
        <v>2</v>
      </c>
      <c r="B5" s="185"/>
      <c r="C5" s="186"/>
    </row>
    <row r="6" spans="1:3" ht="99.75" customHeight="1">
      <c r="A6" s="188" t="s">
        <v>3</v>
      </c>
      <c r="B6" s="185"/>
      <c r="C6" s="186"/>
    </row>
    <row r="7" spans="1:3" ht="45.75" customHeight="1">
      <c r="A7" s="188" t="s">
        <v>4</v>
      </c>
      <c r="B7" s="185"/>
      <c r="C7" s="186"/>
    </row>
    <row r="8" spans="1:3" ht="56.25" customHeight="1">
      <c r="A8" s="188" t="s">
        <v>5</v>
      </c>
      <c r="B8" s="185"/>
      <c r="C8" s="186"/>
    </row>
    <row r="9" spans="1:3" ht="12.75">
      <c r="A9" s="176" t="s">
        <v>6</v>
      </c>
      <c r="B9" s="177"/>
      <c r="C9" s="178"/>
    </row>
    <row r="10" spans="1:3" ht="12.75">
      <c r="A10" s="179" t="s">
        <v>7</v>
      </c>
      <c r="B10" s="177"/>
      <c r="C10" s="178"/>
    </row>
    <row r="11" spans="1:3" ht="12.75">
      <c r="A11" s="1"/>
      <c r="B11" s="2"/>
      <c r="C11" s="3"/>
    </row>
    <row r="12" spans="1:3" ht="12.75">
      <c r="A12" s="4" t="s">
        <v>8</v>
      </c>
      <c r="B12" s="5" t="s">
        <v>9</v>
      </c>
      <c r="C12" s="4" t="s">
        <v>10</v>
      </c>
    </row>
    <row r="13" spans="1:3" ht="12.75">
      <c r="A13" s="6"/>
      <c r="B13" s="7"/>
      <c r="C13" s="4" t="s">
        <v>11</v>
      </c>
    </row>
    <row r="14" spans="1:3" ht="12.75">
      <c r="A14" s="8">
        <v>1</v>
      </c>
      <c r="B14" s="9" t="b">
        <v>1</v>
      </c>
      <c r="C14" s="10" t="s">
        <v>12</v>
      </c>
    </row>
    <row r="15" spans="1:3" ht="12.75">
      <c r="A15" s="8">
        <v>2</v>
      </c>
      <c r="B15" s="9" t="b">
        <v>1</v>
      </c>
      <c r="C15" s="10" t="s">
        <v>13</v>
      </c>
    </row>
    <row r="16" spans="1:3" ht="12.75">
      <c r="A16" s="6"/>
      <c r="B16" s="6"/>
      <c r="C16" s="4" t="s">
        <v>14</v>
      </c>
    </row>
    <row r="17" spans="1:3" ht="12.75">
      <c r="A17" s="11">
        <v>3</v>
      </c>
      <c r="B17" s="9" t="b">
        <v>1</v>
      </c>
      <c r="C17" s="10" t="s">
        <v>15</v>
      </c>
    </row>
    <row r="18" spans="1:3" ht="12.75">
      <c r="A18" s="12"/>
      <c r="B18" s="6"/>
      <c r="C18" s="4" t="s">
        <v>16</v>
      </c>
    </row>
    <row r="19" spans="1:3" ht="12.75">
      <c r="A19" s="11">
        <v>4</v>
      </c>
      <c r="B19" s="9" t="b">
        <v>1</v>
      </c>
      <c r="C19" s="10" t="s">
        <v>17</v>
      </c>
    </row>
    <row r="20" spans="1:3" ht="12.75">
      <c r="A20" s="11">
        <v>5</v>
      </c>
      <c r="B20" s="9" t="b">
        <v>1</v>
      </c>
      <c r="C20" s="10" t="s">
        <v>18</v>
      </c>
    </row>
    <row r="21" spans="1:3" ht="12.75">
      <c r="A21" s="11">
        <v>6</v>
      </c>
      <c r="B21" s="9" t="b">
        <v>1</v>
      </c>
      <c r="C21" s="10" t="s">
        <v>19</v>
      </c>
    </row>
    <row r="22" spans="1:3" ht="12.75">
      <c r="A22" s="11">
        <v>7</v>
      </c>
      <c r="B22" s="9" t="b">
        <v>1</v>
      </c>
      <c r="C22" s="10" t="s">
        <v>20</v>
      </c>
    </row>
    <row r="23" spans="1:3" ht="12.75">
      <c r="A23" s="12"/>
      <c r="B23" s="6"/>
      <c r="C23" s="4" t="s">
        <v>21</v>
      </c>
    </row>
    <row r="24" spans="1:3" ht="14.25">
      <c r="A24" s="11">
        <v>8</v>
      </c>
      <c r="B24" s="9" t="b">
        <v>1</v>
      </c>
      <c r="C24" s="13" t="s">
        <v>22</v>
      </c>
    </row>
  </sheetData>
  <mergeCells count="9">
    <mergeCell ref="A9:C9"/>
    <mergeCell ref="A10:C10"/>
    <mergeCell ref="A1:C1"/>
    <mergeCell ref="A2:C3"/>
    <mergeCell ref="A4:C4"/>
    <mergeCell ref="A5:C5"/>
    <mergeCell ref="A6:C6"/>
    <mergeCell ref="A7:C7"/>
    <mergeCell ref="A8:C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33"/>
  <sheetViews>
    <sheetView showGridLines="0" topLeftCell="P17" zoomScale="86" zoomScaleNormal="86" workbookViewId="0">
      <selection activeCell="W26" sqref="W26"/>
    </sheetView>
  </sheetViews>
  <sheetFormatPr defaultColWidth="12.5703125" defaultRowHeight="15.75" customHeight="1"/>
  <cols>
    <col min="2" max="2" width="26" customWidth="1"/>
    <col min="12" max="12" width="25.42578125" customWidth="1"/>
    <col min="13" max="13" width="25.140625" customWidth="1"/>
    <col min="14" max="14" width="36.7109375" customWidth="1"/>
    <col min="15" max="15" width="25.42578125" customWidth="1"/>
    <col min="16" max="16" width="25.28515625" customWidth="1"/>
    <col min="17" max="17" width="25" customWidth="1"/>
    <col min="18" max="18" width="25.42578125" customWidth="1"/>
    <col min="19" max="19" width="25.5703125" customWidth="1"/>
    <col min="20" max="20" width="43.42578125" customWidth="1"/>
    <col min="21" max="21" width="28.140625" customWidth="1"/>
    <col min="22" max="22" width="33.5703125" customWidth="1"/>
    <col min="23" max="23" width="47.140625" customWidth="1"/>
  </cols>
  <sheetData>
    <row r="1" spans="1:23" ht="12.75">
      <c r="A1" s="189" t="s">
        <v>12</v>
      </c>
      <c r="B1" s="182"/>
      <c r="C1" s="182"/>
      <c r="D1" s="182"/>
      <c r="E1" s="182"/>
      <c r="F1" s="182"/>
      <c r="G1" s="182"/>
      <c r="H1" s="182"/>
      <c r="I1" s="182"/>
      <c r="J1" s="182"/>
      <c r="K1" s="182"/>
      <c r="L1" s="182"/>
      <c r="M1" s="182"/>
      <c r="N1" s="182"/>
      <c r="O1" s="182"/>
      <c r="P1" s="182"/>
      <c r="Q1" s="182"/>
      <c r="R1" s="182"/>
      <c r="S1" s="182"/>
      <c r="T1" s="182"/>
      <c r="U1" s="182"/>
      <c r="V1" s="182"/>
      <c r="W1" s="183"/>
    </row>
    <row r="2" spans="1:23" ht="12.75">
      <c r="A2" s="184"/>
      <c r="B2" s="185"/>
      <c r="C2" s="185"/>
      <c r="D2" s="185"/>
      <c r="E2" s="185"/>
      <c r="F2" s="185"/>
      <c r="G2" s="185"/>
      <c r="H2" s="185"/>
      <c r="I2" s="185"/>
      <c r="J2" s="185"/>
      <c r="K2" s="185"/>
      <c r="L2" s="185"/>
      <c r="M2" s="185"/>
      <c r="N2" s="185"/>
      <c r="O2" s="185"/>
      <c r="P2" s="185"/>
      <c r="Q2" s="185"/>
      <c r="R2" s="185"/>
      <c r="S2" s="185"/>
      <c r="T2" s="185"/>
      <c r="U2" s="185"/>
      <c r="V2" s="185"/>
      <c r="W2" s="186"/>
    </row>
    <row r="3" spans="1:23" ht="12.75">
      <c r="A3" s="190" t="s">
        <v>23</v>
      </c>
      <c r="B3" s="182"/>
      <c r="C3" s="182"/>
      <c r="D3" s="182"/>
      <c r="E3" s="182"/>
      <c r="F3" s="183"/>
      <c r="G3" s="14"/>
      <c r="H3" s="14"/>
      <c r="I3" s="14"/>
      <c r="J3" s="15"/>
      <c r="K3" s="15"/>
      <c r="L3" s="15"/>
      <c r="S3" s="15"/>
      <c r="T3" s="15"/>
      <c r="U3" s="14"/>
      <c r="V3" s="14"/>
      <c r="W3" s="14"/>
    </row>
    <row r="4" spans="1:23" ht="14.25" customHeight="1">
      <c r="A4" s="184"/>
      <c r="B4" s="185"/>
      <c r="C4" s="185"/>
      <c r="D4" s="185"/>
      <c r="E4" s="185"/>
      <c r="F4" s="186"/>
      <c r="G4" s="14"/>
      <c r="H4" s="14"/>
      <c r="I4" s="14"/>
      <c r="J4" s="14"/>
      <c r="K4" s="14"/>
      <c r="L4" s="14"/>
      <c r="S4" s="15"/>
      <c r="T4" s="15"/>
      <c r="U4" s="14"/>
      <c r="V4" s="14"/>
      <c r="W4" s="14"/>
    </row>
    <row r="5" spans="1:23" ht="33" customHeight="1">
      <c r="A5" s="188" t="s">
        <v>24</v>
      </c>
      <c r="B5" s="185"/>
      <c r="C5" s="185"/>
      <c r="D5" s="185"/>
      <c r="E5" s="185"/>
      <c r="F5" s="186"/>
      <c r="G5" s="14"/>
      <c r="H5" s="14"/>
      <c r="I5" s="14"/>
      <c r="J5" s="14"/>
      <c r="K5" s="14"/>
      <c r="L5" s="14"/>
      <c r="S5" s="15"/>
      <c r="T5" s="15"/>
      <c r="U5" s="14"/>
      <c r="V5" s="14"/>
      <c r="W5" s="14"/>
    </row>
    <row r="6" spans="1:23" ht="36.75" customHeight="1">
      <c r="A6" s="188" t="s">
        <v>25</v>
      </c>
      <c r="B6" s="185"/>
      <c r="C6" s="185"/>
      <c r="D6" s="185"/>
      <c r="E6" s="185"/>
      <c r="F6" s="186"/>
      <c r="G6" s="14"/>
      <c r="H6" s="14"/>
      <c r="I6" s="14"/>
      <c r="J6" s="14"/>
      <c r="K6" s="14"/>
      <c r="L6" s="14"/>
      <c r="S6" s="15"/>
      <c r="T6" s="15"/>
      <c r="U6" s="14"/>
      <c r="V6" s="14"/>
      <c r="W6" s="14"/>
    </row>
    <row r="7" spans="1:23" ht="52.5" customHeight="1">
      <c r="A7" s="188" t="s">
        <v>26</v>
      </c>
      <c r="B7" s="185"/>
      <c r="C7" s="185"/>
      <c r="D7" s="185"/>
      <c r="E7" s="185"/>
      <c r="F7" s="186"/>
      <c r="G7" s="14"/>
      <c r="H7" s="14"/>
      <c r="I7" s="14"/>
      <c r="J7" s="14"/>
      <c r="K7" s="14"/>
      <c r="L7" s="14"/>
      <c r="S7" s="15"/>
      <c r="T7" s="15"/>
      <c r="U7" s="14"/>
      <c r="V7" s="14"/>
      <c r="W7" s="14"/>
    </row>
    <row r="8" spans="1:23" ht="48" customHeight="1">
      <c r="A8" s="188" t="s">
        <v>27</v>
      </c>
      <c r="B8" s="185"/>
      <c r="C8" s="185"/>
      <c r="D8" s="185"/>
      <c r="E8" s="185"/>
      <c r="F8" s="186"/>
      <c r="G8" s="14"/>
      <c r="H8" s="14"/>
      <c r="I8" s="14"/>
      <c r="J8" s="14"/>
      <c r="K8" s="14"/>
      <c r="L8" s="14"/>
      <c r="S8" s="15"/>
      <c r="T8" s="15"/>
      <c r="U8" s="14"/>
      <c r="V8" s="14"/>
      <c r="W8" s="14"/>
    </row>
    <row r="9" spans="1:23" ht="68.25" customHeight="1">
      <c r="A9" s="191" t="s">
        <v>28</v>
      </c>
      <c r="B9" s="177"/>
      <c r="C9" s="177"/>
      <c r="D9" s="177"/>
      <c r="E9" s="177"/>
      <c r="F9" s="178"/>
      <c r="G9" s="14"/>
      <c r="H9" s="14"/>
      <c r="I9" s="14"/>
      <c r="J9" s="14"/>
      <c r="K9" s="14"/>
      <c r="L9" s="14"/>
      <c r="S9" s="15"/>
      <c r="T9" s="15"/>
      <c r="U9" s="14"/>
      <c r="V9" s="14"/>
      <c r="W9" s="14"/>
    </row>
    <row r="10" spans="1:23" ht="109.5" customHeight="1">
      <c r="A10" s="190" t="s">
        <v>29</v>
      </c>
      <c r="B10" s="182"/>
      <c r="C10" s="182"/>
      <c r="D10" s="182"/>
      <c r="E10" s="182"/>
      <c r="F10" s="183"/>
      <c r="G10" s="14"/>
      <c r="H10" s="14"/>
      <c r="I10" s="14"/>
      <c r="J10" s="14"/>
      <c r="K10" s="14"/>
      <c r="L10" s="14"/>
      <c r="S10" s="14"/>
      <c r="T10" s="14"/>
      <c r="U10" s="14"/>
      <c r="V10" s="14"/>
      <c r="W10" s="14"/>
    </row>
    <row r="11" spans="1:23" ht="17.25" customHeight="1">
      <c r="A11" s="192" t="s">
        <v>30</v>
      </c>
      <c r="B11" s="193"/>
      <c r="C11" s="193"/>
      <c r="D11" s="193"/>
      <c r="E11" s="193"/>
      <c r="F11" s="194"/>
      <c r="G11" s="14"/>
      <c r="H11" s="14"/>
      <c r="I11" s="14"/>
      <c r="J11" s="14"/>
      <c r="K11" s="14"/>
      <c r="L11" s="14"/>
      <c r="S11" s="14"/>
      <c r="T11" s="14"/>
      <c r="U11" s="14"/>
      <c r="V11" s="14"/>
      <c r="W11" s="14"/>
    </row>
    <row r="12" spans="1:23" ht="20.25" customHeight="1">
      <c r="A12" s="192" t="s">
        <v>31</v>
      </c>
      <c r="B12" s="193"/>
      <c r="C12" s="193"/>
      <c r="D12" s="193"/>
      <c r="E12" s="193"/>
      <c r="F12" s="194"/>
      <c r="G12" s="14"/>
      <c r="H12" s="14"/>
      <c r="I12" s="14"/>
      <c r="J12" s="14"/>
      <c r="K12" s="14"/>
      <c r="L12" s="14"/>
      <c r="S12" s="14"/>
      <c r="T12" s="14"/>
      <c r="U12" s="14"/>
      <c r="V12" s="14"/>
      <c r="W12" s="14"/>
    </row>
    <row r="13" spans="1:23" ht="29.25" customHeight="1">
      <c r="A13" s="195" t="s">
        <v>32</v>
      </c>
      <c r="B13" s="193"/>
      <c r="C13" s="193"/>
      <c r="D13" s="193"/>
      <c r="E13" s="193"/>
      <c r="F13" s="194"/>
      <c r="G13" s="14"/>
      <c r="H13" s="14"/>
      <c r="I13" s="14"/>
      <c r="J13" s="14"/>
      <c r="K13" s="14"/>
      <c r="L13" s="14"/>
      <c r="S13" s="14"/>
      <c r="T13" s="14"/>
      <c r="U13" s="14"/>
      <c r="V13" s="14"/>
      <c r="W13" s="14"/>
    </row>
    <row r="14" spans="1:23" ht="26.25" customHeight="1">
      <c r="A14" s="196" t="s">
        <v>33</v>
      </c>
      <c r="B14" s="193"/>
      <c r="C14" s="193"/>
      <c r="D14" s="193"/>
      <c r="E14" s="193"/>
      <c r="F14" s="194"/>
      <c r="G14" s="14"/>
      <c r="H14" s="14"/>
      <c r="I14" s="14"/>
      <c r="J14" s="14"/>
      <c r="K14" s="14"/>
      <c r="L14" s="14"/>
      <c r="S14" s="14"/>
      <c r="T14" s="14"/>
      <c r="U14" s="14"/>
      <c r="V14" s="14"/>
      <c r="W14" s="14"/>
    </row>
    <row r="15" spans="1:23" ht="24.75" customHeight="1">
      <c r="A15" s="192" t="s">
        <v>34</v>
      </c>
      <c r="B15" s="193"/>
      <c r="C15" s="193"/>
      <c r="D15" s="193"/>
      <c r="E15" s="193"/>
      <c r="F15" s="194"/>
      <c r="G15" s="14"/>
      <c r="H15" s="14"/>
      <c r="I15" s="14"/>
      <c r="J15" s="14"/>
      <c r="K15" s="14"/>
      <c r="L15" s="14"/>
      <c r="S15" s="14"/>
      <c r="T15" s="14"/>
      <c r="U15" s="14"/>
      <c r="V15" s="14"/>
      <c r="W15" s="14"/>
    </row>
    <row r="16" spans="1:23" ht="24.75" customHeight="1">
      <c r="A16" s="192" t="s">
        <v>35</v>
      </c>
      <c r="B16" s="193"/>
      <c r="C16" s="193"/>
      <c r="D16" s="193"/>
      <c r="E16" s="193"/>
      <c r="F16" s="194"/>
      <c r="G16" s="14"/>
      <c r="H16" s="14"/>
      <c r="I16" s="14"/>
      <c r="J16" s="14"/>
      <c r="K16" s="14"/>
      <c r="L16" s="14"/>
      <c r="S16" s="14"/>
      <c r="T16" s="14"/>
      <c r="U16" s="14"/>
      <c r="V16" s="14"/>
      <c r="W16" s="14"/>
    </row>
    <row r="17" spans="1:23" ht="78" customHeight="1">
      <c r="A17" s="199" t="s">
        <v>36</v>
      </c>
      <c r="B17" s="185"/>
      <c r="C17" s="185"/>
      <c r="D17" s="185"/>
      <c r="E17" s="185"/>
      <c r="F17" s="186"/>
      <c r="G17" s="14"/>
      <c r="H17" s="14"/>
      <c r="I17" s="14"/>
      <c r="J17" s="14"/>
      <c r="K17" s="14"/>
      <c r="L17" s="14"/>
      <c r="S17" s="14"/>
      <c r="T17" s="14"/>
      <c r="U17" s="14"/>
      <c r="V17" s="14"/>
      <c r="W17" s="14"/>
    </row>
    <row r="18" spans="1:23" ht="18.75" customHeight="1">
      <c r="A18" s="16" t="s">
        <v>37</v>
      </c>
      <c r="B18" s="17"/>
      <c r="C18" s="17"/>
      <c r="D18" s="17"/>
      <c r="E18" s="17"/>
      <c r="F18" s="18"/>
      <c r="G18" s="14"/>
      <c r="H18" s="14"/>
      <c r="I18" s="14"/>
      <c r="J18" s="14"/>
      <c r="K18" s="14"/>
      <c r="L18" s="14"/>
      <c r="S18" s="14"/>
      <c r="T18" s="14"/>
      <c r="U18" s="14"/>
      <c r="V18" s="14"/>
      <c r="W18" s="14"/>
    </row>
    <row r="19" spans="1:23" ht="12.75">
      <c r="A19" s="19" t="s">
        <v>38</v>
      </c>
      <c r="B19" s="19" t="s">
        <v>39</v>
      </c>
      <c r="C19" s="19" t="s">
        <v>40</v>
      </c>
      <c r="D19" s="19" t="s">
        <v>41</v>
      </c>
      <c r="E19" s="19" t="s">
        <v>42</v>
      </c>
      <c r="F19" s="19" t="s">
        <v>43</v>
      </c>
      <c r="G19" s="20" t="s">
        <v>44</v>
      </c>
      <c r="H19" s="20" t="s">
        <v>45</v>
      </c>
      <c r="I19" s="20" t="s">
        <v>46</v>
      </c>
      <c r="J19" s="20" t="s">
        <v>47</v>
      </c>
      <c r="K19" s="20" t="s">
        <v>48</v>
      </c>
      <c r="L19" s="20" t="s">
        <v>49</v>
      </c>
      <c r="M19" s="20" t="s">
        <v>50</v>
      </c>
      <c r="N19" s="20" t="s">
        <v>51</v>
      </c>
      <c r="O19" s="20" t="s">
        <v>52</v>
      </c>
      <c r="P19" s="20" t="s">
        <v>53</v>
      </c>
      <c r="Q19" s="20" t="s">
        <v>54</v>
      </c>
      <c r="R19" s="20" t="s">
        <v>55</v>
      </c>
      <c r="S19" s="20" t="s">
        <v>56</v>
      </c>
      <c r="T19" s="20" t="s">
        <v>57</v>
      </c>
      <c r="U19" s="20" t="s">
        <v>58</v>
      </c>
      <c r="V19" s="20" t="s">
        <v>59</v>
      </c>
      <c r="W19" s="20" t="s">
        <v>60</v>
      </c>
    </row>
    <row r="20" spans="1:23" ht="89.25">
      <c r="A20" s="21" t="s">
        <v>61</v>
      </c>
      <c r="B20" s="21" t="s">
        <v>62</v>
      </c>
      <c r="C20" s="21" t="s">
        <v>63</v>
      </c>
      <c r="D20" s="21" t="s">
        <v>64</v>
      </c>
      <c r="E20" s="21" t="s">
        <v>65</v>
      </c>
      <c r="F20" s="21" t="s">
        <v>313</v>
      </c>
      <c r="G20" s="21" t="s">
        <v>66</v>
      </c>
      <c r="H20" s="21" t="s">
        <v>67</v>
      </c>
      <c r="I20" s="200" t="s">
        <v>68</v>
      </c>
      <c r="J20" s="177"/>
      <c r="K20" s="177"/>
      <c r="L20" s="178"/>
      <c r="M20" s="21" t="s">
        <v>69</v>
      </c>
      <c r="N20" s="21" t="s">
        <v>70</v>
      </c>
      <c r="O20" s="21" t="s">
        <v>71</v>
      </c>
      <c r="P20" s="21" t="s">
        <v>72</v>
      </c>
      <c r="Q20" s="21" t="s">
        <v>73</v>
      </c>
      <c r="R20" s="21" t="s">
        <v>74</v>
      </c>
      <c r="S20" s="21" t="s">
        <v>75</v>
      </c>
      <c r="T20" s="161" t="s">
        <v>76</v>
      </c>
      <c r="U20" s="21" t="s">
        <v>77</v>
      </c>
      <c r="V20" s="21" t="s">
        <v>78</v>
      </c>
      <c r="W20" s="21" t="s">
        <v>79</v>
      </c>
    </row>
    <row r="21" spans="1:23" ht="29.25" customHeight="1">
      <c r="A21" s="22">
        <v>1</v>
      </c>
      <c r="B21" s="23" t="s">
        <v>80</v>
      </c>
      <c r="C21" s="22">
        <f>3820*2</f>
        <v>7640</v>
      </c>
      <c r="D21" s="24">
        <v>0.11020000000000001</v>
      </c>
      <c r="E21" s="90">
        <v>0.88980000000000004</v>
      </c>
      <c r="F21" s="25" t="s">
        <v>81</v>
      </c>
      <c r="G21" s="26">
        <v>1</v>
      </c>
      <c r="H21" s="171">
        <v>0</v>
      </c>
      <c r="I21" s="201" t="s">
        <v>82</v>
      </c>
      <c r="J21" s="177"/>
      <c r="K21" s="177"/>
      <c r="L21" s="178"/>
      <c r="M21" s="27" t="s">
        <v>317</v>
      </c>
      <c r="N21" s="28" t="s">
        <v>83</v>
      </c>
      <c r="O21" s="28" t="s">
        <v>84</v>
      </c>
      <c r="P21" s="28" t="s">
        <v>85</v>
      </c>
      <c r="Q21" s="28" t="s">
        <v>85</v>
      </c>
      <c r="R21" s="28" t="s">
        <v>85</v>
      </c>
      <c r="S21" s="29" t="s">
        <v>86</v>
      </c>
      <c r="T21" s="30" t="s">
        <v>87</v>
      </c>
      <c r="U21" s="31"/>
      <c r="V21" s="167" t="s">
        <v>335</v>
      </c>
      <c r="W21" s="32" t="s">
        <v>88</v>
      </c>
    </row>
    <row r="22" spans="1:23" ht="30.75" customHeight="1">
      <c r="A22" s="33">
        <v>2</v>
      </c>
      <c r="B22" s="10" t="s">
        <v>89</v>
      </c>
      <c r="C22" s="33">
        <f>421*2</f>
        <v>842</v>
      </c>
      <c r="D22" s="34">
        <f>C23/C22</f>
        <v>0.93586698337292162</v>
      </c>
      <c r="E22" s="170">
        <f>100%-D22</f>
        <v>6.4133016627078376E-2</v>
      </c>
      <c r="F22" s="34">
        <f>100%-(C22/$C$21)</f>
        <v>0.88979057591623034</v>
      </c>
      <c r="G22" s="35">
        <v>5</v>
      </c>
      <c r="H22" s="172">
        <v>2</v>
      </c>
      <c r="I22" s="202" t="s">
        <v>314</v>
      </c>
      <c r="J22" s="177"/>
      <c r="K22" s="177"/>
      <c r="L22" s="178"/>
      <c r="M22" s="36" t="s">
        <v>319</v>
      </c>
      <c r="N22" s="157" t="s">
        <v>384</v>
      </c>
      <c r="O22" s="37" t="s">
        <v>386</v>
      </c>
      <c r="P22" s="157" t="s">
        <v>85</v>
      </c>
      <c r="Q22" s="157" t="s">
        <v>334</v>
      </c>
      <c r="R22" s="157" t="s">
        <v>85</v>
      </c>
      <c r="S22" s="159" t="s">
        <v>86</v>
      </c>
      <c r="T22" s="38"/>
      <c r="U22" s="9"/>
      <c r="V22" s="38"/>
      <c r="W22" s="39"/>
    </row>
    <row r="23" spans="1:23" ht="45" customHeight="1">
      <c r="A23" s="33">
        <v>3</v>
      </c>
      <c r="B23" s="10" t="s">
        <v>90</v>
      </c>
      <c r="C23" s="33">
        <f>394*2</f>
        <v>788</v>
      </c>
      <c r="D23" s="34">
        <f t="shared" ref="D23:D29" si="0">C24/C23</f>
        <v>0.97208121827411165</v>
      </c>
      <c r="E23" s="170">
        <f t="shared" ref="E23:E29" si="1">100%-D23</f>
        <v>2.7918781725888353E-2</v>
      </c>
      <c r="F23" s="34">
        <f t="shared" ref="F23:F29" si="2">100%-(C23/$C$21)</f>
        <v>0.89685863874345551</v>
      </c>
      <c r="G23" s="35">
        <v>1</v>
      </c>
      <c r="H23" s="172">
        <v>0</v>
      </c>
      <c r="I23" s="198" t="s">
        <v>315</v>
      </c>
      <c r="J23" s="177"/>
      <c r="K23" s="177"/>
      <c r="L23" s="178"/>
      <c r="M23" s="36" t="s">
        <v>318</v>
      </c>
      <c r="N23" s="157" t="s">
        <v>328</v>
      </c>
      <c r="O23" s="37" t="s">
        <v>385</v>
      </c>
      <c r="P23" s="157" t="s">
        <v>391</v>
      </c>
      <c r="Q23" s="157" t="s">
        <v>393</v>
      </c>
      <c r="R23" s="157" t="s">
        <v>335</v>
      </c>
      <c r="S23" s="159" t="s">
        <v>337</v>
      </c>
      <c r="T23" s="160" t="s">
        <v>341</v>
      </c>
      <c r="U23" s="38"/>
      <c r="V23" s="162" t="s">
        <v>85</v>
      </c>
      <c r="W23" s="169" t="s">
        <v>345</v>
      </c>
    </row>
    <row r="24" spans="1:23" ht="48" customHeight="1">
      <c r="A24" s="33">
        <v>4</v>
      </c>
      <c r="B24" s="10" t="s">
        <v>91</v>
      </c>
      <c r="C24" s="33">
        <f>383*2</f>
        <v>766</v>
      </c>
      <c r="D24" s="34">
        <f t="shared" si="0"/>
        <v>0.96866840731070492</v>
      </c>
      <c r="E24" s="170">
        <f t="shared" si="1"/>
        <v>3.1331592689295085E-2</v>
      </c>
      <c r="F24" s="34">
        <f t="shared" si="2"/>
        <v>0.89973821989528791</v>
      </c>
      <c r="G24" s="35">
        <v>1</v>
      </c>
      <c r="H24" s="172">
        <v>0</v>
      </c>
      <c r="I24" s="198" t="s">
        <v>316</v>
      </c>
      <c r="J24" s="177"/>
      <c r="K24" s="177"/>
      <c r="L24" s="178"/>
      <c r="M24" s="156" t="s">
        <v>320</v>
      </c>
      <c r="N24" s="158" t="s">
        <v>329</v>
      </c>
      <c r="O24" s="41" t="s">
        <v>387</v>
      </c>
      <c r="P24" s="158" t="s">
        <v>334</v>
      </c>
      <c r="Q24" s="158" t="s">
        <v>335</v>
      </c>
      <c r="R24" s="158" t="s">
        <v>335</v>
      </c>
      <c r="S24" s="159" t="s">
        <v>337</v>
      </c>
      <c r="T24" s="160" t="s">
        <v>340</v>
      </c>
      <c r="U24" s="38"/>
      <c r="V24" s="162" t="s">
        <v>334</v>
      </c>
      <c r="W24" s="169" t="s">
        <v>346</v>
      </c>
    </row>
    <row r="25" spans="1:23" ht="30" customHeight="1">
      <c r="A25" s="33">
        <v>5</v>
      </c>
      <c r="B25" s="10" t="s">
        <v>92</v>
      </c>
      <c r="C25" s="33">
        <f>371*2</f>
        <v>742</v>
      </c>
      <c r="D25" s="34">
        <f t="shared" si="0"/>
        <v>0.98921832884097038</v>
      </c>
      <c r="E25" s="170">
        <f t="shared" si="1"/>
        <v>1.0781671159029615E-2</v>
      </c>
      <c r="F25" s="34">
        <f t="shared" si="2"/>
        <v>0.90287958115183242</v>
      </c>
      <c r="G25" s="35">
        <v>5</v>
      </c>
      <c r="H25" s="172">
        <v>4</v>
      </c>
      <c r="I25" s="197" t="s">
        <v>321</v>
      </c>
      <c r="J25" s="177"/>
      <c r="K25" s="177"/>
      <c r="L25" s="178"/>
      <c r="M25" s="156" t="s">
        <v>322</v>
      </c>
      <c r="N25" s="158" t="s">
        <v>331</v>
      </c>
      <c r="O25" s="158" t="s">
        <v>336</v>
      </c>
      <c r="P25" s="158" t="s">
        <v>334</v>
      </c>
      <c r="Q25" s="158" t="s">
        <v>85</v>
      </c>
      <c r="R25" s="158" t="s">
        <v>85</v>
      </c>
      <c r="S25" s="159" t="s">
        <v>338</v>
      </c>
      <c r="T25" s="162" t="s">
        <v>365</v>
      </c>
      <c r="U25" s="162" t="s">
        <v>343</v>
      </c>
      <c r="V25" s="160" t="s">
        <v>335</v>
      </c>
      <c r="W25" s="39" t="s">
        <v>366</v>
      </c>
    </row>
    <row r="26" spans="1:23" ht="30" customHeight="1">
      <c r="A26" s="33">
        <v>6</v>
      </c>
      <c r="B26" s="10" t="s">
        <v>93</v>
      </c>
      <c r="C26" s="33">
        <f>367*2</f>
        <v>734</v>
      </c>
      <c r="D26" s="34">
        <f t="shared" si="0"/>
        <v>0.86376021798365121</v>
      </c>
      <c r="E26" s="170">
        <f t="shared" si="1"/>
        <v>0.13623978201634879</v>
      </c>
      <c r="F26" s="34">
        <f t="shared" si="2"/>
        <v>0.90392670157068067</v>
      </c>
      <c r="G26" s="35">
        <v>3</v>
      </c>
      <c r="H26" s="172">
        <v>2</v>
      </c>
      <c r="I26" s="197" t="s">
        <v>323</v>
      </c>
      <c r="J26" s="177"/>
      <c r="K26" s="177"/>
      <c r="L26" s="178"/>
      <c r="M26" s="40" t="s">
        <v>322</v>
      </c>
      <c r="N26" s="158" t="s">
        <v>332</v>
      </c>
      <c r="O26" s="158" t="s">
        <v>388</v>
      </c>
      <c r="P26" s="158" t="s">
        <v>334</v>
      </c>
      <c r="Q26" s="158" t="s">
        <v>85</v>
      </c>
      <c r="R26" s="158" t="s">
        <v>85</v>
      </c>
      <c r="S26" s="159" t="s">
        <v>86</v>
      </c>
      <c r="T26" s="165"/>
      <c r="U26" s="9"/>
      <c r="V26" s="160" t="s">
        <v>335</v>
      </c>
      <c r="W26" s="39"/>
    </row>
    <row r="27" spans="1:23" ht="69.75" customHeight="1">
      <c r="A27" s="33">
        <v>7</v>
      </c>
      <c r="B27" s="10" t="s">
        <v>94</v>
      </c>
      <c r="C27" s="33">
        <f>317*2</f>
        <v>634</v>
      </c>
      <c r="D27" s="34">
        <f t="shared" si="0"/>
        <v>0.96845425867507884</v>
      </c>
      <c r="E27" s="170">
        <f t="shared" si="1"/>
        <v>3.1545741324921162E-2</v>
      </c>
      <c r="F27" s="34">
        <f t="shared" si="2"/>
        <v>0.91701570680628275</v>
      </c>
      <c r="G27" s="35">
        <v>4</v>
      </c>
      <c r="H27" s="172">
        <v>3</v>
      </c>
      <c r="I27" s="197" t="s">
        <v>324</v>
      </c>
      <c r="J27" s="177"/>
      <c r="K27" s="177"/>
      <c r="L27" s="178"/>
      <c r="M27" s="156" t="s">
        <v>325</v>
      </c>
      <c r="N27" s="158" t="s">
        <v>333</v>
      </c>
      <c r="O27" s="158" t="s">
        <v>389</v>
      </c>
      <c r="P27" s="158" t="s">
        <v>334</v>
      </c>
      <c r="Q27" s="158" t="s">
        <v>392</v>
      </c>
      <c r="R27" s="158" t="s">
        <v>335</v>
      </c>
      <c r="S27" s="164" t="s">
        <v>337</v>
      </c>
      <c r="T27" s="166" t="s">
        <v>339</v>
      </c>
      <c r="U27" s="168" t="s">
        <v>343</v>
      </c>
      <c r="V27" s="160" t="s">
        <v>85</v>
      </c>
      <c r="W27" s="39" t="s">
        <v>364</v>
      </c>
    </row>
    <row r="28" spans="1:23" ht="23.25" customHeight="1">
      <c r="A28" s="33">
        <v>8</v>
      </c>
      <c r="B28" s="10" t="s">
        <v>95</v>
      </c>
      <c r="C28" s="33">
        <f>307*2</f>
        <v>614</v>
      </c>
      <c r="D28" s="34">
        <f t="shared" si="0"/>
        <v>0.92182410423452765</v>
      </c>
      <c r="E28" s="170">
        <f t="shared" si="1"/>
        <v>7.8175895765472347E-2</v>
      </c>
      <c r="F28" s="34">
        <f t="shared" si="2"/>
        <v>0.91963350785340314</v>
      </c>
      <c r="G28" s="35"/>
      <c r="H28" s="172"/>
      <c r="I28" s="198"/>
      <c r="J28" s="177"/>
      <c r="K28" s="177"/>
      <c r="L28" s="178"/>
      <c r="M28" s="156"/>
      <c r="N28" s="158"/>
      <c r="O28" s="41"/>
      <c r="P28" s="41"/>
      <c r="Q28" s="41"/>
      <c r="R28" s="41"/>
      <c r="S28" s="38"/>
      <c r="T28" s="163"/>
      <c r="U28" s="9"/>
      <c r="V28" s="9"/>
      <c r="W28" s="38"/>
    </row>
    <row r="29" spans="1:23" ht="26.25" customHeight="1">
      <c r="A29" s="33">
        <v>9</v>
      </c>
      <c r="B29" s="10" t="s">
        <v>96</v>
      </c>
      <c r="C29" s="33">
        <f>283*2</f>
        <v>566</v>
      </c>
      <c r="D29" s="34">
        <f t="shared" si="0"/>
        <v>1</v>
      </c>
      <c r="E29" s="170">
        <f t="shared" si="1"/>
        <v>0</v>
      </c>
      <c r="F29" s="34">
        <f t="shared" si="2"/>
        <v>0.92591623036649218</v>
      </c>
      <c r="G29" s="35">
        <v>8</v>
      </c>
      <c r="H29" s="172">
        <v>4</v>
      </c>
      <c r="I29" s="197" t="s">
        <v>327</v>
      </c>
      <c r="J29" s="177"/>
      <c r="K29" s="177"/>
      <c r="L29" s="178"/>
      <c r="M29" s="156" t="s">
        <v>326</v>
      </c>
      <c r="N29" s="158" t="s">
        <v>330</v>
      </c>
      <c r="O29" s="41" t="s">
        <v>390</v>
      </c>
      <c r="P29" s="158" t="s">
        <v>334</v>
      </c>
      <c r="Q29" s="158" t="s">
        <v>334</v>
      </c>
      <c r="R29" s="158" t="s">
        <v>334</v>
      </c>
      <c r="S29" s="160" t="s">
        <v>338</v>
      </c>
      <c r="T29" s="160" t="s">
        <v>344</v>
      </c>
      <c r="U29" s="160" t="s">
        <v>342</v>
      </c>
      <c r="V29" s="160" t="s">
        <v>85</v>
      </c>
      <c r="W29" s="38" t="s">
        <v>363</v>
      </c>
    </row>
    <row r="30" spans="1:23" ht="12.75">
      <c r="A30" s="42">
        <v>10</v>
      </c>
      <c r="B30" s="43" t="s">
        <v>97</v>
      </c>
      <c r="C30" s="44">
        <f>C29</f>
        <v>566</v>
      </c>
      <c r="D30" s="14"/>
      <c r="E30" s="45"/>
      <c r="F30" s="46"/>
      <c r="G30" s="47"/>
      <c r="H30" s="47"/>
      <c r="I30" s="14"/>
      <c r="J30" s="14"/>
      <c r="K30" s="14"/>
      <c r="L30" s="14"/>
      <c r="M30" s="14"/>
      <c r="N30" s="14"/>
      <c r="O30" s="14"/>
      <c r="P30" s="14"/>
      <c r="Q30" s="14"/>
      <c r="R30" s="14"/>
      <c r="S30" s="14"/>
      <c r="T30" s="14"/>
      <c r="U30" s="14"/>
      <c r="V30" s="14"/>
      <c r="W30" s="14"/>
    </row>
    <row r="31" spans="1:23" ht="12.75">
      <c r="A31" s="14"/>
      <c r="B31" s="14"/>
      <c r="C31" s="14"/>
      <c r="D31" s="14"/>
      <c r="E31" s="48"/>
      <c r="F31" s="43" t="s">
        <v>98</v>
      </c>
      <c r="G31" s="43" t="s">
        <v>99</v>
      </c>
      <c r="H31" s="43" t="s">
        <v>99</v>
      </c>
      <c r="I31" s="14"/>
      <c r="J31" s="14"/>
      <c r="K31" s="14"/>
      <c r="L31" s="14"/>
      <c r="M31" s="14"/>
      <c r="N31" s="14"/>
      <c r="O31" s="14"/>
      <c r="P31" s="14"/>
      <c r="Q31" s="14"/>
      <c r="R31" s="14"/>
      <c r="S31" s="14"/>
      <c r="T31" s="14"/>
      <c r="U31" s="14"/>
      <c r="V31" s="14"/>
      <c r="W31" s="14"/>
    </row>
    <row r="32" spans="1:23" ht="12.75">
      <c r="A32" s="14"/>
      <c r="B32" s="14"/>
      <c r="C32" s="14"/>
      <c r="D32" s="14"/>
      <c r="E32" s="48"/>
      <c r="F32" s="49">
        <f>AVERAGE(F21:F29)</f>
        <v>0.90696989528795813</v>
      </c>
      <c r="G32" s="50">
        <f>SUM(G21:G29)</f>
        <v>28</v>
      </c>
      <c r="H32" s="173">
        <f>SUM(H21:H29)</f>
        <v>15</v>
      </c>
      <c r="I32" s="14"/>
      <c r="J32" s="14"/>
      <c r="K32" s="14"/>
      <c r="L32" s="14"/>
      <c r="M32" s="14"/>
      <c r="N32" s="14"/>
      <c r="O32" s="14"/>
      <c r="P32" s="14"/>
      <c r="Q32" s="14"/>
      <c r="R32" s="14"/>
      <c r="S32" s="14"/>
      <c r="T32" s="14"/>
      <c r="U32" s="14"/>
      <c r="V32" s="14"/>
      <c r="W32" s="14"/>
    </row>
    <row r="33" spans="1:23" ht="12.75">
      <c r="A33" s="14"/>
      <c r="B33" s="14"/>
      <c r="C33" s="14"/>
      <c r="D33" s="14"/>
      <c r="E33" s="14"/>
      <c r="F33" s="14"/>
      <c r="G33" s="14"/>
      <c r="H33" s="14"/>
      <c r="I33" s="14"/>
      <c r="J33" s="14"/>
      <c r="K33" s="14"/>
      <c r="L33" s="14"/>
      <c r="M33" s="14"/>
      <c r="N33" s="14"/>
      <c r="O33" s="14"/>
      <c r="P33" s="14"/>
      <c r="Q33" s="14"/>
      <c r="R33" s="14"/>
      <c r="S33" s="14"/>
      <c r="T33" s="14"/>
      <c r="U33" s="14"/>
      <c r="V33" s="14"/>
      <c r="W33" s="14"/>
    </row>
  </sheetData>
  <mergeCells count="25">
    <mergeCell ref="I27:L27"/>
    <mergeCell ref="I28:L28"/>
    <mergeCell ref="I29:L29"/>
    <mergeCell ref="A17:F17"/>
    <mergeCell ref="I20:L20"/>
    <mergeCell ref="I21:L21"/>
    <mergeCell ref="I22:L22"/>
    <mergeCell ref="I23:L23"/>
    <mergeCell ref="I24:L24"/>
    <mergeCell ref="I25:L25"/>
    <mergeCell ref="A13:F13"/>
    <mergeCell ref="A14:F14"/>
    <mergeCell ref="A15:F15"/>
    <mergeCell ref="A16:F16"/>
    <mergeCell ref="I26:L26"/>
    <mergeCell ref="A8:F8"/>
    <mergeCell ref="A9:F9"/>
    <mergeCell ref="A10:F10"/>
    <mergeCell ref="A11:F11"/>
    <mergeCell ref="A12:F12"/>
    <mergeCell ref="A1:W2"/>
    <mergeCell ref="A3:F4"/>
    <mergeCell ref="A5:F5"/>
    <mergeCell ref="A6:F6"/>
    <mergeCell ref="A7: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6"/>
  <sheetViews>
    <sheetView showGridLines="0" tabSelected="1" topLeftCell="F18" workbookViewId="0">
      <selection activeCell="L22" sqref="L22"/>
    </sheetView>
  </sheetViews>
  <sheetFormatPr defaultColWidth="12.5703125" defaultRowHeight="15.75" customHeight="1"/>
  <cols>
    <col min="2" max="2" width="51.7109375" customWidth="1"/>
    <col min="3" max="3" width="19" customWidth="1"/>
    <col min="4" max="4" width="39" customWidth="1"/>
    <col min="5" max="5" width="38.28515625" customWidth="1"/>
    <col min="6" max="6" width="39" customWidth="1"/>
    <col min="7" max="7" width="37.85546875" customWidth="1"/>
    <col min="8" max="8" width="38.42578125" customWidth="1"/>
    <col min="9" max="9" width="25.7109375" customWidth="1"/>
    <col min="10" max="10" width="20.140625" customWidth="1"/>
    <col min="11" max="11" width="24.85546875" customWidth="1"/>
    <col min="12" max="12" width="25" customWidth="1"/>
    <col min="13" max="13" width="14.140625" customWidth="1"/>
  </cols>
  <sheetData>
    <row r="1" spans="1:16" ht="12.75">
      <c r="A1" s="189" t="s">
        <v>12</v>
      </c>
      <c r="B1" s="182"/>
      <c r="C1" s="182"/>
      <c r="D1" s="182"/>
      <c r="E1" s="182"/>
      <c r="F1" s="182"/>
      <c r="G1" s="182"/>
      <c r="H1" s="182"/>
      <c r="I1" s="182"/>
      <c r="J1" s="182"/>
      <c r="K1" s="182"/>
      <c r="L1" s="182"/>
      <c r="M1" s="182"/>
      <c r="N1" s="182"/>
      <c r="O1" s="182"/>
      <c r="P1" s="183"/>
    </row>
    <row r="2" spans="1:16" ht="12.75">
      <c r="A2" s="184"/>
      <c r="B2" s="185"/>
      <c r="C2" s="185"/>
      <c r="D2" s="185"/>
      <c r="E2" s="185"/>
      <c r="F2" s="185"/>
      <c r="G2" s="185"/>
      <c r="H2" s="185"/>
      <c r="I2" s="185"/>
      <c r="J2" s="185"/>
      <c r="K2" s="185"/>
      <c r="L2" s="185"/>
      <c r="M2" s="185"/>
      <c r="N2" s="185"/>
      <c r="O2" s="185"/>
      <c r="P2" s="186"/>
    </row>
    <row r="3" spans="1:16" ht="12.75">
      <c r="A3" s="190" t="s">
        <v>458</v>
      </c>
      <c r="B3" s="182"/>
      <c r="C3" s="182"/>
      <c r="D3" s="182"/>
      <c r="E3" s="182"/>
      <c r="F3" s="183"/>
      <c r="K3" s="15"/>
      <c r="L3" s="15"/>
      <c r="M3" s="14"/>
      <c r="N3" s="14"/>
      <c r="O3" s="14"/>
      <c r="P3" s="14"/>
    </row>
    <row r="4" spans="1:16" ht="12.75">
      <c r="A4" s="190" t="s">
        <v>100</v>
      </c>
      <c r="B4" s="182"/>
      <c r="C4" s="182"/>
      <c r="D4" s="182"/>
      <c r="E4" s="182"/>
      <c r="F4" s="183"/>
      <c r="K4" s="15"/>
      <c r="L4" s="15"/>
      <c r="M4" s="14"/>
      <c r="N4" s="14"/>
      <c r="O4" s="14"/>
      <c r="P4" s="14"/>
    </row>
    <row r="5" spans="1:16" ht="12.75">
      <c r="A5" s="204" t="s">
        <v>101</v>
      </c>
      <c r="B5" s="182"/>
      <c r="C5" s="182"/>
      <c r="D5" s="182"/>
      <c r="E5" s="182"/>
      <c r="F5" s="183"/>
      <c r="K5" s="14"/>
      <c r="L5" s="14"/>
      <c r="M5" s="14"/>
      <c r="N5" s="14"/>
      <c r="O5" s="14"/>
      <c r="P5" s="14"/>
    </row>
    <row r="6" spans="1:16" ht="15" customHeight="1">
      <c r="A6" s="203" t="s">
        <v>102</v>
      </c>
      <c r="B6" s="193"/>
      <c r="C6" s="193"/>
      <c r="D6" s="193"/>
      <c r="E6" s="193"/>
      <c r="F6" s="194"/>
      <c r="K6" s="14"/>
      <c r="L6" s="14"/>
      <c r="M6" s="14"/>
      <c r="N6" s="14"/>
      <c r="O6" s="14"/>
      <c r="P6" s="14"/>
    </row>
    <row r="7" spans="1:16" ht="15" customHeight="1">
      <c r="A7" s="203" t="s">
        <v>103</v>
      </c>
      <c r="B7" s="193"/>
      <c r="C7" s="193"/>
      <c r="D7" s="193"/>
      <c r="E7" s="193"/>
      <c r="F7" s="194"/>
      <c r="K7" s="14"/>
      <c r="L7" s="14"/>
      <c r="M7" s="14"/>
      <c r="N7" s="14"/>
      <c r="O7" s="14"/>
      <c r="P7" s="14"/>
    </row>
    <row r="8" spans="1:16" ht="15" customHeight="1">
      <c r="A8" s="203" t="s">
        <v>104</v>
      </c>
      <c r="B8" s="193"/>
      <c r="C8" s="193"/>
      <c r="D8" s="193"/>
      <c r="E8" s="193"/>
      <c r="F8" s="194"/>
      <c r="K8" s="14"/>
      <c r="L8" s="14"/>
      <c r="M8" s="14"/>
      <c r="N8" s="14"/>
      <c r="O8" s="14"/>
      <c r="P8" s="14"/>
    </row>
    <row r="9" spans="1:16" ht="15" customHeight="1">
      <c r="A9" s="203" t="s">
        <v>105</v>
      </c>
      <c r="B9" s="193"/>
      <c r="C9" s="193"/>
      <c r="D9" s="193"/>
      <c r="E9" s="193"/>
      <c r="F9" s="194"/>
      <c r="K9" s="14"/>
      <c r="L9" s="14"/>
      <c r="M9" s="14"/>
      <c r="N9" s="14"/>
      <c r="O9" s="14"/>
      <c r="P9" s="14"/>
    </row>
    <row r="10" spans="1:16" ht="15" customHeight="1">
      <c r="A10" s="203" t="s">
        <v>106</v>
      </c>
      <c r="B10" s="193"/>
      <c r="C10" s="193"/>
      <c r="D10" s="193"/>
      <c r="E10" s="193"/>
      <c r="F10" s="194"/>
      <c r="K10" s="14"/>
      <c r="L10" s="14"/>
      <c r="M10" s="14"/>
      <c r="N10" s="14"/>
      <c r="O10" s="14"/>
      <c r="P10" s="14"/>
    </row>
    <row r="11" spans="1:16" ht="15" customHeight="1">
      <c r="A11" s="203" t="s">
        <v>107</v>
      </c>
      <c r="B11" s="193"/>
      <c r="C11" s="193"/>
      <c r="D11" s="193"/>
      <c r="E11" s="193"/>
      <c r="F11" s="194"/>
      <c r="K11" s="14"/>
      <c r="L11" s="14"/>
      <c r="M11" s="14"/>
      <c r="N11" s="14"/>
      <c r="O11" s="14"/>
      <c r="P11" s="14"/>
    </row>
    <row r="12" spans="1:16" ht="15" customHeight="1">
      <c r="A12" s="203" t="s">
        <v>108</v>
      </c>
      <c r="B12" s="193"/>
      <c r="C12" s="193"/>
      <c r="D12" s="193"/>
      <c r="E12" s="193"/>
      <c r="F12" s="194"/>
      <c r="K12" s="14"/>
      <c r="L12" s="14"/>
      <c r="M12" s="14"/>
      <c r="N12" s="14"/>
      <c r="O12" s="14"/>
      <c r="P12" s="14"/>
    </row>
    <row r="13" spans="1:16" ht="15" customHeight="1">
      <c r="A13" s="203" t="s">
        <v>109</v>
      </c>
      <c r="B13" s="193"/>
      <c r="C13" s="193"/>
      <c r="D13" s="193"/>
      <c r="E13" s="193"/>
      <c r="F13" s="194"/>
      <c r="K13" s="14"/>
      <c r="L13" s="14"/>
      <c r="M13" s="14"/>
      <c r="N13" s="14"/>
      <c r="O13" s="14"/>
      <c r="P13" s="14"/>
    </row>
    <row r="14" spans="1:16" ht="15" customHeight="1">
      <c r="A14" s="203" t="s">
        <v>110</v>
      </c>
      <c r="B14" s="193"/>
      <c r="C14" s="193"/>
      <c r="D14" s="193"/>
      <c r="E14" s="193"/>
      <c r="F14" s="194"/>
      <c r="K14" s="14"/>
      <c r="L14" s="14"/>
      <c r="M14" s="14"/>
      <c r="N14" s="14"/>
      <c r="O14" s="14"/>
      <c r="P14" s="14"/>
    </row>
    <row r="15" spans="1:16" ht="15" customHeight="1">
      <c r="A15" s="51" t="s">
        <v>111</v>
      </c>
      <c r="B15" s="52"/>
      <c r="C15" s="52"/>
      <c r="D15" s="52"/>
      <c r="E15" s="52"/>
      <c r="F15" s="53"/>
      <c r="K15" s="14"/>
      <c r="L15" s="14"/>
      <c r="M15" s="14"/>
      <c r="N15" s="14"/>
      <c r="O15" s="14"/>
      <c r="P15" s="14"/>
    </row>
    <row r="16" spans="1:16" ht="15" customHeight="1">
      <c r="A16" s="16" t="s">
        <v>37</v>
      </c>
      <c r="B16" s="17"/>
      <c r="C16" s="17"/>
      <c r="D16" s="17"/>
      <c r="E16" s="17"/>
      <c r="F16" s="18"/>
      <c r="K16" s="14"/>
      <c r="L16" s="14"/>
      <c r="M16" s="14"/>
      <c r="N16" s="14"/>
      <c r="O16" s="14"/>
      <c r="P16" s="14"/>
    </row>
    <row r="17" spans="1:16" ht="15" customHeight="1">
      <c r="A17" s="10" t="s">
        <v>38</v>
      </c>
      <c r="B17" s="10" t="s">
        <v>112</v>
      </c>
      <c r="C17" s="10" t="s">
        <v>113</v>
      </c>
      <c r="D17" s="10" t="s">
        <v>41</v>
      </c>
      <c r="E17" s="54" t="s">
        <v>42</v>
      </c>
      <c r="F17" s="54" t="s">
        <v>43</v>
      </c>
      <c r="G17" s="54" t="s">
        <v>44</v>
      </c>
      <c r="H17" s="54" t="s">
        <v>45</v>
      </c>
      <c r="I17" s="54" t="s">
        <v>46</v>
      </c>
      <c r="J17" s="54" t="s">
        <v>47</v>
      </c>
      <c r="K17" s="10" t="s">
        <v>48</v>
      </c>
      <c r="L17" s="10" t="s">
        <v>49</v>
      </c>
      <c r="M17" s="10" t="s">
        <v>50</v>
      </c>
      <c r="N17" s="10" t="s">
        <v>51</v>
      </c>
      <c r="O17" s="10" t="s">
        <v>52</v>
      </c>
      <c r="P17" s="10" t="s">
        <v>53</v>
      </c>
    </row>
    <row r="18" spans="1:16" ht="63.75">
      <c r="A18" s="55"/>
      <c r="B18" s="56" t="s">
        <v>114</v>
      </c>
      <c r="C18" s="56" t="s">
        <v>115</v>
      </c>
      <c r="D18" s="56" t="s">
        <v>116</v>
      </c>
      <c r="E18" s="56" t="s">
        <v>117</v>
      </c>
      <c r="F18" s="56" t="s">
        <v>118</v>
      </c>
      <c r="G18" s="56" t="s">
        <v>119</v>
      </c>
      <c r="H18" s="56" t="s">
        <v>120</v>
      </c>
      <c r="I18" s="56" t="s">
        <v>121</v>
      </c>
      <c r="J18" s="56" t="s">
        <v>122</v>
      </c>
      <c r="K18" s="56" t="s">
        <v>123</v>
      </c>
      <c r="L18" s="56" t="s">
        <v>124</v>
      </c>
      <c r="M18" s="56" t="s">
        <v>125</v>
      </c>
      <c r="N18" s="56" t="s">
        <v>126</v>
      </c>
      <c r="O18" s="56" t="s">
        <v>127</v>
      </c>
      <c r="P18" s="56" t="s">
        <v>128</v>
      </c>
    </row>
    <row r="19" spans="1:16" ht="102">
      <c r="A19" s="57">
        <v>1</v>
      </c>
      <c r="B19" s="58" t="s">
        <v>129</v>
      </c>
      <c r="C19" s="58" t="s">
        <v>130</v>
      </c>
      <c r="D19" s="58" t="s">
        <v>131</v>
      </c>
      <c r="E19" s="58" t="s">
        <v>132</v>
      </c>
      <c r="F19" s="58" t="s">
        <v>133</v>
      </c>
      <c r="G19" s="58" t="s">
        <v>134</v>
      </c>
      <c r="H19" s="58" t="s">
        <v>135</v>
      </c>
      <c r="I19" s="58" t="s">
        <v>136</v>
      </c>
      <c r="J19" s="58" t="s">
        <v>137</v>
      </c>
      <c r="K19" s="59">
        <v>0.2</v>
      </c>
      <c r="L19" s="58" t="s">
        <v>138</v>
      </c>
      <c r="M19" s="60">
        <v>9</v>
      </c>
      <c r="N19" s="60">
        <v>9</v>
      </c>
      <c r="O19" s="60">
        <v>6</v>
      </c>
      <c r="P19" s="61">
        <f>AVERAGE(M19:O19)</f>
        <v>8</v>
      </c>
    </row>
    <row r="20" spans="1:16" ht="61.5" customHeight="1">
      <c r="A20" s="62"/>
      <c r="B20" s="63" t="s">
        <v>345</v>
      </c>
      <c r="C20" s="63" t="s">
        <v>90</v>
      </c>
      <c r="D20" s="63" t="s">
        <v>367</v>
      </c>
      <c r="E20" s="63" t="s">
        <v>437</v>
      </c>
      <c r="F20" s="63" t="s">
        <v>369</v>
      </c>
      <c r="G20" s="63" t="s">
        <v>447</v>
      </c>
      <c r="H20" s="63" t="s">
        <v>448</v>
      </c>
      <c r="I20" s="63" t="s">
        <v>441</v>
      </c>
      <c r="J20" s="63" t="s">
        <v>137</v>
      </c>
      <c r="K20" s="64">
        <v>0.2</v>
      </c>
      <c r="L20" s="63" t="s">
        <v>368</v>
      </c>
      <c r="M20" s="65">
        <v>10</v>
      </c>
      <c r="N20" s="65">
        <v>9</v>
      </c>
      <c r="O20" s="65">
        <v>8</v>
      </c>
      <c r="P20" s="66">
        <f>AVERAGE(M20:O20)</f>
        <v>9</v>
      </c>
    </row>
    <row r="21" spans="1:16" ht="60.75" customHeight="1">
      <c r="A21" s="62"/>
      <c r="B21" s="67" t="s">
        <v>370</v>
      </c>
      <c r="C21" s="63" t="s">
        <v>94</v>
      </c>
      <c r="D21" s="63" t="s">
        <v>371</v>
      </c>
      <c r="E21" s="63" t="s">
        <v>436</v>
      </c>
      <c r="F21" s="63" t="s">
        <v>374</v>
      </c>
      <c r="G21" s="63" t="s">
        <v>440</v>
      </c>
      <c r="H21" s="63" t="s">
        <v>439</v>
      </c>
      <c r="I21" s="63" t="s">
        <v>441</v>
      </c>
      <c r="J21" s="63" t="s">
        <v>137</v>
      </c>
      <c r="K21" s="64">
        <v>0.2</v>
      </c>
      <c r="L21" s="63" t="s">
        <v>377</v>
      </c>
      <c r="M21" s="65">
        <v>10</v>
      </c>
      <c r="N21" s="65">
        <v>8</v>
      </c>
      <c r="O21" s="65">
        <v>7</v>
      </c>
      <c r="P21" s="66">
        <f>AVERAGE(M21:O21)</f>
        <v>8.3333333333333339</v>
      </c>
    </row>
    <row r="22" spans="1:16" ht="93" customHeight="1">
      <c r="A22" s="62"/>
      <c r="B22" s="67" t="s">
        <v>366</v>
      </c>
      <c r="C22" s="63" t="s">
        <v>92</v>
      </c>
      <c r="D22" s="63" t="s">
        <v>372</v>
      </c>
      <c r="E22" s="63" t="s">
        <v>132</v>
      </c>
      <c r="F22" s="63" t="s">
        <v>375</v>
      </c>
      <c r="G22" s="63" t="s">
        <v>446</v>
      </c>
      <c r="H22" s="63" t="s">
        <v>439</v>
      </c>
      <c r="I22" s="63" t="s">
        <v>449</v>
      </c>
      <c r="J22" s="63" t="s">
        <v>137</v>
      </c>
      <c r="K22" s="64">
        <v>0.2</v>
      </c>
      <c r="L22" s="63" t="s">
        <v>461</v>
      </c>
      <c r="M22" s="65">
        <v>10</v>
      </c>
      <c r="N22" s="65">
        <v>8</v>
      </c>
      <c r="O22" s="65">
        <v>8</v>
      </c>
      <c r="P22" s="66">
        <f>AVERAGE(M22:O22)</f>
        <v>8.6666666666666661</v>
      </c>
    </row>
    <row r="23" spans="1:16" ht="105" customHeight="1">
      <c r="A23" s="62"/>
      <c r="B23" s="67" t="s">
        <v>459</v>
      </c>
      <c r="C23" s="63" t="s">
        <v>80</v>
      </c>
      <c r="D23" s="63" t="s">
        <v>373</v>
      </c>
      <c r="E23" s="63" t="s">
        <v>438</v>
      </c>
      <c r="F23" s="63" t="s">
        <v>376</v>
      </c>
      <c r="G23" s="63" t="s">
        <v>442</v>
      </c>
      <c r="H23" s="63" t="s">
        <v>460</v>
      </c>
      <c r="I23" s="63" t="s">
        <v>443</v>
      </c>
      <c r="J23" s="63" t="s">
        <v>444</v>
      </c>
      <c r="K23" s="64">
        <v>0.2</v>
      </c>
      <c r="L23" s="63" t="s">
        <v>445</v>
      </c>
      <c r="M23" s="65">
        <v>9</v>
      </c>
      <c r="N23" s="65">
        <v>7</v>
      </c>
      <c r="O23" s="65">
        <v>7</v>
      </c>
      <c r="P23" s="66">
        <f>AVERAGE(M23:O23)</f>
        <v>7.666666666666667</v>
      </c>
    </row>
    <row r="26" spans="1:16" ht="15.75" customHeight="1">
      <c r="C26" s="174" t="s">
        <v>435</v>
      </c>
      <c r="H26" s="175"/>
    </row>
  </sheetData>
  <mergeCells count="13">
    <mergeCell ref="A14:F14"/>
    <mergeCell ref="A1:P2"/>
    <mergeCell ref="A3:F3"/>
    <mergeCell ref="A4:F4"/>
    <mergeCell ref="A5:F5"/>
    <mergeCell ref="A6:F6"/>
    <mergeCell ref="A7:F7"/>
    <mergeCell ref="A8:F8"/>
    <mergeCell ref="A9:F9"/>
    <mergeCell ref="A10:F10"/>
    <mergeCell ref="A11:F11"/>
    <mergeCell ref="A12:F12"/>
    <mergeCell ref="A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4"/>
  <sheetViews>
    <sheetView showGridLines="0" topLeftCell="A17" workbookViewId="0">
      <selection activeCell="C28" sqref="C28"/>
    </sheetView>
  </sheetViews>
  <sheetFormatPr defaultColWidth="12.5703125" defaultRowHeight="15.75" customHeight="1"/>
  <cols>
    <col min="1" max="1" width="11.5703125" customWidth="1"/>
    <col min="2" max="2" width="78.140625" customWidth="1"/>
  </cols>
  <sheetData>
    <row r="1" spans="1:2" ht="37.5">
      <c r="A1" s="205" t="s">
        <v>15</v>
      </c>
      <c r="B1" s="178"/>
    </row>
    <row r="2" spans="1:2" ht="44.25" customHeight="1">
      <c r="A2" s="206" t="s">
        <v>139</v>
      </c>
      <c r="B2" s="178"/>
    </row>
    <row r="3" spans="1:2" ht="77.25" customHeight="1">
      <c r="A3" s="207" t="s">
        <v>140</v>
      </c>
      <c r="B3" s="178"/>
    </row>
    <row r="4" spans="1:2" ht="66" customHeight="1">
      <c r="A4" s="207" t="s">
        <v>141</v>
      </c>
      <c r="B4" s="178"/>
    </row>
    <row r="5" spans="1:2" ht="43.5" customHeight="1">
      <c r="A5" s="204" t="s">
        <v>142</v>
      </c>
      <c r="B5" s="183"/>
    </row>
    <row r="6" spans="1:2" ht="21.75" customHeight="1">
      <c r="A6" s="208" t="str">
        <f>HYPERLINK("https://slack.com/get-started#/ ","Instructions: Signup for Slack at https://slack.com/get-started#/")</f>
        <v>Instructions: Signup for Slack at https://slack.com/get-started#/</v>
      </c>
      <c r="B6" s="183"/>
    </row>
    <row r="7" spans="1:2" ht="12.75">
      <c r="A7" s="209" t="s">
        <v>143</v>
      </c>
      <c r="B7" s="178"/>
    </row>
    <row r="8" spans="1:2" ht="12.75">
      <c r="A8" s="211" t="s">
        <v>144</v>
      </c>
      <c r="B8" s="194"/>
    </row>
    <row r="9" spans="1:2" ht="12.75">
      <c r="A9" s="207" t="s">
        <v>145</v>
      </c>
      <c r="B9" s="178"/>
    </row>
    <row r="10" spans="1:2" ht="12.75">
      <c r="A10" s="207" t="s">
        <v>146</v>
      </c>
      <c r="B10" s="178"/>
    </row>
    <row r="11" spans="1:2" ht="12.75">
      <c r="A11" s="207" t="s">
        <v>147</v>
      </c>
      <c r="B11" s="178"/>
    </row>
    <row r="12" spans="1:2" ht="12.75">
      <c r="A12" s="212" t="s">
        <v>148</v>
      </c>
      <c r="B12" s="194"/>
    </row>
    <row r="13" spans="1:2" ht="12.75">
      <c r="A13" s="212" t="s">
        <v>149</v>
      </c>
      <c r="B13" s="194"/>
    </row>
    <row r="14" spans="1:2" ht="12.75">
      <c r="A14" s="212" t="s">
        <v>150</v>
      </c>
      <c r="B14" s="194"/>
    </row>
    <row r="15" spans="1:2" ht="12.75">
      <c r="A15" s="10" t="s">
        <v>38</v>
      </c>
      <c r="B15" s="10" t="s">
        <v>112</v>
      </c>
    </row>
    <row r="16" spans="1:2" ht="12.75">
      <c r="A16" s="16" t="s">
        <v>37</v>
      </c>
      <c r="B16" s="69"/>
    </row>
    <row r="17" spans="1:2" ht="12.75">
      <c r="A17" s="210" t="s">
        <v>151</v>
      </c>
      <c r="B17" s="178"/>
    </row>
    <row r="18" spans="1:2" ht="12.75">
      <c r="A18" s="70">
        <v>1</v>
      </c>
      <c r="B18" s="71" t="s">
        <v>152</v>
      </c>
    </row>
    <row r="19" spans="1:2" ht="12.75">
      <c r="A19" s="70">
        <v>2</v>
      </c>
      <c r="B19" s="72" t="s">
        <v>457</v>
      </c>
    </row>
    <row r="20" spans="1:2" ht="12.75">
      <c r="A20" s="70">
        <v>3</v>
      </c>
      <c r="B20" s="72" t="s">
        <v>395</v>
      </c>
    </row>
    <row r="21" spans="1:2" ht="12.75">
      <c r="A21" s="70">
        <v>4</v>
      </c>
      <c r="B21" s="72" t="s">
        <v>394</v>
      </c>
    </row>
    <row r="22" spans="1:2" ht="12.75">
      <c r="A22" s="70">
        <v>5</v>
      </c>
      <c r="B22" s="72" t="s">
        <v>456</v>
      </c>
    </row>
    <row r="23" spans="1:2" ht="12.75">
      <c r="A23" s="210" t="s">
        <v>153</v>
      </c>
      <c r="B23" s="178"/>
    </row>
    <row r="24" spans="1:2" ht="12.75">
      <c r="A24" s="70">
        <v>1</v>
      </c>
      <c r="B24" s="71" t="s">
        <v>154</v>
      </c>
    </row>
    <row r="25" spans="1:2" ht="12.75">
      <c r="A25" s="70">
        <v>2</v>
      </c>
      <c r="B25" s="72" t="s">
        <v>396</v>
      </c>
    </row>
    <row r="26" spans="1:2" ht="12.75">
      <c r="A26" s="70">
        <v>3</v>
      </c>
      <c r="B26" s="72" t="s">
        <v>397</v>
      </c>
    </row>
    <row r="27" spans="1:2" ht="12.75">
      <c r="A27" s="70">
        <v>4</v>
      </c>
      <c r="B27" s="72" t="s">
        <v>398</v>
      </c>
    </row>
    <row r="28" spans="1:2" ht="12.75">
      <c r="A28" s="70">
        <v>5</v>
      </c>
      <c r="B28" s="72" t="s">
        <v>425</v>
      </c>
    </row>
    <row r="29" spans="1:2" ht="12.75">
      <c r="A29" s="210" t="s">
        <v>155</v>
      </c>
      <c r="B29" s="178"/>
    </row>
    <row r="30" spans="1:2" ht="12.75">
      <c r="A30" s="70">
        <v>1</v>
      </c>
      <c r="B30" s="71" t="s">
        <v>156</v>
      </c>
    </row>
    <row r="31" spans="1:2" ht="12.75">
      <c r="A31" s="70">
        <v>2</v>
      </c>
      <c r="B31" s="72" t="s">
        <v>399</v>
      </c>
    </row>
    <row r="32" spans="1:2" ht="12.75">
      <c r="A32" s="70">
        <v>3</v>
      </c>
      <c r="B32" s="72" t="s">
        <v>400</v>
      </c>
    </row>
    <row r="33" spans="1:2" ht="12.75">
      <c r="A33" s="70">
        <v>4</v>
      </c>
      <c r="B33" s="72" t="s">
        <v>455</v>
      </c>
    </row>
    <row r="34" spans="1:2" ht="12.75">
      <c r="A34" s="70">
        <v>5</v>
      </c>
      <c r="B34" s="72" t="s">
        <v>454</v>
      </c>
    </row>
  </sheetData>
  <mergeCells count="17">
    <mergeCell ref="A6:B6"/>
    <mergeCell ref="A7:B7"/>
    <mergeCell ref="A17:B17"/>
    <mergeCell ref="A23:B23"/>
    <mergeCell ref="A29:B29"/>
    <mergeCell ref="A8:B8"/>
    <mergeCell ref="A9:B9"/>
    <mergeCell ref="A10:B10"/>
    <mergeCell ref="A11:B11"/>
    <mergeCell ref="A12:B12"/>
    <mergeCell ref="A13:B13"/>
    <mergeCell ref="A14:B14"/>
    <mergeCell ref="A1:B1"/>
    <mergeCell ref="A2:B2"/>
    <mergeCell ref="A3:B3"/>
    <mergeCell ref="A4:B4"/>
    <mergeCell ref="A5:B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65"/>
  <sheetViews>
    <sheetView showGridLines="0" topLeftCell="B24" workbookViewId="0">
      <selection activeCell="T35" sqref="T35"/>
    </sheetView>
  </sheetViews>
  <sheetFormatPr defaultColWidth="12.5703125" defaultRowHeight="15.75" customHeight="1"/>
  <cols>
    <col min="1" max="1" width="10.28515625" customWidth="1"/>
    <col min="2" max="2" width="14.85546875" customWidth="1"/>
    <col min="3" max="4" width="15" customWidth="1"/>
    <col min="5" max="5" width="10.28515625" customWidth="1"/>
    <col min="18" max="18" width="14.5703125" customWidth="1"/>
    <col min="19" max="19" width="17.42578125" customWidth="1"/>
  </cols>
  <sheetData>
    <row r="1" spans="1:19" ht="15.75" customHeight="1">
      <c r="A1" s="213" t="s">
        <v>17</v>
      </c>
      <c r="B1" s="177"/>
      <c r="C1" s="177"/>
      <c r="D1" s="177"/>
      <c r="E1" s="177"/>
      <c r="F1" s="177"/>
      <c r="G1" s="177"/>
      <c r="H1" s="177"/>
      <c r="I1" s="177"/>
      <c r="J1" s="177"/>
      <c r="K1" s="177"/>
      <c r="L1" s="177"/>
      <c r="M1" s="177"/>
      <c r="N1" s="177"/>
      <c r="O1" s="177"/>
      <c r="P1" s="177"/>
      <c r="Q1" s="177"/>
      <c r="R1" s="177"/>
      <c r="S1" s="178"/>
    </row>
    <row r="2" spans="1:19" ht="12.75">
      <c r="A2" s="206" t="s">
        <v>157</v>
      </c>
      <c r="B2" s="177"/>
      <c r="C2" s="177"/>
      <c r="D2" s="177"/>
      <c r="E2" s="177"/>
      <c r="F2" s="177"/>
      <c r="G2" s="177"/>
      <c r="H2" s="177"/>
      <c r="I2" s="178"/>
      <c r="J2" s="73"/>
      <c r="K2" s="73"/>
      <c r="L2" s="73"/>
      <c r="M2" s="73"/>
      <c r="N2" s="73"/>
      <c r="O2" s="74"/>
      <c r="Q2" s="75"/>
      <c r="R2" s="75"/>
    </row>
    <row r="3" spans="1:19" ht="12.75">
      <c r="A3" s="207" t="s">
        <v>158</v>
      </c>
      <c r="B3" s="177"/>
      <c r="C3" s="177"/>
      <c r="D3" s="177"/>
      <c r="E3" s="177"/>
      <c r="F3" s="177"/>
      <c r="G3" s="177"/>
      <c r="H3" s="177"/>
      <c r="I3" s="178"/>
      <c r="J3" s="73"/>
      <c r="K3" s="73"/>
      <c r="L3" s="73"/>
      <c r="M3" s="73"/>
      <c r="N3" s="73"/>
      <c r="O3" s="74"/>
      <c r="Q3" s="75"/>
      <c r="R3" s="75"/>
    </row>
    <row r="4" spans="1:19" ht="12.75">
      <c r="A4" s="188" t="s">
        <v>159</v>
      </c>
      <c r="B4" s="185"/>
      <c r="C4" s="185"/>
      <c r="D4" s="185"/>
      <c r="E4" s="185"/>
      <c r="F4" s="185"/>
      <c r="G4" s="185"/>
      <c r="H4" s="185"/>
      <c r="I4" s="186"/>
      <c r="J4" s="73"/>
      <c r="K4" s="73"/>
      <c r="L4" s="73"/>
      <c r="M4" s="73"/>
      <c r="N4" s="73"/>
      <c r="O4" s="74"/>
      <c r="Q4" s="75"/>
      <c r="R4" s="75"/>
    </row>
    <row r="5" spans="1:19" ht="12.75">
      <c r="A5" s="188" t="s">
        <v>160</v>
      </c>
      <c r="B5" s="185"/>
      <c r="C5" s="185"/>
      <c r="D5" s="185"/>
      <c r="E5" s="185"/>
      <c r="F5" s="185"/>
      <c r="G5" s="185"/>
      <c r="H5" s="185"/>
      <c r="I5" s="186"/>
      <c r="J5" s="73"/>
      <c r="K5" s="73"/>
      <c r="L5" s="73"/>
      <c r="M5" s="73"/>
      <c r="N5" s="73"/>
      <c r="O5" s="74"/>
      <c r="Q5" s="75"/>
      <c r="R5" s="75"/>
    </row>
    <row r="6" spans="1:19" ht="66" customHeight="1">
      <c r="A6" s="199" t="s">
        <v>161</v>
      </c>
      <c r="B6" s="185"/>
      <c r="C6" s="185"/>
      <c r="D6" s="185"/>
      <c r="E6" s="185"/>
      <c r="F6" s="185"/>
      <c r="G6" s="185"/>
      <c r="H6" s="185"/>
      <c r="I6" s="186"/>
      <c r="J6" s="73"/>
      <c r="K6" s="73"/>
      <c r="L6" s="73"/>
      <c r="M6" s="73"/>
      <c r="N6" s="73"/>
      <c r="O6" s="74"/>
      <c r="Q6" s="75"/>
      <c r="R6" s="75"/>
    </row>
    <row r="7" spans="1:19" ht="12.75">
      <c r="A7" s="214" t="s">
        <v>162</v>
      </c>
      <c r="B7" s="182"/>
      <c r="C7" s="182"/>
      <c r="D7" s="182"/>
      <c r="E7" s="182"/>
      <c r="F7" s="182"/>
      <c r="G7" s="182"/>
      <c r="H7" s="182"/>
      <c r="I7" s="183"/>
      <c r="J7" s="76"/>
      <c r="K7" s="76"/>
      <c r="L7" s="76"/>
      <c r="M7" s="76"/>
      <c r="N7" s="76"/>
      <c r="O7" s="74"/>
      <c r="Q7" s="75"/>
      <c r="R7" s="75"/>
    </row>
    <row r="8" spans="1:19" ht="12.75">
      <c r="A8" s="220" t="s">
        <v>163</v>
      </c>
      <c r="B8" s="193"/>
      <c r="C8" s="193"/>
      <c r="D8" s="193"/>
      <c r="E8" s="193"/>
      <c r="F8" s="193"/>
      <c r="G8" s="193"/>
      <c r="H8" s="193"/>
      <c r="I8" s="194"/>
      <c r="J8" s="76"/>
      <c r="K8" s="76"/>
      <c r="L8" s="76"/>
      <c r="M8" s="76"/>
      <c r="N8" s="76"/>
      <c r="O8" s="74"/>
      <c r="Q8" s="75"/>
      <c r="R8" s="75"/>
    </row>
    <row r="9" spans="1:19" ht="12.75">
      <c r="A9" s="220" t="s">
        <v>164</v>
      </c>
      <c r="B9" s="193"/>
      <c r="C9" s="193"/>
      <c r="D9" s="193"/>
      <c r="E9" s="193"/>
      <c r="F9" s="193"/>
      <c r="G9" s="193"/>
      <c r="H9" s="193"/>
      <c r="I9" s="194"/>
      <c r="J9" s="76"/>
      <c r="K9" s="76"/>
      <c r="L9" s="76"/>
      <c r="M9" s="76"/>
      <c r="N9" s="76"/>
      <c r="O9" s="74"/>
      <c r="Q9" s="75"/>
      <c r="R9" s="75"/>
    </row>
    <row r="10" spans="1:19" ht="12.75">
      <c r="A10" s="220" t="s">
        <v>165</v>
      </c>
      <c r="B10" s="193"/>
      <c r="C10" s="193"/>
      <c r="D10" s="193"/>
      <c r="E10" s="193"/>
      <c r="F10" s="193"/>
      <c r="G10" s="193"/>
      <c r="H10" s="193"/>
      <c r="I10" s="194"/>
      <c r="J10" s="76"/>
      <c r="K10" s="76"/>
      <c r="L10" s="76"/>
      <c r="M10" s="76"/>
      <c r="N10" s="76"/>
      <c r="O10" s="74"/>
      <c r="Q10" s="75"/>
      <c r="R10" s="75"/>
    </row>
    <row r="11" spans="1:19" ht="12.75">
      <c r="A11" s="221" t="s">
        <v>166</v>
      </c>
      <c r="B11" s="185"/>
      <c r="C11" s="185"/>
      <c r="D11" s="185"/>
      <c r="E11" s="185"/>
      <c r="F11" s="185"/>
      <c r="G11" s="185"/>
      <c r="H11" s="185"/>
      <c r="I11" s="186"/>
      <c r="J11" s="76"/>
      <c r="K11" s="76"/>
      <c r="L11" s="76"/>
      <c r="M11" s="76"/>
      <c r="N11" s="76"/>
      <c r="O11" s="74"/>
      <c r="Q11" s="75"/>
      <c r="R11" s="75"/>
    </row>
    <row r="12" spans="1:19" ht="12.75">
      <c r="A12" s="222" t="s">
        <v>37</v>
      </c>
      <c r="B12" s="193"/>
      <c r="C12" s="193"/>
      <c r="D12" s="193"/>
      <c r="E12" s="193"/>
      <c r="F12" s="193"/>
      <c r="G12" s="193"/>
      <c r="H12" s="193"/>
      <c r="I12" s="193"/>
      <c r="J12" s="76"/>
      <c r="K12" s="76"/>
      <c r="L12" s="76"/>
      <c r="M12" s="76"/>
      <c r="N12" s="76"/>
      <c r="O12" s="74"/>
      <c r="Q12" s="75"/>
      <c r="R12" s="75"/>
    </row>
    <row r="13" spans="1:19" ht="12.75">
      <c r="A13" s="77"/>
      <c r="B13" s="77"/>
      <c r="C13" s="77"/>
      <c r="D13" s="77"/>
      <c r="E13" s="77"/>
      <c r="F13" s="77"/>
      <c r="G13" s="77"/>
      <c r="H13" s="77"/>
      <c r="I13" s="77"/>
      <c r="J13" s="77"/>
      <c r="K13" s="77"/>
      <c r="L13" s="77"/>
      <c r="M13" s="78"/>
      <c r="N13" s="78"/>
      <c r="O13" s="78"/>
      <c r="P13" s="79"/>
      <c r="Q13" s="80"/>
      <c r="R13" s="80"/>
      <c r="S13" s="79"/>
    </row>
    <row r="14" spans="1:19" ht="12.75">
      <c r="A14" s="218" t="s">
        <v>407</v>
      </c>
      <c r="B14" s="223"/>
      <c r="C14" s="223"/>
      <c r="D14" s="223"/>
      <c r="E14" s="223"/>
      <c r="F14" s="224"/>
      <c r="G14" s="81"/>
      <c r="H14" s="228"/>
      <c r="I14" s="182"/>
      <c r="J14" s="182"/>
      <c r="K14" s="183"/>
      <c r="L14" s="81"/>
      <c r="M14" s="74"/>
      <c r="N14" s="74"/>
      <c r="O14" s="74"/>
      <c r="Q14" s="75"/>
      <c r="R14" s="75"/>
    </row>
    <row r="15" spans="1:19" ht="12.75">
      <c r="A15" s="225" t="s">
        <v>409</v>
      </c>
      <c r="B15" s="226"/>
      <c r="C15" s="226"/>
      <c r="D15" s="226"/>
      <c r="E15" s="226"/>
      <c r="F15" s="227"/>
      <c r="G15" s="81"/>
      <c r="H15" s="229"/>
      <c r="I15" s="193"/>
      <c r="J15" s="193"/>
      <c r="K15" s="194"/>
      <c r="L15" s="81"/>
      <c r="M15" s="234" t="s">
        <v>401</v>
      </c>
      <c r="N15" s="182"/>
      <c r="O15" s="183"/>
      <c r="Q15" s="233" t="s">
        <v>167</v>
      </c>
      <c r="R15" s="183"/>
      <c r="S15" s="235" t="s">
        <v>402</v>
      </c>
    </row>
    <row r="16" spans="1:19" ht="12.75">
      <c r="A16" s="82" t="s">
        <v>168</v>
      </c>
      <c r="B16" s="215" t="s">
        <v>169</v>
      </c>
      <c r="C16" s="216"/>
      <c r="D16" s="216"/>
      <c r="E16" s="216"/>
      <c r="F16" s="217"/>
      <c r="G16" s="83"/>
      <c r="H16" s="229"/>
      <c r="I16" s="193"/>
      <c r="J16" s="193"/>
      <c r="K16" s="194"/>
      <c r="L16" s="83"/>
      <c r="M16" s="229"/>
      <c r="N16" s="193"/>
      <c r="O16" s="194"/>
      <c r="Q16" s="229"/>
      <c r="R16" s="194"/>
      <c r="S16" s="231"/>
    </row>
    <row r="17" spans="1:19" ht="38.25">
      <c r="A17" s="84" t="s">
        <v>170</v>
      </c>
      <c r="B17" s="85" t="s">
        <v>171</v>
      </c>
      <c r="C17" s="85" t="s">
        <v>172</v>
      </c>
      <c r="D17" s="85" t="s">
        <v>173</v>
      </c>
      <c r="E17" s="85" t="s">
        <v>174</v>
      </c>
      <c r="F17" s="85" t="s">
        <v>175</v>
      </c>
      <c r="G17" s="83"/>
      <c r="H17" s="229"/>
      <c r="I17" s="193"/>
      <c r="J17" s="193"/>
      <c r="K17" s="194"/>
      <c r="L17" s="83"/>
      <c r="M17" s="229"/>
      <c r="N17" s="193"/>
      <c r="O17" s="194"/>
      <c r="Q17" s="184"/>
      <c r="R17" s="186"/>
      <c r="S17" s="232"/>
    </row>
    <row r="18" spans="1:19" ht="14.25">
      <c r="A18" s="86">
        <v>100</v>
      </c>
      <c r="B18" s="87">
        <f>997-200</f>
        <v>797</v>
      </c>
      <c r="C18" s="87">
        <f>139+0</f>
        <v>139</v>
      </c>
      <c r="D18" s="88">
        <f>358</f>
        <v>358</v>
      </c>
      <c r="E18" s="89">
        <f t="shared" ref="E18:E24" si="0">B18+C18</f>
        <v>936</v>
      </c>
      <c r="F18" s="90">
        <v>0.38</v>
      </c>
      <c r="G18" s="91"/>
      <c r="H18" s="229"/>
      <c r="I18" s="193"/>
      <c r="J18" s="193"/>
      <c r="K18" s="194"/>
      <c r="L18" s="91"/>
      <c r="M18" s="229"/>
      <c r="N18" s="193"/>
      <c r="O18" s="194"/>
      <c r="Q18" s="92"/>
      <c r="R18" s="75"/>
      <c r="S18" s="93"/>
    </row>
    <row r="19" spans="1:19" ht="12.75">
      <c r="A19" s="94">
        <v>500</v>
      </c>
      <c r="B19" s="22">
        <f>620-200</f>
        <v>420</v>
      </c>
      <c r="C19" s="22">
        <v>146</v>
      </c>
      <c r="D19" s="22">
        <v>282</v>
      </c>
      <c r="E19" s="95">
        <f t="shared" si="0"/>
        <v>566</v>
      </c>
      <c r="F19" s="96">
        <f>D19/E19</f>
        <v>0.49823321554770317</v>
      </c>
      <c r="G19" s="97"/>
      <c r="H19" s="229"/>
      <c r="I19" s="193"/>
      <c r="J19" s="193"/>
      <c r="K19" s="194"/>
      <c r="L19" s="97"/>
      <c r="M19" s="229"/>
      <c r="N19" s="193"/>
      <c r="O19" s="194"/>
      <c r="Q19" s="230" t="s">
        <v>176</v>
      </c>
      <c r="R19" s="236" t="s">
        <v>403</v>
      </c>
      <c r="S19" s="183"/>
    </row>
    <row r="20" spans="1:19" ht="12.75">
      <c r="A20" s="86">
        <v>1000</v>
      </c>
      <c r="B20" s="87">
        <f>565-200</f>
        <v>365</v>
      </c>
      <c r="C20" s="87">
        <v>158</v>
      </c>
      <c r="D20" s="87">
        <v>249</v>
      </c>
      <c r="E20" s="89">
        <f t="shared" si="0"/>
        <v>523</v>
      </c>
      <c r="F20" s="96">
        <f t="shared" ref="F20:F24" si="1">D20/E20</f>
        <v>0.47609942638623326</v>
      </c>
      <c r="G20" s="97"/>
      <c r="H20" s="229"/>
      <c r="I20" s="193"/>
      <c r="J20" s="193"/>
      <c r="K20" s="194"/>
      <c r="L20" s="97"/>
      <c r="M20" s="229"/>
      <c r="N20" s="193"/>
      <c r="O20" s="194"/>
      <c r="Q20" s="231"/>
      <c r="R20" s="229"/>
      <c r="S20" s="194"/>
    </row>
    <row r="21" spans="1:19" ht="12.75">
      <c r="A21" s="94">
        <v>2000</v>
      </c>
      <c r="B21" s="22">
        <f>432-200</f>
        <v>232</v>
      </c>
      <c r="C21" s="22">
        <v>171</v>
      </c>
      <c r="D21" s="22">
        <v>222</v>
      </c>
      <c r="E21" s="95">
        <f t="shared" si="0"/>
        <v>403</v>
      </c>
      <c r="F21" s="96">
        <f t="shared" si="1"/>
        <v>0.5508684863523573</v>
      </c>
      <c r="G21" s="97"/>
      <c r="H21" s="229"/>
      <c r="I21" s="193"/>
      <c r="J21" s="193"/>
      <c r="K21" s="194"/>
      <c r="L21" s="97"/>
      <c r="M21" s="229"/>
      <c r="N21" s="193"/>
      <c r="O21" s="194"/>
      <c r="Q21" s="231"/>
      <c r="R21" s="229"/>
      <c r="S21" s="194"/>
    </row>
    <row r="22" spans="1:19" ht="12.75">
      <c r="A22" s="86">
        <v>5000</v>
      </c>
      <c r="B22" s="87">
        <v>185</v>
      </c>
      <c r="C22" s="87">
        <v>190</v>
      </c>
      <c r="D22" s="87">
        <v>210</v>
      </c>
      <c r="E22" s="89">
        <f t="shared" si="0"/>
        <v>375</v>
      </c>
      <c r="F22" s="96">
        <f t="shared" si="1"/>
        <v>0.56000000000000005</v>
      </c>
      <c r="G22" s="97"/>
      <c r="H22" s="229"/>
      <c r="I22" s="193"/>
      <c r="J22" s="193"/>
      <c r="K22" s="194"/>
      <c r="L22" s="97"/>
      <c r="M22" s="229"/>
      <c r="N22" s="193"/>
      <c r="O22" s="194"/>
      <c r="P22" s="98"/>
      <c r="Q22" s="231"/>
      <c r="R22" s="229"/>
      <c r="S22" s="194"/>
    </row>
    <row r="23" spans="1:19" ht="12.75">
      <c r="A23" s="94">
        <v>10000</v>
      </c>
      <c r="B23" s="22">
        <v>150</v>
      </c>
      <c r="C23" s="22">
        <v>200</v>
      </c>
      <c r="D23" s="22">
        <v>200</v>
      </c>
      <c r="E23" s="95">
        <f t="shared" si="0"/>
        <v>350</v>
      </c>
      <c r="F23" s="96">
        <f t="shared" si="1"/>
        <v>0.5714285714285714</v>
      </c>
      <c r="G23" s="97"/>
      <c r="H23" s="229"/>
      <c r="I23" s="193"/>
      <c r="J23" s="193"/>
      <c r="K23" s="194"/>
      <c r="L23" s="97"/>
      <c r="M23" s="229"/>
      <c r="N23" s="193"/>
      <c r="O23" s="194"/>
      <c r="P23" s="98"/>
      <c r="Q23" s="231"/>
      <c r="R23" s="229"/>
      <c r="S23" s="194"/>
    </row>
    <row r="24" spans="1:19" ht="12.75">
      <c r="A24" s="86">
        <v>20000</v>
      </c>
      <c r="B24" s="87">
        <v>120</v>
      </c>
      <c r="C24" s="87">
        <v>210</v>
      </c>
      <c r="D24" s="87">
        <v>190</v>
      </c>
      <c r="E24" s="89">
        <f t="shared" si="0"/>
        <v>330</v>
      </c>
      <c r="F24" s="96">
        <f t="shared" si="1"/>
        <v>0.5757575757575758</v>
      </c>
      <c r="G24" s="97"/>
      <c r="H24" s="184"/>
      <c r="I24" s="185"/>
      <c r="J24" s="185"/>
      <c r="K24" s="186"/>
      <c r="L24" s="97"/>
      <c r="M24" s="184"/>
      <c r="N24" s="185"/>
      <c r="O24" s="186"/>
      <c r="P24" s="98"/>
      <c r="Q24" s="232"/>
      <c r="R24" s="184"/>
      <c r="S24" s="186"/>
    </row>
    <row r="25" spans="1:19" ht="12.75">
      <c r="A25" s="77"/>
      <c r="B25" s="77"/>
      <c r="C25" s="77"/>
      <c r="D25" s="77"/>
      <c r="E25" s="77"/>
      <c r="F25" s="77"/>
      <c r="G25" s="77"/>
      <c r="H25" s="77"/>
      <c r="I25" s="77"/>
      <c r="J25" s="77"/>
      <c r="K25" s="77"/>
      <c r="L25" s="77"/>
      <c r="M25" s="78"/>
      <c r="N25" s="78"/>
      <c r="O25" s="78"/>
      <c r="P25" s="79"/>
      <c r="Q25" s="80"/>
      <c r="R25" s="80"/>
      <c r="S25" s="79"/>
    </row>
    <row r="26" spans="1:19" ht="12.75">
      <c r="A26" s="218" t="s">
        <v>177</v>
      </c>
      <c r="B26" s="177"/>
      <c r="C26" s="177"/>
      <c r="D26" s="177"/>
      <c r="E26" s="177"/>
      <c r="F26" s="178"/>
      <c r="H26" s="228"/>
      <c r="I26" s="182"/>
      <c r="J26" s="182"/>
      <c r="K26" s="183"/>
      <c r="M26" s="74"/>
      <c r="N26" s="74"/>
      <c r="O26" s="74"/>
      <c r="Q26" s="75"/>
      <c r="R26" s="75"/>
      <c r="S26" s="75"/>
    </row>
    <row r="27" spans="1:19" ht="12.75">
      <c r="A27" s="218" t="s">
        <v>178</v>
      </c>
      <c r="B27" s="177"/>
      <c r="C27" s="177"/>
      <c r="D27" s="177"/>
      <c r="E27" s="177"/>
      <c r="F27" s="178"/>
      <c r="H27" s="229"/>
      <c r="I27" s="193"/>
      <c r="J27" s="193"/>
      <c r="K27" s="194"/>
      <c r="M27" s="234" t="s">
        <v>404</v>
      </c>
      <c r="N27" s="182"/>
      <c r="O27" s="183"/>
      <c r="Q27" s="233" t="s">
        <v>167</v>
      </c>
      <c r="R27" s="183"/>
      <c r="S27" s="235" t="s">
        <v>349</v>
      </c>
    </row>
    <row r="28" spans="1:19" ht="12.75">
      <c r="A28" s="4" t="s">
        <v>179</v>
      </c>
      <c r="B28" s="218" t="s">
        <v>169</v>
      </c>
      <c r="C28" s="177"/>
      <c r="D28" s="177"/>
      <c r="E28" s="177"/>
      <c r="F28" s="178"/>
      <c r="G28" s="83"/>
      <c r="H28" s="229"/>
      <c r="I28" s="193"/>
      <c r="J28" s="193"/>
      <c r="K28" s="194"/>
      <c r="L28" s="83"/>
      <c r="M28" s="229"/>
      <c r="N28" s="193"/>
      <c r="O28" s="194"/>
      <c r="Q28" s="229"/>
      <c r="R28" s="194"/>
      <c r="S28" s="231"/>
    </row>
    <row r="29" spans="1:19" ht="38.25">
      <c r="A29" s="99" t="s">
        <v>180</v>
      </c>
      <c r="B29" s="100" t="s">
        <v>171</v>
      </c>
      <c r="C29" s="100" t="s">
        <v>172</v>
      </c>
      <c r="D29" s="100" t="s">
        <v>173</v>
      </c>
      <c r="E29" s="100" t="s">
        <v>174</v>
      </c>
      <c r="F29" s="100" t="s">
        <v>175</v>
      </c>
      <c r="H29" s="229"/>
      <c r="I29" s="193"/>
      <c r="J29" s="193"/>
      <c r="K29" s="194"/>
      <c r="M29" s="229"/>
      <c r="N29" s="193"/>
      <c r="O29" s="194"/>
      <c r="Q29" s="184"/>
      <c r="R29" s="186"/>
      <c r="S29" s="232"/>
    </row>
    <row r="30" spans="1:19" ht="14.25">
      <c r="A30" s="101" t="s">
        <v>181</v>
      </c>
      <c r="B30" s="33">
        <f>954+150</f>
        <v>1104</v>
      </c>
      <c r="C30" s="33">
        <f>192</f>
        <v>192</v>
      </c>
      <c r="D30" s="102">
        <f>303+150</f>
        <v>453</v>
      </c>
      <c r="E30" s="103">
        <f t="shared" ref="E30:E36" si="2">B30+C30</f>
        <v>1296</v>
      </c>
      <c r="F30" s="96">
        <f>D30/E30</f>
        <v>0.34953703703703703</v>
      </c>
      <c r="H30" s="229"/>
      <c r="I30" s="193"/>
      <c r="J30" s="193"/>
      <c r="K30" s="194"/>
      <c r="M30" s="229"/>
      <c r="N30" s="193"/>
      <c r="O30" s="194"/>
      <c r="Q30" s="92"/>
      <c r="R30" s="75"/>
      <c r="S30" s="93"/>
    </row>
    <row r="31" spans="1:19" ht="12.75">
      <c r="A31" s="101" t="s">
        <v>182</v>
      </c>
      <c r="B31" s="33">
        <f>540+150</f>
        <v>690</v>
      </c>
      <c r="C31" s="33">
        <f>223+150</f>
        <v>373</v>
      </c>
      <c r="D31" s="33">
        <f>277+150</f>
        <v>427</v>
      </c>
      <c r="E31" s="103">
        <f t="shared" si="2"/>
        <v>1063</v>
      </c>
      <c r="F31" s="96">
        <f t="shared" ref="F31:F36" si="3">D31/E31</f>
        <v>0.40169332079021636</v>
      </c>
      <c r="H31" s="229"/>
      <c r="I31" s="193"/>
      <c r="J31" s="193"/>
      <c r="K31" s="194"/>
      <c r="M31" s="229"/>
      <c r="N31" s="193"/>
      <c r="O31" s="194"/>
      <c r="Q31" s="230" t="s">
        <v>176</v>
      </c>
      <c r="R31" s="236" t="s">
        <v>434</v>
      </c>
      <c r="S31" s="183"/>
    </row>
    <row r="32" spans="1:19" ht="12.75">
      <c r="A32" s="101" t="s">
        <v>183</v>
      </c>
      <c r="B32" s="33">
        <f>402+150</f>
        <v>552</v>
      </c>
      <c r="C32" s="33">
        <f>238+120</f>
        <v>358</v>
      </c>
      <c r="D32" s="33">
        <f>262+150</f>
        <v>412</v>
      </c>
      <c r="E32" s="103">
        <f t="shared" si="2"/>
        <v>910</v>
      </c>
      <c r="F32" s="96">
        <f t="shared" si="3"/>
        <v>0.45274725274725275</v>
      </c>
      <c r="H32" s="229"/>
      <c r="I32" s="193"/>
      <c r="J32" s="193"/>
      <c r="K32" s="194"/>
      <c r="M32" s="229"/>
      <c r="N32" s="193"/>
      <c r="O32" s="194"/>
      <c r="Q32" s="231"/>
      <c r="R32" s="229"/>
      <c r="S32" s="194"/>
    </row>
    <row r="33" spans="1:19" ht="12.75">
      <c r="A33" s="101" t="s">
        <v>184</v>
      </c>
      <c r="B33" s="33">
        <f>310+150</f>
        <v>460</v>
      </c>
      <c r="C33" s="33">
        <f>272+100</f>
        <v>372</v>
      </c>
      <c r="D33" s="33">
        <f>228+150</f>
        <v>378</v>
      </c>
      <c r="E33" s="103">
        <f t="shared" si="2"/>
        <v>832</v>
      </c>
      <c r="F33" s="96">
        <f t="shared" si="3"/>
        <v>0.45432692307692307</v>
      </c>
      <c r="H33" s="229"/>
      <c r="I33" s="193"/>
      <c r="J33" s="193"/>
      <c r="K33" s="194"/>
      <c r="M33" s="229"/>
      <c r="N33" s="193"/>
      <c r="O33" s="194"/>
      <c r="Q33" s="231"/>
      <c r="R33" s="229"/>
      <c r="S33" s="194"/>
    </row>
    <row r="34" spans="1:19" ht="12.75">
      <c r="A34" s="101" t="s">
        <v>185</v>
      </c>
      <c r="B34" s="33">
        <f>278+150</f>
        <v>428</v>
      </c>
      <c r="C34" s="33">
        <f>291+100</f>
        <v>391</v>
      </c>
      <c r="D34" s="33">
        <f>209+150</f>
        <v>359</v>
      </c>
      <c r="E34" s="103">
        <f t="shared" si="2"/>
        <v>819</v>
      </c>
      <c r="F34" s="96">
        <f t="shared" si="3"/>
        <v>0.43833943833943834</v>
      </c>
      <c r="H34" s="229"/>
      <c r="I34" s="193"/>
      <c r="J34" s="193"/>
      <c r="K34" s="194"/>
      <c r="M34" s="229"/>
      <c r="N34" s="193"/>
      <c r="O34" s="194"/>
      <c r="P34" s="98"/>
      <c r="Q34" s="231"/>
      <c r="R34" s="229"/>
      <c r="S34" s="194"/>
    </row>
    <row r="35" spans="1:19" ht="12.75">
      <c r="A35" s="101" t="s">
        <v>186</v>
      </c>
      <c r="B35" s="33">
        <f>202+150</f>
        <v>352</v>
      </c>
      <c r="C35" s="33">
        <f>334</f>
        <v>334</v>
      </c>
      <c r="D35" s="33">
        <f>156+150</f>
        <v>306</v>
      </c>
      <c r="E35" s="103">
        <f t="shared" si="2"/>
        <v>686</v>
      </c>
      <c r="F35" s="96">
        <f t="shared" si="3"/>
        <v>0.44606413994169097</v>
      </c>
      <c r="H35" s="229"/>
      <c r="I35" s="193"/>
      <c r="J35" s="193"/>
      <c r="K35" s="194"/>
      <c r="M35" s="229"/>
      <c r="N35" s="193"/>
      <c r="O35" s="194"/>
      <c r="P35" s="98"/>
      <c r="Q35" s="231"/>
      <c r="R35" s="229"/>
      <c r="S35" s="194"/>
    </row>
    <row r="36" spans="1:19" ht="12.75">
      <c r="A36" s="101" t="s">
        <v>187</v>
      </c>
      <c r="B36" s="33">
        <f>160+150</f>
        <v>310</v>
      </c>
      <c r="C36" s="33">
        <f>363</f>
        <v>363</v>
      </c>
      <c r="D36" s="33">
        <f>137+150</f>
        <v>287</v>
      </c>
      <c r="E36" s="103">
        <f t="shared" si="2"/>
        <v>673</v>
      </c>
      <c r="F36" s="96">
        <f t="shared" si="3"/>
        <v>0.4264487369985141</v>
      </c>
      <c r="H36" s="184"/>
      <c r="I36" s="185"/>
      <c r="J36" s="185"/>
      <c r="K36" s="186"/>
      <c r="M36" s="184"/>
      <c r="N36" s="185"/>
      <c r="O36" s="186"/>
      <c r="P36" s="98"/>
      <c r="Q36" s="232"/>
      <c r="R36" s="184"/>
      <c r="S36" s="186"/>
    </row>
    <row r="37" spans="1:19" ht="12.75">
      <c r="A37" s="77"/>
      <c r="B37" s="77"/>
      <c r="C37" s="77"/>
      <c r="D37" s="77"/>
      <c r="E37" s="77"/>
      <c r="F37" s="77"/>
      <c r="G37" s="77"/>
      <c r="H37" s="77"/>
      <c r="I37" s="77"/>
      <c r="J37" s="77"/>
      <c r="K37" s="77"/>
      <c r="L37" s="77"/>
      <c r="M37" s="78"/>
      <c r="N37" s="78"/>
      <c r="O37" s="78"/>
      <c r="P37" s="79"/>
      <c r="Q37" s="80"/>
      <c r="R37" s="80"/>
      <c r="S37" s="79"/>
    </row>
    <row r="38" spans="1:19" ht="12.75">
      <c r="A38" s="219" t="s">
        <v>350</v>
      </c>
      <c r="B38" s="177"/>
      <c r="C38" s="177"/>
      <c r="D38" s="177"/>
      <c r="E38" s="177"/>
      <c r="F38" s="178"/>
      <c r="H38" s="228"/>
      <c r="I38" s="182"/>
      <c r="J38" s="182"/>
      <c r="K38" s="183"/>
      <c r="M38" s="74"/>
      <c r="N38" s="74"/>
      <c r="O38" s="74"/>
      <c r="Q38" s="75"/>
      <c r="R38" s="75"/>
      <c r="S38" s="75"/>
    </row>
    <row r="39" spans="1:19" ht="12.75">
      <c r="A39" s="219" t="s">
        <v>348</v>
      </c>
      <c r="B39" s="177"/>
      <c r="C39" s="177"/>
      <c r="D39" s="177"/>
      <c r="E39" s="177"/>
      <c r="F39" s="178"/>
      <c r="H39" s="229"/>
      <c r="I39" s="193"/>
      <c r="J39" s="193"/>
      <c r="K39" s="194"/>
      <c r="M39" s="234" t="s">
        <v>405</v>
      </c>
      <c r="N39" s="182"/>
      <c r="O39" s="183"/>
      <c r="Q39" s="233" t="s">
        <v>167</v>
      </c>
      <c r="R39" s="183"/>
      <c r="S39" s="235" t="s">
        <v>406</v>
      </c>
    </row>
    <row r="40" spans="1:19" ht="12.75">
      <c r="A40" s="4" t="s">
        <v>168</v>
      </c>
      <c r="B40" s="218" t="s">
        <v>169</v>
      </c>
      <c r="C40" s="177"/>
      <c r="D40" s="177"/>
      <c r="E40" s="177"/>
      <c r="F40" s="178"/>
      <c r="G40" s="83"/>
      <c r="H40" s="229"/>
      <c r="I40" s="193"/>
      <c r="J40" s="193"/>
      <c r="K40" s="194"/>
      <c r="L40" s="83"/>
      <c r="M40" s="229"/>
      <c r="N40" s="193"/>
      <c r="O40" s="194"/>
      <c r="Q40" s="229"/>
      <c r="R40" s="194"/>
      <c r="S40" s="231"/>
    </row>
    <row r="41" spans="1:19" ht="38.25">
      <c r="A41" s="99" t="s">
        <v>188</v>
      </c>
      <c r="B41" s="100" t="s">
        <v>171</v>
      </c>
      <c r="C41" s="100" t="s">
        <v>172</v>
      </c>
      <c r="D41" s="100" t="s">
        <v>173</v>
      </c>
      <c r="E41" s="100" t="s">
        <v>174</v>
      </c>
      <c r="F41" s="100" t="s">
        <v>175</v>
      </c>
      <c r="H41" s="229"/>
      <c r="I41" s="193"/>
      <c r="J41" s="193"/>
      <c r="K41" s="194"/>
      <c r="M41" s="229"/>
      <c r="N41" s="193"/>
      <c r="O41" s="194"/>
      <c r="Q41" s="184"/>
      <c r="R41" s="186"/>
      <c r="S41" s="232"/>
    </row>
    <row r="42" spans="1:19" ht="14.25">
      <c r="A42" s="101" t="s">
        <v>181</v>
      </c>
      <c r="B42" s="33">
        <f>997-600</f>
        <v>397</v>
      </c>
      <c r="C42" s="33">
        <v>139</v>
      </c>
      <c r="D42" s="102">
        <v>250</v>
      </c>
      <c r="E42" s="103">
        <f t="shared" ref="E42:E48" si="4">B42+C42</f>
        <v>536</v>
      </c>
      <c r="F42" s="96">
        <f>D42/E42</f>
        <v>0.46641791044776121</v>
      </c>
      <c r="H42" s="229"/>
      <c r="I42" s="193"/>
      <c r="J42" s="193"/>
      <c r="K42" s="194"/>
      <c r="M42" s="229"/>
      <c r="N42" s="193"/>
      <c r="O42" s="194"/>
      <c r="Q42" s="92"/>
      <c r="R42" s="75"/>
      <c r="S42" s="93"/>
    </row>
    <row r="43" spans="1:19" ht="12.75">
      <c r="A43" s="101" t="s">
        <v>182</v>
      </c>
      <c r="B43" s="33">
        <f>620-350</f>
        <v>270</v>
      </c>
      <c r="C43" s="33">
        <v>146</v>
      </c>
      <c r="D43" s="33">
        <v>190</v>
      </c>
      <c r="E43" s="103">
        <f t="shared" si="4"/>
        <v>416</v>
      </c>
      <c r="F43" s="96">
        <f t="shared" ref="F43:F48" si="5">D43/E43</f>
        <v>0.45673076923076922</v>
      </c>
      <c r="H43" s="229"/>
      <c r="I43" s="193"/>
      <c r="J43" s="193"/>
      <c r="K43" s="194"/>
      <c r="M43" s="229"/>
      <c r="N43" s="193"/>
      <c r="O43" s="194"/>
      <c r="Q43" s="230" t="s">
        <v>176</v>
      </c>
      <c r="R43" s="236" t="s">
        <v>433</v>
      </c>
      <c r="S43" s="183"/>
    </row>
    <row r="44" spans="1:19" ht="12.75">
      <c r="A44" s="101" t="s">
        <v>183</v>
      </c>
      <c r="B44" s="33">
        <f>565-350</f>
        <v>215</v>
      </c>
      <c r="C44" s="33">
        <v>158</v>
      </c>
      <c r="D44" s="33">
        <v>170</v>
      </c>
      <c r="E44" s="103">
        <f t="shared" si="4"/>
        <v>373</v>
      </c>
      <c r="F44" s="96">
        <f t="shared" si="5"/>
        <v>0.45576407506702415</v>
      </c>
      <c r="H44" s="229"/>
      <c r="I44" s="193"/>
      <c r="J44" s="193"/>
      <c r="K44" s="194"/>
      <c r="M44" s="229"/>
      <c r="N44" s="193"/>
      <c r="O44" s="194"/>
      <c r="Q44" s="231"/>
      <c r="R44" s="229"/>
      <c r="S44" s="194"/>
    </row>
    <row r="45" spans="1:19" ht="12.75">
      <c r="A45" s="101" t="s">
        <v>184</v>
      </c>
      <c r="B45" s="33">
        <f>432-280</f>
        <v>152</v>
      </c>
      <c r="C45" s="33">
        <v>171</v>
      </c>
      <c r="D45" s="33">
        <v>145</v>
      </c>
      <c r="E45" s="103">
        <f t="shared" si="4"/>
        <v>323</v>
      </c>
      <c r="F45" s="96">
        <f t="shared" si="5"/>
        <v>0.44891640866873067</v>
      </c>
      <c r="H45" s="229"/>
      <c r="I45" s="193"/>
      <c r="J45" s="193"/>
      <c r="K45" s="194"/>
      <c r="M45" s="229"/>
      <c r="N45" s="193"/>
      <c r="O45" s="194"/>
      <c r="Q45" s="231"/>
      <c r="R45" s="229"/>
      <c r="S45" s="194"/>
    </row>
    <row r="46" spans="1:19" ht="12.75">
      <c r="A46" s="101" t="s">
        <v>185</v>
      </c>
      <c r="B46" s="33">
        <f>294-190</f>
        <v>104</v>
      </c>
      <c r="C46" s="33">
        <v>179</v>
      </c>
      <c r="D46" s="33">
        <v>122</v>
      </c>
      <c r="E46" s="103">
        <f t="shared" si="4"/>
        <v>283</v>
      </c>
      <c r="F46" s="96">
        <f t="shared" si="5"/>
        <v>0.43109540636042404</v>
      </c>
      <c r="H46" s="229"/>
      <c r="I46" s="193"/>
      <c r="J46" s="193"/>
      <c r="K46" s="194"/>
      <c r="M46" s="229"/>
      <c r="N46" s="193"/>
      <c r="O46" s="194"/>
      <c r="P46" s="98"/>
      <c r="Q46" s="231"/>
      <c r="R46" s="229"/>
      <c r="S46" s="194"/>
    </row>
    <row r="47" spans="1:19" ht="12.75">
      <c r="A47" s="101" t="s">
        <v>186</v>
      </c>
      <c r="B47" s="33">
        <f>209-150</f>
        <v>59</v>
      </c>
      <c r="C47" s="33">
        <v>192</v>
      </c>
      <c r="D47" s="33">
        <v>109</v>
      </c>
      <c r="E47" s="103">
        <f t="shared" si="4"/>
        <v>251</v>
      </c>
      <c r="F47" s="96">
        <f t="shared" si="5"/>
        <v>0.43426294820717132</v>
      </c>
      <c r="H47" s="229"/>
      <c r="I47" s="193"/>
      <c r="J47" s="193"/>
      <c r="K47" s="194"/>
      <c r="M47" s="229"/>
      <c r="N47" s="193"/>
      <c r="O47" s="194"/>
      <c r="P47" s="98"/>
      <c r="Q47" s="231"/>
      <c r="R47" s="229"/>
      <c r="S47" s="194"/>
    </row>
    <row r="48" spans="1:19" ht="12.75">
      <c r="A48" s="101" t="s">
        <v>187</v>
      </c>
      <c r="B48" s="33">
        <f>144-120</f>
        <v>24</v>
      </c>
      <c r="C48" s="33">
        <v>214</v>
      </c>
      <c r="D48" s="33">
        <v>102</v>
      </c>
      <c r="E48" s="103">
        <f t="shared" si="4"/>
        <v>238</v>
      </c>
      <c r="F48" s="96">
        <f t="shared" si="5"/>
        <v>0.42857142857142855</v>
      </c>
      <c r="H48" s="184"/>
      <c r="I48" s="185"/>
      <c r="J48" s="185"/>
      <c r="K48" s="186"/>
      <c r="M48" s="184"/>
      <c r="N48" s="185"/>
      <c r="O48" s="186"/>
      <c r="P48" s="98"/>
      <c r="Q48" s="232"/>
      <c r="R48" s="184"/>
      <c r="S48" s="186"/>
    </row>
    <row r="49" spans="1:19" ht="12.75">
      <c r="A49" s="77"/>
      <c r="B49" s="77"/>
      <c r="C49" s="77"/>
      <c r="D49" s="77"/>
      <c r="E49" s="77"/>
      <c r="F49" s="77"/>
      <c r="G49" s="77"/>
      <c r="H49" s="77"/>
      <c r="I49" s="77"/>
      <c r="J49" s="77"/>
      <c r="K49" s="77"/>
      <c r="L49" s="77"/>
      <c r="M49" s="78"/>
      <c r="N49" s="78"/>
      <c r="O49" s="78"/>
      <c r="P49" s="79"/>
      <c r="Q49" s="80"/>
      <c r="R49" s="80"/>
      <c r="S49" s="79"/>
    </row>
    <row r="50" spans="1:19" ht="14.25">
      <c r="D50" s="91"/>
      <c r="P50" s="98"/>
      <c r="Q50" s="104"/>
      <c r="R50" s="105" t="s">
        <v>189</v>
      </c>
      <c r="S50" s="105" t="s">
        <v>190</v>
      </c>
    </row>
    <row r="51" spans="1:19" ht="12.75">
      <c r="D51" s="97"/>
      <c r="P51" s="233" t="s">
        <v>191</v>
      </c>
      <c r="Q51" s="183"/>
      <c r="R51" s="237" t="s">
        <v>408</v>
      </c>
      <c r="S51" s="237" t="s">
        <v>410</v>
      </c>
    </row>
    <row r="52" spans="1:19" ht="12.75">
      <c r="D52" s="97"/>
      <c r="P52" s="229"/>
      <c r="Q52" s="194"/>
      <c r="R52" s="231"/>
      <c r="S52" s="231"/>
    </row>
    <row r="53" spans="1:19" ht="12.75">
      <c r="D53" s="97"/>
      <c r="P53" s="229"/>
      <c r="Q53" s="194"/>
      <c r="R53" s="231"/>
      <c r="S53" s="231"/>
    </row>
    <row r="54" spans="1:19" ht="12.75">
      <c r="D54" s="97"/>
      <c r="P54" s="229"/>
      <c r="Q54" s="194"/>
      <c r="R54" s="231"/>
      <c r="S54" s="231"/>
    </row>
    <row r="55" spans="1:19" ht="12.75">
      <c r="D55" s="97"/>
      <c r="P55" s="229"/>
      <c r="Q55" s="194"/>
      <c r="R55" s="231"/>
      <c r="S55" s="231"/>
    </row>
    <row r="56" spans="1:19" ht="12.75">
      <c r="D56" s="97"/>
      <c r="P56" s="184"/>
      <c r="Q56" s="186"/>
      <c r="R56" s="232"/>
      <c r="S56" s="232"/>
    </row>
    <row r="57" spans="1:19" ht="12.75">
      <c r="D57" s="97"/>
      <c r="Q57" s="75"/>
      <c r="R57" s="75"/>
      <c r="S57" s="75"/>
    </row>
    <row r="58" spans="1:19" ht="12.75">
      <c r="D58" s="97"/>
      <c r="Q58" s="75"/>
      <c r="R58" s="75"/>
      <c r="S58" s="75"/>
    </row>
    <row r="59" spans="1:19" ht="12.75">
      <c r="D59" s="97"/>
      <c r="Q59" s="230" t="s">
        <v>192</v>
      </c>
      <c r="R59" s="236" t="s">
        <v>411</v>
      </c>
      <c r="S59" s="183"/>
    </row>
    <row r="60" spans="1:19" ht="12.75">
      <c r="D60" s="97"/>
      <c r="Q60" s="231"/>
      <c r="R60" s="229"/>
      <c r="S60" s="194"/>
    </row>
    <row r="61" spans="1:19" ht="12.75">
      <c r="Q61" s="231"/>
      <c r="R61" s="229"/>
      <c r="S61" s="194"/>
    </row>
    <row r="62" spans="1:19" ht="12.75">
      <c r="Q62" s="231"/>
      <c r="R62" s="229"/>
      <c r="S62" s="194"/>
    </row>
    <row r="63" spans="1:19" ht="12.75">
      <c r="Q63" s="231"/>
      <c r="R63" s="229"/>
      <c r="S63" s="194"/>
    </row>
    <row r="64" spans="1:19" ht="12.75">
      <c r="Q64" s="232"/>
      <c r="R64" s="184"/>
      <c r="S64" s="186"/>
    </row>
    <row r="65" spans="1:19" ht="12.75">
      <c r="A65" s="77"/>
      <c r="B65" s="77"/>
      <c r="C65" s="77"/>
      <c r="D65" s="77"/>
      <c r="E65" s="77"/>
      <c r="F65" s="77"/>
      <c r="G65" s="77"/>
      <c r="H65" s="77"/>
      <c r="I65" s="77"/>
      <c r="J65" s="77"/>
      <c r="K65" s="77"/>
      <c r="L65" s="77"/>
      <c r="M65" s="78"/>
      <c r="N65" s="78"/>
      <c r="O65" s="78"/>
      <c r="P65" s="79"/>
      <c r="Q65" s="80"/>
      <c r="R65" s="80"/>
      <c r="S65" s="79"/>
    </row>
  </sheetData>
  <mergeCells count="44">
    <mergeCell ref="Q59:Q64"/>
    <mergeCell ref="R59:S64"/>
    <mergeCell ref="M27:O36"/>
    <mergeCell ref="Q31:Q36"/>
    <mergeCell ref="M39:O48"/>
    <mergeCell ref="Q39:R41"/>
    <mergeCell ref="S39:S41"/>
    <mergeCell ref="Q43:Q48"/>
    <mergeCell ref="R43:S48"/>
    <mergeCell ref="R31:S36"/>
    <mergeCell ref="P51:Q56"/>
    <mergeCell ref="R51:R56"/>
    <mergeCell ref="S51:S56"/>
    <mergeCell ref="Q19:Q24"/>
    <mergeCell ref="Q27:R29"/>
    <mergeCell ref="M15:O24"/>
    <mergeCell ref="Q15:R17"/>
    <mergeCell ref="S15:S17"/>
    <mergeCell ref="R19:S24"/>
    <mergeCell ref="S27:S29"/>
    <mergeCell ref="B28:F28"/>
    <mergeCell ref="A38:F38"/>
    <mergeCell ref="A39:F39"/>
    <mergeCell ref="B40:F40"/>
    <mergeCell ref="A8:I8"/>
    <mergeCell ref="A9:I9"/>
    <mergeCell ref="A10:I10"/>
    <mergeCell ref="A11:I11"/>
    <mergeCell ref="A12:I12"/>
    <mergeCell ref="A14:F14"/>
    <mergeCell ref="A15:F15"/>
    <mergeCell ref="H26:K36"/>
    <mergeCell ref="H38:K48"/>
    <mergeCell ref="H14:K24"/>
    <mergeCell ref="A6:I6"/>
    <mergeCell ref="A7:I7"/>
    <mergeCell ref="B16:F16"/>
    <mergeCell ref="A26:F26"/>
    <mergeCell ref="A27:F27"/>
    <mergeCell ref="A1:S1"/>
    <mergeCell ref="A2:I2"/>
    <mergeCell ref="A3:I3"/>
    <mergeCell ref="A4:I4"/>
    <mergeCell ref="A5:I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63"/>
  <sheetViews>
    <sheetView showGridLines="0" topLeftCell="L17" workbookViewId="0">
      <selection activeCell="R58" sqref="R58:S63"/>
    </sheetView>
  </sheetViews>
  <sheetFormatPr defaultColWidth="12.5703125" defaultRowHeight="15.75" customHeight="1"/>
  <cols>
    <col min="2" max="2" width="10.140625" customWidth="1"/>
    <col min="3" max="3" width="15.28515625" customWidth="1"/>
    <col min="4" max="4" width="15.7109375" customWidth="1"/>
    <col min="5" max="5" width="7.85546875" customWidth="1"/>
    <col min="6" max="6" width="10" customWidth="1"/>
  </cols>
  <sheetData>
    <row r="1" spans="1:19" ht="15.75" customHeight="1">
      <c r="A1" s="213" t="s">
        <v>18</v>
      </c>
      <c r="B1" s="177"/>
      <c r="C1" s="177"/>
      <c r="D1" s="177"/>
      <c r="E1" s="177"/>
      <c r="F1" s="177"/>
      <c r="G1" s="177"/>
      <c r="H1" s="177"/>
      <c r="I1" s="177"/>
      <c r="J1" s="177"/>
      <c r="K1" s="177"/>
      <c r="L1" s="177"/>
      <c r="M1" s="177"/>
      <c r="N1" s="177"/>
      <c r="O1" s="177"/>
      <c r="P1" s="177"/>
      <c r="Q1" s="177"/>
      <c r="R1" s="177"/>
      <c r="S1" s="178"/>
    </row>
    <row r="2" spans="1:19" ht="12.75">
      <c r="A2" s="206" t="s">
        <v>193</v>
      </c>
      <c r="B2" s="177"/>
      <c r="C2" s="177"/>
      <c r="D2" s="177"/>
      <c r="E2" s="177"/>
      <c r="F2" s="177"/>
      <c r="G2" s="177"/>
      <c r="H2" s="177"/>
      <c r="I2" s="178"/>
      <c r="O2" s="106"/>
      <c r="P2" s="74"/>
      <c r="R2" s="75"/>
      <c r="S2" s="75"/>
    </row>
    <row r="3" spans="1:19" ht="12.75">
      <c r="A3" s="207" t="s">
        <v>194</v>
      </c>
      <c r="B3" s="177"/>
      <c r="C3" s="177"/>
      <c r="D3" s="177"/>
      <c r="E3" s="177"/>
      <c r="F3" s="177"/>
      <c r="G3" s="177"/>
      <c r="H3" s="177"/>
      <c r="I3" s="178"/>
      <c r="O3" s="106"/>
      <c r="P3" s="74"/>
      <c r="R3" s="75"/>
      <c r="S3" s="75"/>
    </row>
    <row r="4" spans="1:19" ht="12.75">
      <c r="A4" s="188" t="s">
        <v>195</v>
      </c>
      <c r="B4" s="185"/>
      <c r="C4" s="185"/>
      <c r="D4" s="185"/>
      <c r="E4" s="185"/>
      <c r="F4" s="185"/>
      <c r="G4" s="185"/>
      <c r="H4" s="185"/>
      <c r="I4" s="186"/>
      <c r="O4" s="106"/>
      <c r="P4" s="74"/>
      <c r="R4" s="75"/>
      <c r="S4" s="75"/>
    </row>
    <row r="5" spans="1:19" ht="12.75">
      <c r="A5" s="206" t="s">
        <v>196</v>
      </c>
      <c r="B5" s="177"/>
      <c r="C5" s="177"/>
      <c r="D5" s="177"/>
      <c r="E5" s="177"/>
      <c r="F5" s="177"/>
      <c r="G5" s="177"/>
      <c r="H5" s="177"/>
      <c r="I5" s="178"/>
      <c r="O5" s="106"/>
      <c r="P5" s="74"/>
      <c r="R5" s="75"/>
      <c r="S5" s="75"/>
    </row>
    <row r="6" spans="1:19" ht="12.75">
      <c r="A6" s="239" t="s">
        <v>197</v>
      </c>
      <c r="B6" s="177"/>
      <c r="C6" s="177"/>
      <c r="D6" s="177"/>
      <c r="E6" s="177"/>
      <c r="F6" s="177"/>
      <c r="G6" s="177"/>
      <c r="H6" s="177"/>
      <c r="I6" s="178"/>
      <c r="O6" s="106"/>
      <c r="P6" s="74"/>
      <c r="R6" s="75"/>
      <c r="S6" s="75"/>
    </row>
    <row r="7" spans="1:19" ht="12.75">
      <c r="A7" s="239" t="s">
        <v>198</v>
      </c>
      <c r="B7" s="177"/>
      <c r="C7" s="177"/>
      <c r="D7" s="177"/>
      <c r="E7" s="177"/>
      <c r="F7" s="177"/>
      <c r="G7" s="177"/>
      <c r="H7" s="177"/>
      <c r="I7" s="178"/>
      <c r="O7" s="106"/>
      <c r="P7" s="74"/>
      <c r="R7" s="75"/>
      <c r="S7" s="75"/>
    </row>
    <row r="8" spans="1:19" ht="12.75">
      <c r="A8" s="239" t="s">
        <v>199</v>
      </c>
      <c r="B8" s="177"/>
      <c r="C8" s="177"/>
      <c r="D8" s="177"/>
      <c r="E8" s="177"/>
      <c r="F8" s="177"/>
      <c r="G8" s="177"/>
      <c r="H8" s="177"/>
      <c r="I8" s="178"/>
      <c r="O8" s="106"/>
      <c r="P8" s="74"/>
      <c r="R8" s="75"/>
      <c r="S8" s="75"/>
    </row>
    <row r="9" spans="1:19" ht="12.75">
      <c r="A9" s="239" t="s">
        <v>200</v>
      </c>
      <c r="B9" s="177"/>
      <c r="C9" s="177"/>
      <c r="D9" s="177"/>
      <c r="E9" s="177"/>
      <c r="F9" s="177"/>
      <c r="G9" s="177"/>
      <c r="H9" s="177"/>
      <c r="I9" s="178"/>
      <c r="O9" s="106"/>
      <c r="P9" s="74"/>
      <c r="R9" s="75"/>
      <c r="S9" s="75"/>
    </row>
    <row r="10" spans="1:19" ht="12.75">
      <c r="A10" s="239" t="s">
        <v>201</v>
      </c>
      <c r="B10" s="177"/>
      <c r="C10" s="177"/>
      <c r="D10" s="177"/>
      <c r="E10" s="177"/>
      <c r="F10" s="177"/>
      <c r="G10" s="177"/>
      <c r="H10" s="177"/>
      <c r="I10" s="178"/>
      <c r="O10" s="106"/>
      <c r="P10" s="74"/>
      <c r="R10" s="75"/>
      <c r="S10" s="75"/>
    </row>
    <row r="11" spans="1:19" ht="12.75">
      <c r="A11" s="222" t="s">
        <v>37</v>
      </c>
      <c r="B11" s="193"/>
      <c r="C11" s="193"/>
      <c r="D11" s="193"/>
      <c r="E11" s="193"/>
      <c r="F11" s="193"/>
      <c r="G11" s="193"/>
      <c r="H11" s="193"/>
      <c r="I11" s="193"/>
      <c r="J11" s="81"/>
      <c r="K11" s="81"/>
      <c r="L11" s="81"/>
      <c r="M11" s="81"/>
      <c r="N11" s="81"/>
      <c r="O11" s="81"/>
      <c r="P11" s="74"/>
      <c r="R11" s="75"/>
      <c r="S11" s="75"/>
    </row>
    <row r="12" spans="1:19" ht="12.75">
      <c r="A12" s="81"/>
      <c r="B12" s="81"/>
      <c r="C12" s="81"/>
      <c r="D12" s="81"/>
      <c r="E12" s="81"/>
      <c r="F12" s="81"/>
      <c r="G12" s="81"/>
      <c r="H12" s="81"/>
      <c r="I12" s="81"/>
      <c r="J12" s="81"/>
      <c r="K12" s="81"/>
      <c r="L12" s="81"/>
      <c r="M12" s="81"/>
      <c r="N12" s="81"/>
      <c r="O12" s="81"/>
      <c r="P12" s="74"/>
      <c r="R12" s="75"/>
      <c r="S12" s="75"/>
    </row>
    <row r="13" spans="1:19" ht="12.75">
      <c r="A13" s="218" t="s">
        <v>202</v>
      </c>
      <c r="B13" s="177"/>
      <c r="C13" s="177"/>
      <c r="D13" s="177"/>
      <c r="E13" s="177"/>
      <c r="F13" s="178"/>
      <c r="H13" s="228"/>
      <c r="I13" s="182"/>
      <c r="J13" s="182"/>
      <c r="K13" s="183"/>
      <c r="L13" s="74"/>
      <c r="M13" s="74"/>
      <c r="N13" s="74"/>
      <c r="O13" s="74"/>
    </row>
    <row r="14" spans="1:19" ht="12.75">
      <c r="A14" s="219" t="s">
        <v>351</v>
      </c>
      <c r="B14" s="177"/>
      <c r="C14" s="177"/>
      <c r="D14" s="177"/>
      <c r="E14" s="177"/>
      <c r="F14" s="178"/>
      <c r="H14" s="229"/>
      <c r="I14" s="193"/>
      <c r="J14" s="193"/>
      <c r="K14" s="194"/>
      <c r="L14" s="74"/>
      <c r="M14" s="234" t="s">
        <v>353</v>
      </c>
      <c r="N14" s="182"/>
      <c r="O14" s="183"/>
      <c r="Q14" s="233" t="s">
        <v>203</v>
      </c>
      <c r="R14" s="182"/>
      <c r="S14" s="235" t="s">
        <v>352</v>
      </c>
    </row>
    <row r="15" spans="1:19" ht="12.75">
      <c r="A15" s="4" t="s">
        <v>204</v>
      </c>
      <c r="B15" s="218" t="s">
        <v>169</v>
      </c>
      <c r="C15" s="177"/>
      <c r="D15" s="177"/>
      <c r="E15" s="177"/>
      <c r="F15" s="178"/>
      <c r="H15" s="229"/>
      <c r="I15" s="193"/>
      <c r="J15" s="193"/>
      <c r="K15" s="194"/>
      <c r="L15" s="74"/>
      <c r="M15" s="229"/>
      <c r="N15" s="193"/>
      <c r="O15" s="194"/>
      <c r="Q15" s="229"/>
      <c r="R15" s="193"/>
      <c r="S15" s="231"/>
    </row>
    <row r="16" spans="1:19" ht="38.25">
      <c r="A16" s="99" t="s">
        <v>205</v>
      </c>
      <c r="B16" s="100" t="s">
        <v>171</v>
      </c>
      <c r="C16" s="100" t="s">
        <v>172</v>
      </c>
      <c r="D16" s="100" t="s">
        <v>173</v>
      </c>
      <c r="E16" s="100" t="s">
        <v>174</v>
      </c>
      <c r="F16" s="100" t="s">
        <v>175</v>
      </c>
      <c r="G16" s="107"/>
      <c r="H16" s="229"/>
      <c r="I16" s="193"/>
      <c r="J16" s="193"/>
      <c r="K16" s="194"/>
      <c r="L16" s="74"/>
      <c r="M16" s="229"/>
      <c r="N16" s="193"/>
      <c r="O16" s="194"/>
      <c r="Q16" s="229"/>
      <c r="R16" s="193"/>
      <c r="S16" s="232"/>
    </row>
    <row r="17" spans="1:19" ht="14.25">
      <c r="A17" s="101" t="s">
        <v>181</v>
      </c>
      <c r="B17" s="33">
        <f>954-750</f>
        <v>204</v>
      </c>
      <c r="C17" s="33">
        <f>192+150</f>
        <v>342</v>
      </c>
      <c r="D17" s="102">
        <f>303+150</f>
        <v>453</v>
      </c>
      <c r="E17" s="103">
        <f t="shared" ref="E17:E23" si="0">B17+C17</f>
        <v>546</v>
      </c>
      <c r="F17" s="108">
        <v>0.83</v>
      </c>
      <c r="H17" s="229"/>
      <c r="I17" s="193"/>
      <c r="J17" s="193"/>
      <c r="K17" s="194"/>
      <c r="L17" s="74"/>
      <c r="M17" s="229"/>
      <c r="N17" s="193"/>
      <c r="O17" s="194"/>
      <c r="Q17" s="92"/>
      <c r="R17" s="75"/>
      <c r="S17" s="93"/>
    </row>
    <row r="18" spans="1:19" ht="12.75">
      <c r="A18" s="101" t="s">
        <v>182</v>
      </c>
      <c r="B18" s="33">
        <f>540-370</f>
        <v>170</v>
      </c>
      <c r="C18" s="33">
        <v>360</v>
      </c>
      <c r="D18" s="33">
        <f>277+150</f>
        <v>427</v>
      </c>
      <c r="E18" s="103">
        <f t="shared" si="0"/>
        <v>530</v>
      </c>
      <c r="F18" s="96">
        <f>D18/E18</f>
        <v>0.80566037735849061</v>
      </c>
      <c r="H18" s="229"/>
      <c r="I18" s="193"/>
      <c r="J18" s="193"/>
      <c r="K18" s="194"/>
      <c r="L18" s="74"/>
      <c r="M18" s="229"/>
      <c r="N18" s="193"/>
      <c r="O18" s="194"/>
      <c r="Q18" s="230" t="s">
        <v>176</v>
      </c>
      <c r="R18" s="236" t="s">
        <v>412</v>
      </c>
      <c r="S18" s="183"/>
    </row>
    <row r="19" spans="1:19" ht="12.75">
      <c r="A19" s="101" t="s">
        <v>183</v>
      </c>
      <c r="B19" s="33">
        <f>402-250</f>
        <v>152</v>
      </c>
      <c r="C19" s="33">
        <v>370</v>
      </c>
      <c r="D19" s="33">
        <f>262+150</f>
        <v>412</v>
      </c>
      <c r="E19" s="103">
        <f t="shared" si="0"/>
        <v>522</v>
      </c>
      <c r="F19" s="96">
        <f t="shared" ref="F19:F23" si="1">D19/E19</f>
        <v>0.78927203065134099</v>
      </c>
      <c r="H19" s="229"/>
      <c r="I19" s="193"/>
      <c r="J19" s="193"/>
      <c r="K19" s="194"/>
      <c r="L19" s="74"/>
      <c r="M19" s="229"/>
      <c r="N19" s="193"/>
      <c r="O19" s="194"/>
      <c r="Q19" s="231"/>
      <c r="R19" s="229"/>
      <c r="S19" s="194"/>
    </row>
    <row r="20" spans="1:19" ht="12.75">
      <c r="A20" s="101" t="s">
        <v>184</v>
      </c>
      <c r="B20" s="33">
        <f>310-200</f>
        <v>110</v>
      </c>
      <c r="C20" s="33">
        <v>380</v>
      </c>
      <c r="D20" s="33">
        <f>228+150</f>
        <v>378</v>
      </c>
      <c r="E20" s="103">
        <f t="shared" si="0"/>
        <v>490</v>
      </c>
      <c r="F20" s="96">
        <f t="shared" si="1"/>
        <v>0.77142857142857146</v>
      </c>
      <c r="H20" s="229"/>
      <c r="I20" s="193"/>
      <c r="J20" s="193"/>
      <c r="K20" s="194"/>
      <c r="L20" s="74"/>
      <c r="M20" s="229"/>
      <c r="N20" s="193"/>
      <c r="O20" s="194"/>
      <c r="Q20" s="231"/>
      <c r="R20" s="229"/>
      <c r="S20" s="194"/>
    </row>
    <row r="21" spans="1:19" ht="12.75">
      <c r="A21" s="101" t="s">
        <v>185</v>
      </c>
      <c r="B21" s="33">
        <v>90</v>
      </c>
      <c r="C21" s="33">
        <v>520</v>
      </c>
      <c r="D21" s="33">
        <f>209+150</f>
        <v>359</v>
      </c>
      <c r="E21" s="103">
        <f t="shared" si="0"/>
        <v>610</v>
      </c>
      <c r="F21" s="96">
        <f t="shared" si="1"/>
        <v>0.58852459016393444</v>
      </c>
      <c r="H21" s="229"/>
      <c r="I21" s="193"/>
      <c r="J21" s="193"/>
      <c r="K21" s="194"/>
      <c r="L21" s="74"/>
      <c r="M21" s="229"/>
      <c r="N21" s="193"/>
      <c r="O21" s="194"/>
      <c r="P21" s="98"/>
      <c r="Q21" s="231"/>
      <c r="R21" s="229"/>
      <c r="S21" s="194"/>
    </row>
    <row r="22" spans="1:19" ht="12.75">
      <c r="A22" s="101" t="s">
        <v>186</v>
      </c>
      <c r="B22" s="33">
        <v>65</v>
      </c>
      <c r="C22" s="33">
        <v>650</v>
      </c>
      <c r="D22" s="33">
        <f>156+150</f>
        <v>306</v>
      </c>
      <c r="E22" s="103">
        <f t="shared" si="0"/>
        <v>715</v>
      </c>
      <c r="F22" s="96">
        <f t="shared" si="1"/>
        <v>0.42797202797202799</v>
      </c>
      <c r="H22" s="229"/>
      <c r="I22" s="193"/>
      <c r="J22" s="193"/>
      <c r="K22" s="194"/>
      <c r="L22" s="74"/>
      <c r="M22" s="229"/>
      <c r="N22" s="193"/>
      <c r="O22" s="194"/>
      <c r="P22" s="98"/>
      <c r="Q22" s="231"/>
      <c r="R22" s="229"/>
      <c r="S22" s="194"/>
    </row>
    <row r="23" spans="1:19" ht="12.75">
      <c r="A23" s="101" t="s">
        <v>187</v>
      </c>
      <c r="B23" s="33">
        <v>30</v>
      </c>
      <c r="C23" s="33">
        <v>874</v>
      </c>
      <c r="D23" s="33">
        <f>137+150</f>
        <v>287</v>
      </c>
      <c r="E23" s="103">
        <f t="shared" si="0"/>
        <v>904</v>
      </c>
      <c r="F23" s="96">
        <f t="shared" si="1"/>
        <v>0.31747787610619471</v>
      </c>
      <c r="H23" s="184"/>
      <c r="I23" s="185"/>
      <c r="J23" s="185"/>
      <c r="K23" s="186"/>
      <c r="L23" s="74"/>
      <c r="M23" s="184"/>
      <c r="N23" s="185"/>
      <c r="O23" s="186"/>
      <c r="P23" s="98"/>
      <c r="Q23" s="232"/>
      <c r="R23" s="184"/>
      <c r="S23" s="186"/>
    </row>
    <row r="24" spans="1:19" ht="12.75">
      <c r="A24" s="107"/>
      <c r="C24" s="97"/>
    </row>
    <row r="25" spans="1:19" ht="12.75">
      <c r="A25" s="218" t="s">
        <v>206</v>
      </c>
      <c r="B25" s="177"/>
      <c r="C25" s="177"/>
      <c r="D25" s="177"/>
      <c r="E25" s="177"/>
      <c r="F25" s="178"/>
      <c r="H25" s="228"/>
      <c r="I25" s="182"/>
      <c r="J25" s="182"/>
      <c r="K25" s="183"/>
      <c r="L25" s="74"/>
      <c r="M25" s="74"/>
      <c r="N25" s="74"/>
      <c r="O25" s="74"/>
    </row>
    <row r="26" spans="1:19" ht="12.75">
      <c r="A26" s="218" t="s">
        <v>207</v>
      </c>
      <c r="B26" s="177"/>
      <c r="C26" s="177"/>
      <c r="D26" s="177"/>
      <c r="E26" s="177"/>
      <c r="F26" s="178"/>
      <c r="H26" s="229"/>
      <c r="I26" s="193"/>
      <c r="J26" s="193"/>
      <c r="K26" s="194"/>
      <c r="L26" s="74"/>
      <c r="M26" s="234" t="s">
        <v>354</v>
      </c>
      <c r="N26" s="182"/>
      <c r="O26" s="183"/>
      <c r="Q26" s="233" t="s">
        <v>203</v>
      </c>
      <c r="R26" s="183"/>
      <c r="S26" s="240" t="s">
        <v>413</v>
      </c>
    </row>
    <row r="27" spans="1:19" ht="12.75">
      <c r="A27" s="4" t="s">
        <v>204</v>
      </c>
      <c r="B27" s="218" t="s">
        <v>169</v>
      </c>
      <c r="C27" s="177"/>
      <c r="D27" s="177"/>
      <c r="E27" s="177"/>
      <c r="F27" s="178"/>
      <c r="H27" s="229"/>
      <c r="I27" s="193"/>
      <c r="J27" s="193"/>
      <c r="K27" s="194"/>
      <c r="L27" s="74"/>
      <c r="M27" s="229"/>
      <c r="N27" s="193"/>
      <c r="O27" s="194"/>
      <c r="Q27" s="229"/>
      <c r="R27" s="194"/>
      <c r="S27" s="231"/>
    </row>
    <row r="28" spans="1:19" ht="38.25">
      <c r="A28" s="99" t="s">
        <v>205</v>
      </c>
      <c r="B28" s="100" t="s">
        <v>171</v>
      </c>
      <c r="C28" s="100" t="s">
        <v>172</v>
      </c>
      <c r="D28" s="100" t="s">
        <v>173</v>
      </c>
      <c r="E28" s="100" t="s">
        <v>174</v>
      </c>
      <c r="F28" s="100" t="s">
        <v>175</v>
      </c>
      <c r="G28" s="107"/>
      <c r="H28" s="229"/>
      <c r="I28" s="193"/>
      <c r="J28" s="193"/>
      <c r="K28" s="194"/>
      <c r="L28" s="74"/>
      <c r="M28" s="229"/>
      <c r="N28" s="193"/>
      <c r="O28" s="194"/>
      <c r="Q28" s="184"/>
      <c r="R28" s="186"/>
      <c r="S28" s="232"/>
    </row>
    <row r="29" spans="1:19" ht="14.25">
      <c r="A29" s="101" t="s">
        <v>181</v>
      </c>
      <c r="B29" s="33">
        <f>954+150</f>
        <v>1104</v>
      </c>
      <c r="C29" s="33">
        <v>200</v>
      </c>
      <c r="D29" s="102">
        <v>800</v>
      </c>
      <c r="E29" s="103">
        <f t="shared" ref="E29:E35" si="2">B29+C29</f>
        <v>1304</v>
      </c>
      <c r="F29" s="96">
        <f>D29/E29</f>
        <v>0.61349693251533743</v>
      </c>
      <c r="H29" s="229"/>
      <c r="I29" s="193"/>
      <c r="J29" s="193"/>
      <c r="K29" s="194"/>
      <c r="L29" s="74"/>
      <c r="M29" s="229"/>
      <c r="N29" s="193"/>
      <c r="O29" s="194"/>
      <c r="Q29" s="92"/>
      <c r="R29" s="75"/>
      <c r="S29" s="93"/>
    </row>
    <row r="30" spans="1:19" ht="12.75">
      <c r="A30" s="101" t="s">
        <v>182</v>
      </c>
      <c r="B30" s="33">
        <f>540+150</f>
        <v>690</v>
      </c>
      <c r="C30" s="33">
        <f>223+150</f>
        <v>373</v>
      </c>
      <c r="D30" s="33">
        <f>277+150+200</f>
        <v>627</v>
      </c>
      <c r="E30" s="103">
        <f t="shared" si="2"/>
        <v>1063</v>
      </c>
      <c r="F30" s="96">
        <f t="shared" ref="F30:F35" si="3">D30/E30</f>
        <v>0.58984007525870175</v>
      </c>
      <c r="H30" s="229"/>
      <c r="I30" s="193"/>
      <c r="J30" s="193"/>
      <c r="K30" s="194"/>
      <c r="L30" s="74"/>
      <c r="M30" s="229"/>
      <c r="N30" s="193"/>
      <c r="O30" s="194"/>
      <c r="Q30" s="230" t="s">
        <v>176</v>
      </c>
      <c r="R30" s="236" t="s">
        <v>414</v>
      </c>
      <c r="S30" s="183"/>
    </row>
    <row r="31" spans="1:19" ht="12.75">
      <c r="A31" s="101" t="s">
        <v>183</v>
      </c>
      <c r="B31" s="33">
        <f>402+150</f>
        <v>552</v>
      </c>
      <c r="C31" s="33">
        <f>238+150</f>
        <v>388</v>
      </c>
      <c r="D31" s="33">
        <f>262+150+120</f>
        <v>532</v>
      </c>
      <c r="E31" s="103">
        <f t="shared" si="2"/>
        <v>940</v>
      </c>
      <c r="F31" s="96">
        <f t="shared" si="3"/>
        <v>0.56595744680851068</v>
      </c>
      <c r="H31" s="229"/>
      <c r="I31" s="193"/>
      <c r="J31" s="193"/>
      <c r="K31" s="194"/>
      <c r="L31" s="74"/>
      <c r="M31" s="229"/>
      <c r="N31" s="193"/>
      <c r="O31" s="194"/>
      <c r="Q31" s="231"/>
      <c r="R31" s="229"/>
      <c r="S31" s="194"/>
    </row>
    <row r="32" spans="1:19" ht="12.75">
      <c r="A32" s="101" t="s">
        <v>184</v>
      </c>
      <c r="B32" s="33">
        <f>310+150</f>
        <v>460</v>
      </c>
      <c r="C32" s="33">
        <f>272+150-50</f>
        <v>372</v>
      </c>
      <c r="D32" s="33">
        <f>228+150+80</f>
        <v>458</v>
      </c>
      <c r="E32" s="103">
        <f t="shared" si="2"/>
        <v>832</v>
      </c>
      <c r="F32" s="96">
        <f t="shared" si="3"/>
        <v>0.55048076923076927</v>
      </c>
      <c r="H32" s="229"/>
      <c r="I32" s="193"/>
      <c r="J32" s="193"/>
      <c r="K32" s="194"/>
      <c r="L32" s="74"/>
      <c r="M32" s="229"/>
      <c r="N32" s="193"/>
      <c r="O32" s="194"/>
      <c r="Q32" s="231"/>
      <c r="R32" s="229"/>
      <c r="S32" s="194"/>
    </row>
    <row r="33" spans="1:19" ht="12.75">
      <c r="A33" s="101" t="s">
        <v>185</v>
      </c>
      <c r="B33" s="33">
        <f>278+150</f>
        <v>428</v>
      </c>
      <c r="C33" s="33">
        <f>291+150</f>
        <v>441</v>
      </c>
      <c r="D33" s="33">
        <f>209+150</f>
        <v>359</v>
      </c>
      <c r="E33" s="103">
        <f t="shared" si="2"/>
        <v>869</v>
      </c>
      <c r="F33" s="96">
        <f t="shared" si="3"/>
        <v>0.41311852704257768</v>
      </c>
      <c r="H33" s="229"/>
      <c r="I33" s="193"/>
      <c r="J33" s="193"/>
      <c r="K33" s="194"/>
      <c r="L33" s="74"/>
      <c r="M33" s="229"/>
      <c r="N33" s="193"/>
      <c r="O33" s="194"/>
      <c r="P33" s="98"/>
      <c r="Q33" s="231"/>
      <c r="R33" s="229"/>
      <c r="S33" s="194"/>
    </row>
    <row r="34" spans="1:19" ht="12.75">
      <c r="A34" s="101" t="s">
        <v>186</v>
      </c>
      <c r="B34" s="33">
        <f>202+150</f>
        <v>352</v>
      </c>
      <c r="C34" s="33">
        <f>334+150</f>
        <v>484</v>
      </c>
      <c r="D34" s="33">
        <f>156+150</f>
        <v>306</v>
      </c>
      <c r="E34" s="103">
        <f t="shared" si="2"/>
        <v>836</v>
      </c>
      <c r="F34" s="96">
        <f t="shared" si="3"/>
        <v>0.36602870813397131</v>
      </c>
      <c r="H34" s="229"/>
      <c r="I34" s="193"/>
      <c r="J34" s="193"/>
      <c r="K34" s="194"/>
      <c r="L34" s="74"/>
      <c r="M34" s="229"/>
      <c r="N34" s="193"/>
      <c r="O34" s="194"/>
      <c r="P34" s="98"/>
      <c r="Q34" s="231"/>
      <c r="R34" s="229"/>
      <c r="S34" s="194"/>
    </row>
    <row r="35" spans="1:19" ht="12.75">
      <c r="A35" s="101" t="s">
        <v>187</v>
      </c>
      <c r="B35" s="33">
        <f>160+150</f>
        <v>310</v>
      </c>
      <c r="C35" s="33">
        <f>363+150</f>
        <v>513</v>
      </c>
      <c r="D35" s="33">
        <f>137+150-100</f>
        <v>187</v>
      </c>
      <c r="E35" s="103">
        <f t="shared" si="2"/>
        <v>823</v>
      </c>
      <c r="F35" s="96">
        <f t="shared" si="3"/>
        <v>0.22721749696233293</v>
      </c>
      <c r="H35" s="184"/>
      <c r="I35" s="185"/>
      <c r="J35" s="185"/>
      <c r="K35" s="186"/>
      <c r="L35" s="74"/>
      <c r="M35" s="184"/>
      <c r="N35" s="185"/>
      <c r="O35" s="186"/>
      <c r="P35" s="98"/>
      <c r="Q35" s="232"/>
      <c r="R35" s="184"/>
      <c r="S35" s="186"/>
    </row>
    <row r="36" spans="1:19" ht="12.75">
      <c r="A36" s="107"/>
    </row>
    <row r="37" spans="1:19" ht="12.75">
      <c r="A37" s="218" t="s">
        <v>208</v>
      </c>
      <c r="B37" s="177"/>
      <c r="C37" s="177"/>
      <c r="D37" s="177"/>
      <c r="E37" s="177"/>
      <c r="F37" s="178"/>
      <c r="H37" s="228"/>
      <c r="I37" s="182"/>
      <c r="J37" s="182"/>
      <c r="K37" s="183"/>
      <c r="L37" s="74"/>
      <c r="M37" s="74"/>
      <c r="N37" s="74"/>
      <c r="O37" s="74"/>
    </row>
    <row r="38" spans="1:19" ht="12.75">
      <c r="A38" s="218" t="s">
        <v>209</v>
      </c>
      <c r="B38" s="177"/>
      <c r="C38" s="177"/>
      <c r="D38" s="177"/>
      <c r="E38" s="177"/>
      <c r="F38" s="178"/>
      <c r="H38" s="229"/>
      <c r="I38" s="193"/>
      <c r="J38" s="193"/>
      <c r="K38" s="194"/>
      <c r="L38" s="74"/>
      <c r="M38" s="241" t="s">
        <v>415</v>
      </c>
      <c r="N38" s="182"/>
      <c r="O38" s="183"/>
      <c r="Q38" s="233" t="s">
        <v>203</v>
      </c>
      <c r="R38" s="182"/>
      <c r="S38" s="235" t="s">
        <v>335</v>
      </c>
    </row>
    <row r="39" spans="1:19" ht="12.75">
      <c r="A39" s="4" t="s">
        <v>204</v>
      </c>
      <c r="B39" s="218" t="s">
        <v>169</v>
      </c>
      <c r="C39" s="177"/>
      <c r="D39" s="177"/>
      <c r="E39" s="177"/>
      <c r="F39" s="178"/>
      <c r="H39" s="229"/>
      <c r="I39" s="193"/>
      <c r="J39" s="193"/>
      <c r="K39" s="194"/>
      <c r="L39" s="74"/>
      <c r="M39" s="229"/>
      <c r="N39" s="193"/>
      <c r="O39" s="194"/>
      <c r="Q39" s="229"/>
      <c r="R39" s="193"/>
      <c r="S39" s="231"/>
    </row>
    <row r="40" spans="1:19" ht="38.25">
      <c r="A40" s="99" t="s">
        <v>205</v>
      </c>
      <c r="B40" s="100" t="s">
        <v>171</v>
      </c>
      <c r="C40" s="100" t="s">
        <v>172</v>
      </c>
      <c r="D40" s="100" t="s">
        <v>173</v>
      </c>
      <c r="E40" s="100" t="s">
        <v>174</v>
      </c>
      <c r="F40" s="100" t="s">
        <v>175</v>
      </c>
      <c r="G40" s="107"/>
      <c r="H40" s="229"/>
      <c r="I40" s="193"/>
      <c r="J40" s="193"/>
      <c r="K40" s="194"/>
      <c r="L40" s="74"/>
      <c r="M40" s="229"/>
      <c r="N40" s="193"/>
      <c r="O40" s="194"/>
      <c r="Q40" s="229"/>
      <c r="R40" s="193"/>
      <c r="S40" s="232"/>
    </row>
    <row r="41" spans="1:19" ht="14.25">
      <c r="A41" s="101" t="s">
        <v>181</v>
      </c>
      <c r="B41" s="33">
        <f>954+150</f>
        <v>1104</v>
      </c>
      <c r="C41" s="33">
        <f>192+150</f>
        <v>342</v>
      </c>
      <c r="D41" s="102">
        <f>303+300</f>
        <v>603</v>
      </c>
      <c r="E41" s="103">
        <f t="shared" ref="E41:E47" si="4">B41+C41</f>
        <v>1446</v>
      </c>
      <c r="F41" s="96">
        <f>D41/E41</f>
        <v>0.4170124481327801</v>
      </c>
      <c r="H41" s="229"/>
      <c r="I41" s="193"/>
      <c r="J41" s="193"/>
      <c r="K41" s="194"/>
      <c r="L41" s="74"/>
      <c r="M41" s="229"/>
      <c r="N41" s="193"/>
      <c r="O41" s="194"/>
      <c r="Q41" s="92"/>
      <c r="R41" s="75"/>
      <c r="S41" s="93"/>
    </row>
    <row r="42" spans="1:19" ht="12.75">
      <c r="A42" s="101" t="s">
        <v>182</v>
      </c>
      <c r="B42" s="33">
        <f>540+150</f>
        <v>690</v>
      </c>
      <c r="C42" s="33">
        <f>223+150</f>
        <v>373</v>
      </c>
      <c r="D42" s="33">
        <f>277+150</f>
        <v>427</v>
      </c>
      <c r="E42" s="103">
        <f t="shared" si="4"/>
        <v>1063</v>
      </c>
      <c r="F42" s="96">
        <f t="shared" ref="F42:F47" si="5">D42/E42</f>
        <v>0.40169332079021636</v>
      </c>
      <c r="H42" s="229"/>
      <c r="I42" s="193"/>
      <c r="J42" s="193"/>
      <c r="K42" s="194"/>
      <c r="L42" s="74"/>
      <c r="M42" s="229"/>
      <c r="N42" s="193"/>
      <c r="O42" s="194"/>
      <c r="Q42" s="230" t="s">
        <v>176</v>
      </c>
      <c r="R42" s="236"/>
      <c r="S42" s="183"/>
    </row>
    <row r="43" spans="1:19" ht="12.75">
      <c r="A43" s="101" t="s">
        <v>183</v>
      </c>
      <c r="B43" s="33">
        <f>402+150</f>
        <v>552</v>
      </c>
      <c r="C43" s="33">
        <f>238+150</f>
        <v>388</v>
      </c>
      <c r="D43" s="33">
        <f>262+150</f>
        <v>412</v>
      </c>
      <c r="E43" s="103">
        <f t="shared" si="4"/>
        <v>940</v>
      </c>
      <c r="F43" s="96">
        <f t="shared" si="5"/>
        <v>0.43829787234042555</v>
      </c>
      <c r="H43" s="229"/>
      <c r="I43" s="193"/>
      <c r="J43" s="193"/>
      <c r="K43" s="194"/>
      <c r="L43" s="74"/>
      <c r="M43" s="229"/>
      <c r="N43" s="193"/>
      <c r="O43" s="194"/>
      <c r="Q43" s="231"/>
      <c r="R43" s="229"/>
      <c r="S43" s="194"/>
    </row>
    <row r="44" spans="1:19" ht="12.75">
      <c r="A44" s="101" t="s">
        <v>184</v>
      </c>
      <c r="B44" s="33">
        <f>310+150</f>
        <v>460</v>
      </c>
      <c r="C44" s="33">
        <f>272+150</f>
        <v>422</v>
      </c>
      <c r="D44" s="33">
        <f>228+150</f>
        <v>378</v>
      </c>
      <c r="E44" s="103">
        <f t="shared" si="4"/>
        <v>882</v>
      </c>
      <c r="F44" s="96">
        <f t="shared" si="5"/>
        <v>0.42857142857142855</v>
      </c>
      <c r="H44" s="229"/>
      <c r="I44" s="193"/>
      <c r="J44" s="193"/>
      <c r="K44" s="194"/>
      <c r="L44" s="74"/>
      <c r="M44" s="229"/>
      <c r="N44" s="193"/>
      <c r="O44" s="194"/>
      <c r="Q44" s="231"/>
      <c r="R44" s="229"/>
      <c r="S44" s="194"/>
    </row>
    <row r="45" spans="1:19" ht="12.75">
      <c r="A45" s="101" t="s">
        <v>185</v>
      </c>
      <c r="B45" s="33">
        <f>278+150</f>
        <v>428</v>
      </c>
      <c r="C45" s="33">
        <f>291+150</f>
        <v>441</v>
      </c>
      <c r="D45" s="33">
        <f>209+150</f>
        <v>359</v>
      </c>
      <c r="E45" s="103">
        <f t="shared" si="4"/>
        <v>869</v>
      </c>
      <c r="F45" s="96">
        <f t="shared" si="5"/>
        <v>0.41311852704257768</v>
      </c>
      <c r="H45" s="229"/>
      <c r="I45" s="193"/>
      <c r="J45" s="193"/>
      <c r="K45" s="194"/>
      <c r="L45" s="74"/>
      <c r="M45" s="229"/>
      <c r="N45" s="193"/>
      <c r="O45" s="194"/>
      <c r="P45" s="98"/>
      <c r="Q45" s="231"/>
      <c r="R45" s="229"/>
      <c r="S45" s="194"/>
    </row>
    <row r="46" spans="1:19" ht="12.75">
      <c r="A46" s="101" t="s">
        <v>186</v>
      </c>
      <c r="B46" s="33">
        <f>202+150</f>
        <v>352</v>
      </c>
      <c r="C46" s="33">
        <f>334+150</f>
        <v>484</v>
      </c>
      <c r="D46" s="33">
        <f>156+150</f>
        <v>306</v>
      </c>
      <c r="E46" s="103">
        <f t="shared" si="4"/>
        <v>836</v>
      </c>
      <c r="F46" s="96">
        <f t="shared" si="5"/>
        <v>0.36602870813397131</v>
      </c>
      <c r="H46" s="229"/>
      <c r="I46" s="193"/>
      <c r="J46" s="193"/>
      <c r="K46" s="194"/>
      <c r="L46" s="74"/>
      <c r="M46" s="229"/>
      <c r="N46" s="193"/>
      <c r="O46" s="194"/>
      <c r="P46" s="98"/>
      <c r="Q46" s="231"/>
      <c r="R46" s="229"/>
      <c r="S46" s="194"/>
    </row>
    <row r="47" spans="1:19" ht="12.75">
      <c r="A47" s="101" t="s">
        <v>187</v>
      </c>
      <c r="B47" s="33">
        <f>160+150</f>
        <v>310</v>
      </c>
      <c r="C47" s="33">
        <f>363+150</f>
        <v>513</v>
      </c>
      <c r="D47" s="33">
        <f>137+150</f>
        <v>287</v>
      </c>
      <c r="E47" s="103">
        <f t="shared" si="4"/>
        <v>823</v>
      </c>
      <c r="F47" s="96">
        <f t="shared" si="5"/>
        <v>0.34872417982989062</v>
      </c>
      <c r="H47" s="184"/>
      <c r="I47" s="185"/>
      <c r="J47" s="185"/>
      <c r="K47" s="186"/>
      <c r="L47" s="74"/>
      <c r="M47" s="184"/>
      <c r="N47" s="185"/>
      <c r="O47" s="186"/>
      <c r="P47" s="98"/>
      <c r="Q47" s="232"/>
      <c r="R47" s="184"/>
      <c r="S47" s="186"/>
    </row>
    <row r="48" spans="1:19" ht="12.75">
      <c r="A48" s="107"/>
    </row>
    <row r="49" spans="1:19" ht="12.75">
      <c r="A49" s="107"/>
      <c r="R49" s="83" t="s">
        <v>189</v>
      </c>
      <c r="S49" s="83" t="s">
        <v>190</v>
      </c>
    </row>
    <row r="50" spans="1:19" ht="12.75">
      <c r="A50" s="107"/>
      <c r="P50" s="233" t="s">
        <v>210</v>
      </c>
      <c r="Q50" s="183"/>
      <c r="R50" s="238" t="s">
        <v>382</v>
      </c>
      <c r="S50" s="238" t="s">
        <v>383</v>
      </c>
    </row>
    <row r="51" spans="1:19" ht="12.75">
      <c r="A51" s="107"/>
      <c r="P51" s="229"/>
      <c r="Q51" s="194"/>
      <c r="R51" s="231"/>
      <c r="S51" s="231"/>
    </row>
    <row r="52" spans="1:19" ht="12.75">
      <c r="A52" s="107"/>
      <c r="P52" s="229"/>
      <c r="Q52" s="194"/>
      <c r="R52" s="231"/>
      <c r="S52" s="231"/>
    </row>
    <row r="53" spans="1:19" ht="12.75">
      <c r="A53" s="107"/>
      <c r="P53" s="229"/>
      <c r="Q53" s="194"/>
      <c r="R53" s="231"/>
      <c r="S53" s="231"/>
    </row>
    <row r="54" spans="1:19" ht="12.75">
      <c r="A54" s="107"/>
      <c r="P54" s="229"/>
      <c r="Q54" s="194"/>
      <c r="R54" s="231"/>
      <c r="S54" s="231"/>
    </row>
    <row r="55" spans="1:19" ht="12.75">
      <c r="A55" s="107"/>
      <c r="P55" s="184"/>
      <c r="Q55" s="186"/>
      <c r="R55" s="232"/>
      <c r="S55" s="232"/>
    </row>
    <row r="56" spans="1:19" ht="12.75">
      <c r="A56" s="107"/>
      <c r="Q56" s="75"/>
      <c r="R56" s="75"/>
      <c r="S56" s="75"/>
    </row>
    <row r="57" spans="1:19" ht="12.75">
      <c r="A57" s="107"/>
      <c r="Q57" s="75"/>
      <c r="R57" s="75"/>
      <c r="S57" s="75"/>
    </row>
    <row r="58" spans="1:19" ht="12.75">
      <c r="A58" s="107"/>
      <c r="Q58" s="230" t="s">
        <v>211</v>
      </c>
      <c r="R58" s="236" t="s">
        <v>416</v>
      </c>
      <c r="S58" s="183"/>
    </row>
    <row r="59" spans="1:19" ht="12.75">
      <c r="A59" s="107"/>
      <c r="Q59" s="231"/>
      <c r="R59" s="229"/>
      <c r="S59" s="194"/>
    </row>
    <row r="60" spans="1:19" ht="12.75">
      <c r="A60" s="107"/>
      <c r="Q60" s="231"/>
      <c r="R60" s="229"/>
      <c r="S60" s="194"/>
    </row>
    <row r="61" spans="1:19" ht="12.75">
      <c r="A61" s="107"/>
      <c r="Q61" s="231"/>
      <c r="R61" s="229"/>
      <c r="S61" s="194"/>
    </row>
    <row r="62" spans="1:19" ht="12.75">
      <c r="A62" s="107"/>
      <c r="Q62" s="231"/>
      <c r="R62" s="229"/>
      <c r="S62" s="194"/>
    </row>
    <row r="63" spans="1:19" ht="12.75">
      <c r="A63" s="107"/>
      <c r="Q63" s="232"/>
      <c r="R63" s="184"/>
      <c r="S63" s="186"/>
    </row>
  </sheetData>
  <mergeCells count="43">
    <mergeCell ref="A37:F37"/>
    <mergeCell ref="H37:K47"/>
    <mergeCell ref="A38:F38"/>
    <mergeCell ref="M38:O47"/>
    <mergeCell ref="B39:F39"/>
    <mergeCell ref="A26:F26"/>
    <mergeCell ref="M14:O23"/>
    <mergeCell ref="Q14:R16"/>
    <mergeCell ref="S14:S16"/>
    <mergeCell ref="R18:S23"/>
    <mergeCell ref="M26:O35"/>
    <mergeCell ref="Q26:R28"/>
    <mergeCell ref="S26:S28"/>
    <mergeCell ref="R30:S35"/>
    <mergeCell ref="B27:F27"/>
    <mergeCell ref="H13:K23"/>
    <mergeCell ref="H25:K35"/>
    <mergeCell ref="A6:I6"/>
    <mergeCell ref="A7:I7"/>
    <mergeCell ref="B15:F15"/>
    <mergeCell ref="A25:F25"/>
    <mergeCell ref="A14:F14"/>
    <mergeCell ref="A8:I8"/>
    <mergeCell ref="A9:I9"/>
    <mergeCell ref="A10:I10"/>
    <mergeCell ref="A11:I11"/>
    <mergeCell ref="A13:F13"/>
    <mergeCell ref="A1:S1"/>
    <mergeCell ref="A2:I2"/>
    <mergeCell ref="A3:I3"/>
    <mergeCell ref="A4:I4"/>
    <mergeCell ref="A5:I5"/>
    <mergeCell ref="R50:R55"/>
    <mergeCell ref="S50:S55"/>
    <mergeCell ref="Q58:Q63"/>
    <mergeCell ref="R58:S63"/>
    <mergeCell ref="Q18:Q23"/>
    <mergeCell ref="Q30:Q35"/>
    <mergeCell ref="Q38:R40"/>
    <mergeCell ref="S38:S40"/>
    <mergeCell ref="Q42:Q47"/>
    <mergeCell ref="R42:S47"/>
    <mergeCell ref="P50:Q5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62"/>
  <sheetViews>
    <sheetView showGridLines="0" topLeftCell="L44" workbookViewId="0">
      <selection activeCell="T57" sqref="T57"/>
    </sheetView>
  </sheetViews>
  <sheetFormatPr defaultColWidth="12.5703125" defaultRowHeight="15.75" customHeight="1"/>
  <cols>
    <col min="2" max="2" width="10.140625" customWidth="1"/>
    <col min="3" max="3" width="15.28515625" customWidth="1"/>
    <col min="4" max="4" width="15.7109375" customWidth="1"/>
    <col min="5" max="5" width="7.85546875" customWidth="1"/>
    <col min="6" max="6" width="10" customWidth="1"/>
    <col min="19" max="19" width="23.5703125" customWidth="1"/>
  </cols>
  <sheetData>
    <row r="1" spans="1:19" ht="15.75" customHeight="1">
      <c r="A1" s="213" t="s">
        <v>19</v>
      </c>
      <c r="B1" s="177"/>
      <c r="C1" s="177"/>
      <c r="D1" s="177"/>
      <c r="E1" s="177"/>
      <c r="F1" s="177"/>
      <c r="G1" s="177"/>
      <c r="H1" s="177"/>
      <c r="I1" s="177"/>
      <c r="J1" s="177"/>
      <c r="K1" s="177"/>
      <c r="L1" s="177"/>
      <c r="M1" s="177"/>
      <c r="N1" s="177"/>
      <c r="O1" s="177"/>
      <c r="P1" s="177"/>
      <c r="Q1" s="177"/>
      <c r="R1" s="177"/>
      <c r="S1" s="178"/>
    </row>
    <row r="2" spans="1:19" ht="12.75">
      <c r="A2" s="206" t="s">
        <v>212</v>
      </c>
      <c r="B2" s="177"/>
      <c r="C2" s="177"/>
      <c r="D2" s="177"/>
      <c r="E2" s="177"/>
      <c r="F2" s="177"/>
      <c r="G2" s="177"/>
      <c r="H2" s="177"/>
      <c r="I2" s="177"/>
      <c r="J2" s="178"/>
      <c r="K2" s="73"/>
      <c r="L2" s="73"/>
      <c r="M2" s="73"/>
      <c r="N2" s="73"/>
      <c r="O2" s="73"/>
      <c r="P2" s="74"/>
      <c r="R2" s="75"/>
      <c r="S2" s="75"/>
    </row>
    <row r="3" spans="1:19" ht="12.75">
      <c r="A3" s="207" t="s">
        <v>213</v>
      </c>
      <c r="B3" s="177"/>
      <c r="C3" s="177"/>
      <c r="D3" s="177"/>
      <c r="E3" s="177"/>
      <c r="F3" s="177"/>
      <c r="G3" s="177"/>
      <c r="H3" s="177"/>
      <c r="I3" s="177"/>
      <c r="J3" s="178"/>
      <c r="K3" s="73"/>
      <c r="L3" s="73"/>
      <c r="M3" s="73"/>
      <c r="N3" s="73"/>
      <c r="O3" s="73"/>
      <c r="P3" s="74"/>
      <c r="R3" s="75"/>
      <c r="S3" s="75"/>
    </row>
    <row r="4" spans="1:19" ht="12.75">
      <c r="A4" s="188" t="s">
        <v>214</v>
      </c>
      <c r="B4" s="185"/>
      <c r="C4" s="185"/>
      <c r="D4" s="185"/>
      <c r="E4" s="185"/>
      <c r="F4" s="185"/>
      <c r="G4" s="185"/>
      <c r="H4" s="185"/>
      <c r="I4" s="185"/>
      <c r="J4" s="186"/>
      <c r="K4" s="73"/>
      <c r="L4" s="73"/>
      <c r="M4" s="73"/>
      <c r="N4" s="73"/>
      <c r="O4" s="73"/>
      <c r="P4" s="74"/>
      <c r="R4" s="75"/>
      <c r="S4" s="75"/>
    </row>
    <row r="5" spans="1:19" ht="12.75">
      <c r="A5" s="206" t="s">
        <v>215</v>
      </c>
      <c r="B5" s="177"/>
      <c r="C5" s="177"/>
      <c r="D5" s="177"/>
      <c r="E5" s="177"/>
      <c r="F5" s="177"/>
      <c r="G5" s="177"/>
      <c r="H5" s="177"/>
      <c r="I5" s="177"/>
      <c r="J5" s="178"/>
      <c r="K5" s="73"/>
      <c r="L5" s="73"/>
      <c r="M5" s="73"/>
      <c r="N5" s="73"/>
      <c r="O5" s="73"/>
      <c r="P5" s="74"/>
      <c r="R5" s="75"/>
      <c r="S5" s="75"/>
    </row>
    <row r="6" spans="1:19" ht="12.75">
      <c r="A6" s="239" t="s">
        <v>216</v>
      </c>
      <c r="B6" s="177"/>
      <c r="C6" s="177"/>
      <c r="D6" s="177"/>
      <c r="E6" s="177"/>
      <c r="F6" s="177"/>
      <c r="G6" s="177"/>
      <c r="H6" s="177"/>
      <c r="I6" s="177"/>
      <c r="J6" s="178"/>
      <c r="K6" s="76"/>
      <c r="L6" s="76"/>
      <c r="M6" s="76"/>
      <c r="N6" s="76"/>
      <c r="O6" s="76"/>
      <c r="P6" s="74"/>
      <c r="R6" s="75"/>
      <c r="S6" s="75"/>
    </row>
    <row r="7" spans="1:19" ht="12.75">
      <c r="A7" s="239" t="s">
        <v>217</v>
      </c>
      <c r="B7" s="177"/>
      <c r="C7" s="177"/>
      <c r="D7" s="177"/>
      <c r="E7" s="177"/>
      <c r="F7" s="177"/>
      <c r="G7" s="177"/>
      <c r="H7" s="177"/>
      <c r="I7" s="177"/>
      <c r="J7" s="178"/>
      <c r="K7" s="76"/>
      <c r="L7" s="76"/>
      <c r="M7" s="76"/>
      <c r="N7" s="76"/>
      <c r="O7" s="76"/>
      <c r="P7" s="74"/>
      <c r="R7" s="75"/>
      <c r="S7" s="75"/>
    </row>
    <row r="8" spans="1:19" ht="12.75">
      <c r="A8" s="239" t="s">
        <v>218</v>
      </c>
      <c r="B8" s="177"/>
      <c r="C8" s="177"/>
      <c r="D8" s="177"/>
      <c r="E8" s="177"/>
      <c r="F8" s="177"/>
      <c r="G8" s="177"/>
      <c r="H8" s="177"/>
      <c r="I8" s="177"/>
      <c r="J8" s="178"/>
      <c r="K8" s="76"/>
      <c r="L8" s="76"/>
      <c r="M8" s="76"/>
      <c r="N8" s="76"/>
      <c r="O8" s="76"/>
      <c r="P8" s="74"/>
      <c r="R8" s="75"/>
      <c r="S8" s="75"/>
    </row>
    <row r="9" spans="1:19" ht="12.75">
      <c r="A9" s="239" t="s">
        <v>219</v>
      </c>
      <c r="B9" s="177"/>
      <c r="C9" s="177"/>
      <c r="D9" s="177"/>
      <c r="E9" s="177"/>
      <c r="F9" s="177"/>
      <c r="G9" s="177"/>
      <c r="H9" s="177"/>
      <c r="I9" s="177"/>
      <c r="J9" s="178"/>
      <c r="K9" s="76"/>
      <c r="L9" s="76"/>
      <c r="M9" s="76"/>
      <c r="N9" s="76"/>
      <c r="O9" s="76"/>
      <c r="P9" s="74"/>
      <c r="R9" s="75"/>
      <c r="S9" s="75"/>
    </row>
    <row r="10" spans="1:19" ht="12.75">
      <c r="A10" s="239" t="s">
        <v>220</v>
      </c>
      <c r="B10" s="177"/>
      <c r="C10" s="177"/>
      <c r="D10" s="177"/>
      <c r="E10" s="177"/>
      <c r="F10" s="177"/>
      <c r="G10" s="177"/>
      <c r="H10" s="177"/>
      <c r="I10" s="177"/>
      <c r="J10" s="178"/>
      <c r="K10" s="76"/>
      <c r="L10" s="76"/>
      <c r="M10" s="76"/>
      <c r="N10" s="76"/>
      <c r="O10" s="76"/>
      <c r="P10" s="74"/>
    </row>
    <row r="11" spans="1:19" ht="12.75">
      <c r="A11" s="222" t="s">
        <v>37</v>
      </c>
      <c r="B11" s="193"/>
      <c r="C11" s="193"/>
      <c r="D11" s="193"/>
      <c r="E11" s="193"/>
      <c r="F11" s="193"/>
      <c r="G11" s="193"/>
      <c r="H11" s="193"/>
      <c r="I11" s="193"/>
      <c r="J11" s="81"/>
      <c r="K11" s="81"/>
      <c r="L11" s="81"/>
      <c r="M11" s="81"/>
      <c r="N11" s="81"/>
      <c r="O11" s="81"/>
      <c r="P11" s="74"/>
      <c r="R11" s="75"/>
      <c r="S11" s="75"/>
    </row>
    <row r="12" spans="1:19" ht="12.75">
      <c r="A12" s="218" t="s">
        <v>221</v>
      </c>
      <c r="B12" s="177"/>
      <c r="C12" s="177"/>
      <c r="D12" s="177"/>
      <c r="E12" s="177"/>
      <c r="F12" s="178"/>
      <c r="H12" s="242"/>
      <c r="I12" s="182"/>
      <c r="J12" s="182"/>
      <c r="K12" s="183"/>
      <c r="L12" s="74"/>
      <c r="M12" s="74"/>
      <c r="N12" s="74"/>
      <c r="O12" s="74"/>
    </row>
    <row r="13" spans="1:19" ht="12.75">
      <c r="A13" s="218" t="s">
        <v>222</v>
      </c>
      <c r="B13" s="177"/>
      <c r="C13" s="177"/>
      <c r="D13" s="177"/>
      <c r="E13" s="177"/>
      <c r="F13" s="178"/>
      <c r="H13" s="229"/>
      <c r="I13" s="193"/>
      <c r="J13" s="193"/>
      <c r="K13" s="194"/>
      <c r="L13" s="74"/>
      <c r="M13" s="234" t="s">
        <v>417</v>
      </c>
      <c r="N13" s="182"/>
      <c r="O13" s="183"/>
      <c r="Q13" s="233" t="s">
        <v>223</v>
      </c>
      <c r="R13" s="183"/>
      <c r="S13" s="240" t="s">
        <v>335</v>
      </c>
    </row>
    <row r="14" spans="1:19" ht="12.75">
      <c r="A14" s="4" t="s">
        <v>204</v>
      </c>
      <c r="B14" s="218" t="s">
        <v>169</v>
      </c>
      <c r="C14" s="177"/>
      <c r="D14" s="177"/>
      <c r="E14" s="177"/>
      <c r="F14" s="178"/>
      <c r="H14" s="229"/>
      <c r="I14" s="193"/>
      <c r="J14" s="193"/>
      <c r="K14" s="194"/>
      <c r="L14" s="74"/>
      <c r="M14" s="229"/>
      <c r="N14" s="193"/>
      <c r="O14" s="194"/>
      <c r="Q14" s="229"/>
      <c r="R14" s="194"/>
      <c r="S14" s="231"/>
    </row>
    <row r="15" spans="1:19" ht="38.25">
      <c r="A15" s="99" t="s">
        <v>205</v>
      </c>
      <c r="B15" s="100" t="s">
        <v>171</v>
      </c>
      <c r="C15" s="100" t="s">
        <v>172</v>
      </c>
      <c r="D15" s="100" t="s">
        <v>173</v>
      </c>
      <c r="E15" s="100" t="s">
        <v>174</v>
      </c>
      <c r="F15" s="100" t="s">
        <v>175</v>
      </c>
      <c r="G15" s="107"/>
      <c r="H15" s="229"/>
      <c r="I15" s="193"/>
      <c r="J15" s="193"/>
      <c r="K15" s="194"/>
      <c r="L15" s="74"/>
      <c r="M15" s="229"/>
      <c r="N15" s="193"/>
      <c r="O15" s="194"/>
      <c r="Q15" s="184"/>
      <c r="R15" s="186"/>
      <c r="S15" s="232"/>
    </row>
    <row r="16" spans="1:19" ht="14.25">
      <c r="A16" s="101" t="s">
        <v>181</v>
      </c>
      <c r="B16" s="33">
        <f>954+150+100</f>
        <v>1204</v>
      </c>
      <c r="C16" s="33">
        <f>192+150</f>
        <v>342</v>
      </c>
      <c r="D16" s="102">
        <f>303+300</f>
        <v>603</v>
      </c>
      <c r="E16" s="103">
        <f t="shared" ref="E16:E22" si="0">B16+C16</f>
        <v>1546</v>
      </c>
      <c r="F16" s="90">
        <v>0.39</v>
      </c>
      <c r="H16" s="229"/>
      <c r="I16" s="193"/>
      <c r="J16" s="193"/>
      <c r="K16" s="194"/>
      <c r="L16" s="74"/>
      <c r="M16" s="229"/>
      <c r="N16" s="193"/>
      <c r="O16" s="194"/>
      <c r="Q16" s="92"/>
      <c r="R16" s="75"/>
      <c r="S16" s="93"/>
    </row>
    <row r="17" spans="1:19" ht="12.75">
      <c r="A17" s="101" t="s">
        <v>182</v>
      </c>
      <c r="B17" s="33">
        <f>540+150+100</f>
        <v>790</v>
      </c>
      <c r="C17" s="33">
        <f>223+150</f>
        <v>373</v>
      </c>
      <c r="D17" s="33">
        <f>277+150</f>
        <v>427</v>
      </c>
      <c r="E17" s="103">
        <f t="shared" si="0"/>
        <v>1163</v>
      </c>
      <c r="F17" s="96">
        <f>D17/E17</f>
        <v>0.36715391229578676</v>
      </c>
      <c r="H17" s="229"/>
      <c r="I17" s="193"/>
      <c r="J17" s="193"/>
      <c r="K17" s="194"/>
      <c r="L17" s="74"/>
      <c r="M17" s="229"/>
      <c r="N17" s="193"/>
      <c r="O17" s="194"/>
      <c r="Q17" s="230" t="s">
        <v>176</v>
      </c>
      <c r="R17" s="236" t="s">
        <v>418</v>
      </c>
      <c r="S17" s="183"/>
    </row>
    <row r="18" spans="1:19" ht="12.75">
      <c r="A18" s="101" t="s">
        <v>183</v>
      </c>
      <c r="B18" s="33">
        <f>402+150+100</f>
        <v>652</v>
      </c>
      <c r="C18" s="33">
        <f>238+150</f>
        <v>388</v>
      </c>
      <c r="D18" s="33">
        <f>262+150</f>
        <v>412</v>
      </c>
      <c r="E18" s="103">
        <f t="shared" si="0"/>
        <v>1040</v>
      </c>
      <c r="F18" s="96">
        <f t="shared" ref="F18:F22" si="1">D18/E18</f>
        <v>0.39615384615384613</v>
      </c>
      <c r="H18" s="229"/>
      <c r="I18" s="193"/>
      <c r="J18" s="193"/>
      <c r="K18" s="194"/>
      <c r="L18" s="74"/>
      <c r="M18" s="229"/>
      <c r="N18" s="193"/>
      <c r="O18" s="194"/>
      <c r="Q18" s="231"/>
      <c r="R18" s="229"/>
      <c r="S18" s="194"/>
    </row>
    <row r="19" spans="1:19" ht="12.75">
      <c r="A19" s="101" t="s">
        <v>184</v>
      </c>
      <c r="B19" s="33">
        <f>310+150+100</f>
        <v>560</v>
      </c>
      <c r="C19" s="33">
        <f>272+150</f>
        <v>422</v>
      </c>
      <c r="D19" s="33">
        <f>228+150</f>
        <v>378</v>
      </c>
      <c r="E19" s="103">
        <f t="shared" si="0"/>
        <v>982</v>
      </c>
      <c r="F19" s="96">
        <f t="shared" si="1"/>
        <v>0.38492871690427699</v>
      </c>
      <c r="H19" s="229"/>
      <c r="I19" s="193"/>
      <c r="J19" s="193"/>
      <c r="K19" s="194"/>
      <c r="L19" s="74"/>
      <c r="M19" s="229"/>
      <c r="N19" s="193"/>
      <c r="O19" s="194"/>
      <c r="Q19" s="231"/>
      <c r="R19" s="229"/>
      <c r="S19" s="194"/>
    </row>
    <row r="20" spans="1:19" ht="12.75">
      <c r="A20" s="101" t="s">
        <v>185</v>
      </c>
      <c r="B20" s="33">
        <f>278+150+100</f>
        <v>528</v>
      </c>
      <c r="C20" s="33">
        <f>291+150</f>
        <v>441</v>
      </c>
      <c r="D20" s="33">
        <f>209+150</f>
        <v>359</v>
      </c>
      <c r="E20" s="103">
        <f t="shared" si="0"/>
        <v>969</v>
      </c>
      <c r="F20" s="96">
        <f t="shared" si="1"/>
        <v>0.37048503611971106</v>
      </c>
      <c r="H20" s="229"/>
      <c r="I20" s="193"/>
      <c r="J20" s="193"/>
      <c r="K20" s="194"/>
      <c r="L20" s="74"/>
      <c r="M20" s="229"/>
      <c r="N20" s="193"/>
      <c r="O20" s="194"/>
      <c r="P20" s="98"/>
      <c r="Q20" s="231"/>
      <c r="R20" s="229"/>
      <c r="S20" s="194"/>
    </row>
    <row r="21" spans="1:19" ht="12.75">
      <c r="A21" s="101" t="s">
        <v>186</v>
      </c>
      <c r="B21" s="33">
        <f>202+150+100</f>
        <v>452</v>
      </c>
      <c r="C21" s="33">
        <f>334+150</f>
        <v>484</v>
      </c>
      <c r="D21" s="33">
        <f>156+150</f>
        <v>306</v>
      </c>
      <c r="E21" s="103">
        <f t="shared" si="0"/>
        <v>936</v>
      </c>
      <c r="F21" s="96">
        <f t="shared" si="1"/>
        <v>0.32692307692307693</v>
      </c>
      <c r="H21" s="229"/>
      <c r="I21" s="193"/>
      <c r="J21" s="193"/>
      <c r="K21" s="194"/>
      <c r="L21" s="74"/>
      <c r="M21" s="229"/>
      <c r="N21" s="193"/>
      <c r="O21" s="194"/>
      <c r="P21" s="98"/>
      <c r="Q21" s="231"/>
      <c r="R21" s="229"/>
      <c r="S21" s="194"/>
    </row>
    <row r="22" spans="1:19" ht="12.75">
      <c r="A22" s="101" t="s">
        <v>187</v>
      </c>
      <c r="B22" s="33">
        <f>160+150+100</f>
        <v>410</v>
      </c>
      <c r="C22" s="33">
        <f>363+150</f>
        <v>513</v>
      </c>
      <c r="D22" s="33">
        <f>137+150</f>
        <v>287</v>
      </c>
      <c r="E22" s="103">
        <f t="shared" si="0"/>
        <v>923</v>
      </c>
      <c r="F22" s="96">
        <f t="shared" si="1"/>
        <v>0.31094257854821233</v>
      </c>
      <c r="H22" s="184"/>
      <c r="I22" s="185"/>
      <c r="J22" s="185"/>
      <c r="K22" s="186"/>
      <c r="L22" s="74"/>
      <c r="M22" s="184"/>
      <c r="N22" s="185"/>
      <c r="O22" s="186"/>
      <c r="P22" s="98"/>
      <c r="Q22" s="232"/>
      <c r="R22" s="184"/>
      <c r="S22" s="186"/>
    </row>
    <row r="23" spans="1:19" ht="12.75">
      <c r="A23" s="107"/>
      <c r="C23" s="97"/>
    </row>
    <row r="24" spans="1:19" ht="12.75">
      <c r="A24" s="218" t="s">
        <v>224</v>
      </c>
      <c r="B24" s="177"/>
      <c r="C24" s="177"/>
      <c r="D24" s="177"/>
      <c r="E24" s="177"/>
      <c r="F24" s="178"/>
      <c r="H24" s="242"/>
      <c r="I24" s="182"/>
      <c r="J24" s="182"/>
      <c r="K24" s="183"/>
      <c r="L24" s="74"/>
      <c r="M24" s="74"/>
      <c r="N24" s="74"/>
      <c r="O24" s="74"/>
    </row>
    <row r="25" spans="1:19" ht="12.75">
      <c r="A25" s="218" t="s">
        <v>225</v>
      </c>
      <c r="B25" s="177"/>
      <c r="C25" s="177"/>
      <c r="D25" s="177"/>
      <c r="E25" s="177"/>
      <c r="F25" s="178"/>
      <c r="H25" s="229"/>
      <c r="I25" s="193"/>
      <c r="J25" s="193"/>
      <c r="K25" s="194"/>
      <c r="L25" s="74"/>
      <c r="M25" s="234" t="s">
        <v>419</v>
      </c>
      <c r="N25" s="182"/>
      <c r="O25" s="183"/>
      <c r="Q25" s="233" t="s">
        <v>223</v>
      </c>
      <c r="R25" s="183"/>
      <c r="S25" s="240" t="s">
        <v>420</v>
      </c>
    </row>
    <row r="26" spans="1:19" ht="12.75">
      <c r="A26" s="4" t="s">
        <v>204</v>
      </c>
      <c r="B26" s="218" t="s">
        <v>169</v>
      </c>
      <c r="C26" s="177"/>
      <c r="D26" s="177"/>
      <c r="E26" s="177"/>
      <c r="F26" s="178"/>
      <c r="H26" s="229"/>
      <c r="I26" s="193"/>
      <c r="J26" s="193"/>
      <c r="K26" s="194"/>
      <c r="L26" s="74"/>
      <c r="M26" s="229"/>
      <c r="N26" s="193"/>
      <c r="O26" s="194"/>
      <c r="Q26" s="229"/>
      <c r="R26" s="194"/>
      <c r="S26" s="231"/>
    </row>
    <row r="27" spans="1:19" ht="38.25">
      <c r="A27" s="99" t="s">
        <v>205</v>
      </c>
      <c r="B27" s="100" t="s">
        <v>171</v>
      </c>
      <c r="C27" s="100" t="s">
        <v>172</v>
      </c>
      <c r="D27" s="100" t="s">
        <v>173</v>
      </c>
      <c r="E27" s="100" t="s">
        <v>174</v>
      </c>
      <c r="F27" s="100" t="s">
        <v>175</v>
      </c>
      <c r="G27" s="107"/>
      <c r="H27" s="229"/>
      <c r="I27" s="193"/>
      <c r="J27" s="193"/>
      <c r="K27" s="194"/>
      <c r="L27" s="74"/>
      <c r="M27" s="229"/>
      <c r="N27" s="193"/>
      <c r="O27" s="194"/>
      <c r="Q27" s="184"/>
      <c r="R27" s="186"/>
      <c r="S27" s="232"/>
    </row>
    <row r="28" spans="1:19" ht="14.25">
      <c r="A28" s="101" t="s">
        <v>181</v>
      </c>
      <c r="B28" s="33">
        <f>954+150+100</f>
        <v>1204</v>
      </c>
      <c r="C28" s="33">
        <v>200</v>
      </c>
      <c r="D28" s="102">
        <v>800</v>
      </c>
      <c r="E28" s="103">
        <f t="shared" ref="E28:E34" si="2">B28+C28</f>
        <v>1404</v>
      </c>
      <c r="F28" s="96">
        <f>D28/E28</f>
        <v>0.56980056980056981</v>
      </c>
      <c r="H28" s="229"/>
      <c r="I28" s="193"/>
      <c r="J28" s="193"/>
      <c r="K28" s="194"/>
      <c r="L28" s="74"/>
      <c r="M28" s="229"/>
      <c r="N28" s="193"/>
      <c r="O28" s="194"/>
      <c r="Q28" s="92"/>
      <c r="R28" s="75"/>
      <c r="S28" s="93"/>
    </row>
    <row r="29" spans="1:19" ht="12.75">
      <c r="A29" s="101" t="s">
        <v>182</v>
      </c>
      <c r="B29" s="33">
        <f>540+150+100</f>
        <v>790</v>
      </c>
      <c r="C29" s="33">
        <f>223+150</f>
        <v>373</v>
      </c>
      <c r="D29" s="33">
        <f>277+150+200</f>
        <v>627</v>
      </c>
      <c r="E29" s="103">
        <f t="shared" si="2"/>
        <v>1163</v>
      </c>
      <c r="F29" s="96">
        <f t="shared" ref="F29:F34" si="3">D29/E29</f>
        <v>0.5391229578675838</v>
      </c>
      <c r="H29" s="229"/>
      <c r="I29" s="193"/>
      <c r="J29" s="193"/>
      <c r="K29" s="194"/>
      <c r="L29" s="74"/>
      <c r="M29" s="229"/>
      <c r="N29" s="193"/>
      <c r="O29" s="194"/>
      <c r="Q29" s="230" t="s">
        <v>176</v>
      </c>
      <c r="R29" s="236" t="s">
        <v>421</v>
      </c>
      <c r="S29" s="183"/>
    </row>
    <row r="30" spans="1:19" ht="12.75">
      <c r="A30" s="101" t="s">
        <v>183</v>
      </c>
      <c r="B30" s="33">
        <v>620</v>
      </c>
      <c r="C30" s="33">
        <f>238+150</f>
        <v>388</v>
      </c>
      <c r="D30" s="33">
        <f>262+150+120</f>
        <v>532</v>
      </c>
      <c r="E30" s="103">
        <f t="shared" si="2"/>
        <v>1008</v>
      </c>
      <c r="F30" s="96">
        <f t="shared" si="3"/>
        <v>0.52777777777777779</v>
      </c>
      <c r="H30" s="229"/>
      <c r="I30" s="193"/>
      <c r="J30" s="193"/>
      <c r="K30" s="194"/>
      <c r="L30" s="74"/>
      <c r="M30" s="229"/>
      <c r="N30" s="193"/>
      <c r="O30" s="194"/>
      <c r="Q30" s="231"/>
      <c r="R30" s="229"/>
      <c r="S30" s="194"/>
    </row>
    <row r="31" spans="1:19" ht="12.75">
      <c r="A31" s="101" t="s">
        <v>184</v>
      </c>
      <c r="B31" s="33">
        <v>510</v>
      </c>
      <c r="C31" s="33">
        <f>272+150-50</f>
        <v>372</v>
      </c>
      <c r="D31" s="33">
        <f>228+150+80</f>
        <v>458</v>
      </c>
      <c r="E31" s="103">
        <f t="shared" si="2"/>
        <v>882</v>
      </c>
      <c r="F31" s="96">
        <f t="shared" si="3"/>
        <v>0.51927437641723351</v>
      </c>
      <c r="H31" s="229"/>
      <c r="I31" s="193"/>
      <c r="J31" s="193"/>
      <c r="K31" s="194"/>
      <c r="L31" s="74"/>
      <c r="M31" s="229"/>
      <c r="N31" s="193"/>
      <c r="O31" s="194"/>
      <c r="Q31" s="231"/>
      <c r="R31" s="229"/>
      <c r="S31" s="194"/>
    </row>
    <row r="32" spans="1:19" ht="12.75">
      <c r="A32" s="101" t="s">
        <v>185</v>
      </c>
      <c r="B32" s="33">
        <v>272</v>
      </c>
      <c r="C32" s="33">
        <f>291+150</f>
        <v>441</v>
      </c>
      <c r="D32" s="33">
        <f>209+150</f>
        <v>359</v>
      </c>
      <c r="E32" s="103">
        <f t="shared" si="2"/>
        <v>713</v>
      </c>
      <c r="F32" s="96">
        <f t="shared" si="3"/>
        <v>0.50350631136044877</v>
      </c>
      <c r="H32" s="229"/>
      <c r="I32" s="193"/>
      <c r="J32" s="193"/>
      <c r="K32" s="194"/>
      <c r="L32" s="74"/>
      <c r="M32" s="229"/>
      <c r="N32" s="193"/>
      <c r="O32" s="194"/>
      <c r="P32" s="98"/>
      <c r="Q32" s="231"/>
      <c r="R32" s="229"/>
      <c r="S32" s="194"/>
    </row>
    <row r="33" spans="1:19" ht="12.75">
      <c r="A33" s="101" t="s">
        <v>186</v>
      </c>
      <c r="B33" s="33">
        <v>135</v>
      </c>
      <c r="C33" s="33">
        <f>334+150</f>
        <v>484</v>
      </c>
      <c r="D33" s="33">
        <f>156+150</f>
        <v>306</v>
      </c>
      <c r="E33" s="103">
        <f t="shared" si="2"/>
        <v>619</v>
      </c>
      <c r="F33" s="96">
        <f t="shared" si="3"/>
        <v>0.49434571890145396</v>
      </c>
      <c r="H33" s="229"/>
      <c r="I33" s="193"/>
      <c r="J33" s="193"/>
      <c r="K33" s="194"/>
      <c r="L33" s="74"/>
      <c r="M33" s="229"/>
      <c r="N33" s="193"/>
      <c r="O33" s="194"/>
      <c r="P33" s="98"/>
      <c r="Q33" s="231"/>
      <c r="R33" s="229"/>
      <c r="S33" s="194"/>
    </row>
    <row r="34" spans="1:19" ht="12.75">
      <c r="A34" s="101" t="s">
        <v>187</v>
      </c>
      <c r="B34" s="33">
        <v>50</v>
      </c>
      <c r="C34" s="33">
        <v>590</v>
      </c>
      <c r="D34" s="33">
        <v>300</v>
      </c>
      <c r="E34" s="103">
        <f t="shared" si="2"/>
        <v>640</v>
      </c>
      <c r="F34" s="96">
        <f t="shared" si="3"/>
        <v>0.46875</v>
      </c>
      <c r="H34" s="184"/>
      <c r="I34" s="185"/>
      <c r="J34" s="185"/>
      <c r="K34" s="186"/>
      <c r="L34" s="74"/>
      <c r="M34" s="184"/>
      <c r="N34" s="185"/>
      <c r="O34" s="186"/>
      <c r="P34" s="98"/>
      <c r="Q34" s="232"/>
      <c r="R34" s="184"/>
      <c r="S34" s="186"/>
    </row>
    <row r="35" spans="1:19" ht="12.75">
      <c r="A35" s="107"/>
    </row>
    <row r="36" spans="1:19" ht="12.75">
      <c r="A36" s="218" t="s">
        <v>378</v>
      </c>
      <c r="B36" s="177"/>
      <c r="C36" s="177"/>
      <c r="D36" s="177"/>
      <c r="E36" s="177"/>
      <c r="F36" s="178"/>
      <c r="H36" s="242"/>
      <c r="I36" s="182"/>
      <c r="J36" s="182"/>
      <c r="K36" s="183"/>
      <c r="L36" s="74"/>
      <c r="M36" s="74"/>
      <c r="N36" s="74"/>
      <c r="O36" s="74"/>
    </row>
    <row r="37" spans="1:19" ht="12.75">
      <c r="A37" s="218" t="s">
        <v>380</v>
      </c>
      <c r="B37" s="177"/>
      <c r="C37" s="177"/>
      <c r="D37" s="177"/>
      <c r="E37" s="177"/>
      <c r="F37" s="178"/>
      <c r="H37" s="229"/>
      <c r="I37" s="193"/>
      <c r="J37" s="193"/>
      <c r="K37" s="194"/>
      <c r="L37" s="74"/>
      <c r="M37" s="234" t="s">
        <v>347</v>
      </c>
      <c r="N37" s="182"/>
      <c r="O37" s="183"/>
      <c r="Q37" s="233" t="s">
        <v>223</v>
      </c>
      <c r="R37" s="183"/>
      <c r="S37" s="240" t="s">
        <v>422</v>
      </c>
    </row>
    <row r="38" spans="1:19" ht="12.75">
      <c r="A38" s="4" t="s">
        <v>204</v>
      </c>
      <c r="B38" s="218" t="s">
        <v>169</v>
      </c>
      <c r="C38" s="177"/>
      <c r="D38" s="177"/>
      <c r="E38" s="177"/>
      <c r="F38" s="178"/>
      <c r="H38" s="229"/>
      <c r="I38" s="193"/>
      <c r="J38" s="193"/>
      <c r="K38" s="194"/>
      <c r="L38" s="74"/>
      <c r="M38" s="229"/>
      <c r="N38" s="193"/>
      <c r="O38" s="194"/>
      <c r="Q38" s="229"/>
      <c r="R38" s="194"/>
      <c r="S38" s="231"/>
    </row>
    <row r="39" spans="1:19" ht="38.25">
      <c r="A39" s="99" t="s">
        <v>226</v>
      </c>
      <c r="B39" s="100" t="s">
        <v>171</v>
      </c>
      <c r="C39" s="100" t="s">
        <v>172</v>
      </c>
      <c r="D39" s="100" t="s">
        <v>173</v>
      </c>
      <c r="E39" s="100" t="s">
        <v>174</v>
      </c>
      <c r="F39" s="100" t="s">
        <v>175</v>
      </c>
      <c r="G39" s="107"/>
      <c r="H39" s="229"/>
      <c r="I39" s="193"/>
      <c r="J39" s="193"/>
      <c r="K39" s="194"/>
      <c r="L39" s="74"/>
      <c r="M39" s="229"/>
      <c r="N39" s="193"/>
      <c r="O39" s="194"/>
      <c r="Q39" s="184"/>
      <c r="R39" s="186"/>
      <c r="S39" s="232"/>
    </row>
    <row r="40" spans="1:19" ht="14.25">
      <c r="A40" s="101" t="s">
        <v>181</v>
      </c>
      <c r="B40" s="33">
        <f>954-750+100</f>
        <v>304</v>
      </c>
      <c r="C40" s="33">
        <f>192+150</f>
        <v>342</v>
      </c>
      <c r="D40" s="102">
        <f>303+150</f>
        <v>453</v>
      </c>
      <c r="E40" s="103">
        <f t="shared" ref="E40:E46" si="4">B40+C40</f>
        <v>646</v>
      </c>
      <c r="F40" s="96">
        <f>D40/E40</f>
        <v>0.70123839009287925</v>
      </c>
      <c r="H40" s="229"/>
      <c r="I40" s="193"/>
      <c r="J40" s="193"/>
      <c r="K40" s="194"/>
      <c r="L40" s="74"/>
      <c r="M40" s="229"/>
      <c r="N40" s="193"/>
      <c r="O40" s="194"/>
      <c r="Q40" s="92"/>
      <c r="R40" s="75"/>
      <c r="S40" s="93"/>
    </row>
    <row r="41" spans="1:19" ht="12.75">
      <c r="A41" s="101" t="s">
        <v>182</v>
      </c>
      <c r="B41" s="33">
        <f>540-370+100</f>
        <v>270</v>
      </c>
      <c r="C41" s="33">
        <v>360</v>
      </c>
      <c r="D41" s="33">
        <f>277+150</f>
        <v>427</v>
      </c>
      <c r="E41" s="103">
        <f t="shared" si="4"/>
        <v>630</v>
      </c>
      <c r="F41" s="96">
        <f t="shared" ref="F41:F46" si="5">D41/E41</f>
        <v>0.67777777777777781</v>
      </c>
      <c r="H41" s="229"/>
      <c r="I41" s="193"/>
      <c r="J41" s="193"/>
      <c r="K41" s="194"/>
      <c r="L41" s="74"/>
      <c r="M41" s="229"/>
      <c r="N41" s="193"/>
      <c r="O41" s="194"/>
      <c r="Q41" s="230" t="s">
        <v>176</v>
      </c>
      <c r="R41" s="236" t="s">
        <v>423</v>
      </c>
      <c r="S41" s="183"/>
    </row>
    <row r="42" spans="1:19" ht="12.75">
      <c r="A42" s="101" t="s">
        <v>183</v>
      </c>
      <c r="B42" s="33">
        <f>402-250+100</f>
        <v>252</v>
      </c>
      <c r="C42" s="33">
        <v>370</v>
      </c>
      <c r="D42" s="33">
        <f>262+150</f>
        <v>412</v>
      </c>
      <c r="E42" s="103">
        <f t="shared" si="4"/>
        <v>622</v>
      </c>
      <c r="F42" s="96">
        <f t="shared" si="5"/>
        <v>0.66237942122186499</v>
      </c>
      <c r="H42" s="229"/>
      <c r="I42" s="193"/>
      <c r="J42" s="193"/>
      <c r="K42" s="194"/>
      <c r="L42" s="74"/>
      <c r="M42" s="229"/>
      <c r="N42" s="193"/>
      <c r="O42" s="194"/>
      <c r="Q42" s="231"/>
      <c r="R42" s="229"/>
      <c r="S42" s="194"/>
    </row>
    <row r="43" spans="1:19" ht="12.75">
      <c r="A43" s="101" t="s">
        <v>184</v>
      </c>
      <c r="B43" s="33">
        <f>310-200+100</f>
        <v>210</v>
      </c>
      <c r="C43" s="33">
        <v>380</v>
      </c>
      <c r="D43" s="33">
        <f>228+150</f>
        <v>378</v>
      </c>
      <c r="E43" s="103">
        <f t="shared" si="4"/>
        <v>590</v>
      </c>
      <c r="F43" s="96">
        <f t="shared" si="5"/>
        <v>0.64067796610169492</v>
      </c>
      <c r="H43" s="229"/>
      <c r="I43" s="193"/>
      <c r="J43" s="193"/>
      <c r="K43" s="194"/>
      <c r="L43" s="74"/>
      <c r="M43" s="229"/>
      <c r="N43" s="193"/>
      <c r="O43" s="194"/>
      <c r="Q43" s="231"/>
      <c r="R43" s="229"/>
      <c r="S43" s="194"/>
    </row>
    <row r="44" spans="1:19" ht="12.75">
      <c r="A44" s="101" t="s">
        <v>185</v>
      </c>
      <c r="B44" s="33">
        <f>90+100</f>
        <v>190</v>
      </c>
      <c r="C44" s="33">
        <v>520</v>
      </c>
      <c r="D44" s="33">
        <f>209+150</f>
        <v>359</v>
      </c>
      <c r="E44" s="103">
        <f t="shared" si="4"/>
        <v>710</v>
      </c>
      <c r="F44" s="96">
        <f t="shared" si="5"/>
        <v>0.5056338028169014</v>
      </c>
      <c r="H44" s="229"/>
      <c r="I44" s="193"/>
      <c r="J44" s="193"/>
      <c r="K44" s="194"/>
      <c r="L44" s="74"/>
      <c r="M44" s="229"/>
      <c r="N44" s="193"/>
      <c r="O44" s="194"/>
      <c r="P44" s="98"/>
      <c r="Q44" s="231"/>
      <c r="R44" s="229"/>
      <c r="S44" s="194"/>
    </row>
    <row r="45" spans="1:19" ht="12.75">
      <c r="A45" s="101" t="s">
        <v>186</v>
      </c>
      <c r="B45" s="33">
        <f>65+100</f>
        <v>165</v>
      </c>
      <c r="C45" s="33">
        <v>650</v>
      </c>
      <c r="D45" s="33">
        <f>156+150</f>
        <v>306</v>
      </c>
      <c r="E45" s="103">
        <f t="shared" si="4"/>
        <v>815</v>
      </c>
      <c r="F45" s="96">
        <f t="shared" si="5"/>
        <v>0.3754601226993865</v>
      </c>
      <c r="H45" s="229"/>
      <c r="I45" s="193"/>
      <c r="J45" s="193"/>
      <c r="K45" s="194"/>
      <c r="L45" s="74"/>
      <c r="M45" s="229"/>
      <c r="N45" s="193"/>
      <c r="O45" s="194"/>
      <c r="P45" s="98"/>
      <c r="Q45" s="231"/>
      <c r="R45" s="229"/>
      <c r="S45" s="194"/>
    </row>
    <row r="46" spans="1:19" ht="12.75">
      <c r="A46" s="101" t="s">
        <v>187</v>
      </c>
      <c r="B46" s="33">
        <f>30+100</f>
        <v>130</v>
      </c>
      <c r="C46" s="33">
        <v>874</v>
      </c>
      <c r="D46" s="33">
        <f>137+150</f>
        <v>287</v>
      </c>
      <c r="E46" s="103">
        <f t="shared" si="4"/>
        <v>1004</v>
      </c>
      <c r="F46" s="96">
        <f t="shared" si="5"/>
        <v>0.28585657370517931</v>
      </c>
      <c r="H46" s="184"/>
      <c r="I46" s="185"/>
      <c r="J46" s="185"/>
      <c r="K46" s="186"/>
      <c r="L46" s="74"/>
      <c r="M46" s="184"/>
      <c r="N46" s="185"/>
      <c r="O46" s="186"/>
      <c r="P46" s="98"/>
      <c r="Q46" s="232"/>
      <c r="R46" s="184"/>
      <c r="S46" s="186"/>
    </row>
    <row r="47" spans="1:19" ht="12.75">
      <c r="A47" s="107"/>
    </row>
    <row r="48" spans="1:19" ht="12.75">
      <c r="A48" s="107"/>
      <c r="R48" s="105" t="s">
        <v>189</v>
      </c>
      <c r="S48" s="105" t="s">
        <v>190</v>
      </c>
    </row>
    <row r="49" spans="1:19" ht="14.25">
      <c r="A49" s="107"/>
      <c r="B49" s="97"/>
      <c r="C49" s="97"/>
      <c r="D49" s="91"/>
      <c r="E49" s="109"/>
      <c r="F49" s="110"/>
      <c r="P49" s="233" t="s">
        <v>227</v>
      </c>
      <c r="Q49" s="183"/>
      <c r="R49" s="238" t="s">
        <v>379</v>
      </c>
      <c r="S49" s="238" t="s">
        <v>381</v>
      </c>
    </row>
    <row r="50" spans="1:19" ht="12.75">
      <c r="A50" s="107"/>
      <c r="B50" s="97"/>
      <c r="C50" s="97"/>
      <c r="D50" s="97"/>
      <c r="E50" s="109"/>
      <c r="F50" s="110"/>
      <c r="P50" s="229"/>
      <c r="Q50" s="194"/>
      <c r="R50" s="231"/>
      <c r="S50" s="231"/>
    </row>
    <row r="51" spans="1:19" ht="12.75">
      <c r="A51" s="107"/>
      <c r="B51" s="97"/>
      <c r="C51" s="97"/>
      <c r="D51" s="97"/>
      <c r="E51" s="109"/>
      <c r="F51" s="110"/>
      <c r="P51" s="229"/>
      <c r="Q51" s="194"/>
      <c r="R51" s="231"/>
      <c r="S51" s="231"/>
    </row>
    <row r="52" spans="1:19" ht="12.75">
      <c r="A52" s="107"/>
      <c r="B52" s="97"/>
      <c r="C52" s="97"/>
      <c r="D52" s="97"/>
      <c r="E52" s="109"/>
      <c r="F52" s="110"/>
      <c r="P52" s="229"/>
      <c r="Q52" s="194"/>
      <c r="R52" s="231"/>
      <c r="S52" s="231"/>
    </row>
    <row r="53" spans="1:19" ht="12.75">
      <c r="A53" s="107"/>
      <c r="B53" s="97"/>
      <c r="C53" s="97"/>
      <c r="D53" s="97"/>
      <c r="E53" s="109"/>
      <c r="F53" s="110"/>
      <c r="P53" s="229"/>
      <c r="Q53" s="194"/>
      <c r="R53" s="231"/>
      <c r="S53" s="231"/>
    </row>
    <row r="54" spans="1:19" ht="12.75">
      <c r="A54" s="107"/>
      <c r="B54" s="97"/>
      <c r="C54" s="97"/>
      <c r="D54" s="97"/>
      <c r="E54" s="109"/>
      <c r="F54" s="110"/>
      <c r="P54" s="184"/>
      <c r="Q54" s="186"/>
      <c r="R54" s="232"/>
      <c r="S54" s="232"/>
    </row>
    <row r="55" spans="1:19" ht="12.75">
      <c r="A55" s="107"/>
      <c r="B55" s="97"/>
      <c r="C55" s="97"/>
      <c r="D55" s="97"/>
      <c r="E55" s="109"/>
      <c r="F55" s="110"/>
      <c r="Q55" s="75"/>
      <c r="R55" s="75"/>
      <c r="S55" s="75"/>
    </row>
    <row r="56" spans="1:19" ht="12.75">
      <c r="A56" s="107"/>
      <c r="Q56" s="75"/>
      <c r="R56" s="75"/>
      <c r="S56" s="75"/>
    </row>
    <row r="57" spans="1:19" ht="12.75">
      <c r="A57" s="107"/>
      <c r="Q57" s="230" t="s">
        <v>228</v>
      </c>
      <c r="R57" s="236" t="s">
        <v>424</v>
      </c>
      <c r="S57" s="183"/>
    </row>
    <row r="58" spans="1:19" ht="12.75">
      <c r="A58" s="107"/>
      <c r="Q58" s="231"/>
      <c r="R58" s="229"/>
      <c r="S58" s="194"/>
    </row>
    <row r="59" spans="1:19" ht="12.75">
      <c r="A59" s="107"/>
      <c r="Q59" s="231"/>
      <c r="R59" s="229"/>
      <c r="S59" s="194"/>
    </row>
    <row r="60" spans="1:19" ht="12.75">
      <c r="A60" s="107"/>
      <c r="Q60" s="231"/>
      <c r="R60" s="229"/>
      <c r="S60" s="194"/>
    </row>
    <row r="61" spans="1:19" ht="12.75">
      <c r="A61" s="107"/>
      <c r="Q61" s="231"/>
      <c r="R61" s="229"/>
      <c r="S61" s="194"/>
    </row>
    <row r="62" spans="1:19" ht="12.75">
      <c r="A62" s="107"/>
      <c r="Q62" s="232"/>
      <c r="R62" s="184"/>
      <c r="S62" s="186"/>
    </row>
  </sheetData>
  <mergeCells count="43">
    <mergeCell ref="A36:F36"/>
    <mergeCell ref="H36:K46"/>
    <mergeCell ref="A37:F37"/>
    <mergeCell ref="M37:O46"/>
    <mergeCell ref="B38:F38"/>
    <mergeCell ref="A25:F25"/>
    <mergeCell ref="M13:O22"/>
    <mergeCell ref="Q13:R15"/>
    <mergeCell ref="S13:S15"/>
    <mergeCell ref="R17:S22"/>
    <mergeCell ref="M25:O34"/>
    <mergeCell ref="Q25:R27"/>
    <mergeCell ref="S25:S27"/>
    <mergeCell ref="R29:S34"/>
    <mergeCell ref="B26:F26"/>
    <mergeCell ref="H12:K22"/>
    <mergeCell ref="H24:K34"/>
    <mergeCell ref="A6:J6"/>
    <mergeCell ref="A7:J7"/>
    <mergeCell ref="B14:F14"/>
    <mergeCell ref="A24:F24"/>
    <mergeCell ref="A13:F13"/>
    <mergeCell ref="A8:J8"/>
    <mergeCell ref="A9:J9"/>
    <mergeCell ref="A10:J10"/>
    <mergeCell ref="A11:I11"/>
    <mergeCell ref="A12:F12"/>
    <mergeCell ref="A1:S1"/>
    <mergeCell ref="A2:J2"/>
    <mergeCell ref="A3:J3"/>
    <mergeCell ref="A4:J4"/>
    <mergeCell ref="A5:J5"/>
    <mergeCell ref="R49:R54"/>
    <mergeCell ref="S49:S54"/>
    <mergeCell ref="Q57:Q62"/>
    <mergeCell ref="R57:S62"/>
    <mergeCell ref="Q17:Q22"/>
    <mergeCell ref="Q29:Q34"/>
    <mergeCell ref="Q37:R39"/>
    <mergeCell ref="S37:S39"/>
    <mergeCell ref="Q41:Q46"/>
    <mergeCell ref="R41:S46"/>
    <mergeCell ref="P49:Q5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9"/>
  <sheetViews>
    <sheetView topLeftCell="A12" workbookViewId="0">
      <selection activeCell="C14" sqref="C14"/>
    </sheetView>
  </sheetViews>
  <sheetFormatPr defaultColWidth="12.5703125" defaultRowHeight="15.75" customHeight="1"/>
  <cols>
    <col min="1" max="1" width="66.42578125" customWidth="1"/>
    <col min="2" max="3" width="49.5703125" customWidth="1"/>
    <col min="4" max="4" width="69.7109375" customWidth="1"/>
  </cols>
  <sheetData>
    <row r="1" spans="1:4" ht="37.5">
      <c r="A1" s="205" t="s">
        <v>20</v>
      </c>
      <c r="B1" s="178"/>
      <c r="C1" s="111"/>
      <c r="D1" s="112" t="s">
        <v>229</v>
      </c>
    </row>
    <row r="2" spans="1:4" ht="12.75">
      <c r="A2" s="206" t="s">
        <v>230</v>
      </c>
      <c r="B2" s="178"/>
      <c r="C2" s="73"/>
      <c r="D2" s="113" t="str">
        <f>'Tab 3 - Activation Hypothesis'!A17</f>
        <v>Moment that lead to Habit:</v>
      </c>
    </row>
    <row r="3" spans="1:4" ht="12.75">
      <c r="A3" s="211" t="s">
        <v>231</v>
      </c>
      <c r="B3" s="194"/>
      <c r="C3" s="68"/>
      <c r="D3" s="114" t="str">
        <f>CONCATENATE('Tab 3 - Activation Hypothesis'!A18," ",'Tab 3 - Activation Hypothesis'!B18)</f>
        <v>1 Only use Slack, not email, for internal messages</v>
      </c>
    </row>
    <row r="4" spans="1:4" ht="12.75">
      <c r="A4" s="73"/>
      <c r="B4" s="73"/>
      <c r="C4" s="73"/>
      <c r="D4" s="114" t="str">
        <f>CONCATENATE('Tab 3 - Activation Hypothesis'!A19," ",'Tab 3 - Activation Hypothesis'!B19)</f>
        <v>2 Use Slack for meetings video call with  members ( canvases)</v>
      </c>
    </row>
    <row r="5" spans="1:4" ht="12.75">
      <c r="A5" s="199" t="s">
        <v>232</v>
      </c>
      <c r="B5" s="186"/>
      <c r="C5" s="73"/>
      <c r="D5" s="114" t="str">
        <f>CONCATENATE('Tab 3 - Activation Hypothesis'!A20," ",'Tab 3 - Activation Hypothesis'!B20)</f>
        <v>3 Join and create channels</v>
      </c>
    </row>
    <row r="6" spans="1:4" ht="12.75">
      <c r="A6" s="209" t="s">
        <v>233</v>
      </c>
      <c r="B6" s="178"/>
      <c r="C6" s="115"/>
      <c r="D6" s="114" t="str">
        <f>CONCATENATE('Tab 3 - Activation Hypothesis'!A21," ",'Tab 3 - Activation Hypothesis'!B21)</f>
        <v>4 Send messages of chat privately or with a group.</v>
      </c>
    </row>
    <row r="7" spans="1:4" ht="12.75">
      <c r="A7" s="243" t="s">
        <v>234</v>
      </c>
      <c r="B7" s="178"/>
      <c r="C7" s="76"/>
      <c r="D7" s="114" t="str">
        <f>CONCATENATE('Tab 3 - Activation Hypothesis'!A22," ",'Tab 3 - Activation Hypothesis'!B22)</f>
        <v>5 Track action Iteams</v>
      </c>
    </row>
    <row r="8" spans="1:4" ht="12.75">
      <c r="A8" s="243" t="s">
        <v>235</v>
      </c>
      <c r="B8" s="178"/>
      <c r="C8" s="76"/>
      <c r="D8" s="113" t="str">
        <f>'Tab 3 - Activation Hypothesis'!A23</f>
        <v>Moment that lead to Aha:</v>
      </c>
    </row>
    <row r="9" spans="1:4" ht="12.75">
      <c r="A9" s="243" t="s">
        <v>236</v>
      </c>
      <c r="B9" s="178"/>
      <c r="C9" s="76"/>
      <c r="D9" s="114" t="str">
        <f>CONCATENATE('Tab 3 - Activation Hypothesis'!A24," ",'Tab 3 - Activation Hypothesis'!B24)</f>
        <v>1 Getting notifications from team on a group channel</v>
      </c>
    </row>
    <row r="10" spans="1:4" ht="12.75">
      <c r="A10" s="244" t="s">
        <v>237</v>
      </c>
      <c r="B10" s="193"/>
      <c r="C10" s="81"/>
      <c r="D10" s="114" t="str">
        <f>CONCATENATE('Tab 3 - Activation Hypothesis'!A25," ",'Tab 3 - Activation Hypothesis'!B25)</f>
        <v>2 Receive emails or mobile notifications regarding user concern</v>
      </c>
    </row>
    <row r="11" spans="1:4" ht="12.75">
      <c r="A11" s="116" t="s">
        <v>151</v>
      </c>
      <c r="B11" s="116" t="s">
        <v>238</v>
      </c>
      <c r="C11" s="116" t="s">
        <v>239</v>
      </c>
      <c r="D11" s="114" t="str">
        <f>CONCATENATE('Tab 3 - Activation Hypothesis'!A26," ",'Tab 3 - Activation Hypothesis'!B26)</f>
        <v>3 Generate private groups</v>
      </c>
    </row>
    <row r="12" spans="1:4" ht="54.75" customHeight="1">
      <c r="A12" s="117" t="str">
        <f>'Tab 4 - Habit Moment and Metric'!R51</f>
        <v xml:space="preserve">look for a communication tool outside of email to engage with teammates   </v>
      </c>
      <c r="B12" s="117" t="str">
        <f>'Tab 4 - Habit Moment and Metric'!S51</f>
        <v>Habit Metric 1: # of Team Slack Messages Sent in 7-days</v>
      </c>
      <c r="C12" s="120" t="s">
        <v>450</v>
      </c>
      <c r="D12" s="114" t="str">
        <f>CONCATENATE('Tab 3 - Activation Hypothesis'!A27," ",'Tab 3 - Activation Hypothesis'!B27)</f>
        <v xml:space="preserve">4 send messages to selected users with the same content at the same time </v>
      </c>
    </row>
    <row r="13" spans="1:4" ht="12.75">
      <c r="A13" s="116" t="s">
        <v>153</v>
      </c>
      <c r="B13" s="116" t="s">
        <v>240</v>
      </c>
      <c r="C13" s="116"/>
      <c r="D13" s="114" t="str">
        <f>CONCATENATE('Tab 3 - Activation Hypothesis'!A28," ",'Tab 3 - Activation Hypothesis'!B28)</f>
        <v>5 Integrate Slack with 3rd party App</v>
      </c>
    </row>
    <row r="14" spans="1:4" ht="72" customHeight="1">
      <c r="A14" s="117" t="str">
        <f>'Tab 5 - Aha Moment and Metric A'!R50</f>
        <v>Engaging with a message in a group channel</v>
      </c>
      <c r="B14" s="117" t="str">
        <f>'Tab 5 - Aha Moment and Metric A'!S50</f>
        <v xml:space="preserve"> Sending 1st message in a group channel within X days</v>
      </c>
      <c r="C14" s="120" t="s">
        <v>452</v>
      </c>
      <c r="D14" s="118" t="str">
        <f>'Tab 3 - Activation Hypothesis'!A29</f>
        <v>Moment that lead to Setup:</v>
      </c>
    </row>
    <row r="15" spans="1:4" ht="12.75">
      <c r="A15" s="116" t="s">
        <v>241</v>
      </c>
      <c r="B15" s="116" t="s">
        <v>242</v>
      </c>
      <c r="C15" s="116"/>
      <c r="D15" s="114" t="str">
        <f>CONCATENATE('Tab 3 - Activation Hypothesis'!A30," ",'Tab 3 - Activation Hypothesis'!B30)</f>
        <v>1 Engage in a frequency faster than email while being mobile</v>
      </c>
    </row>
    <row r="16" spans="1:4" ht="75" customHeight="1">
      <c r="A16" s="119" t="str">
        <f>'Tab 6 - Setup Moment and Metric'!R49</f>
        <v>Invite a team mate and had a back-and-forth direct convo</v>
      </c>
      <c r="B16" s="119" t="str">
        <f>'Tab 6 - Setup Moment and Metric'!S49</f>
        <v># of users invited within 7-days</v>
      </c>
      <c r="C16" s="120" t="s">
        <v>451</v>
      </c>
      <c r="D16" s="114" t="str">
        <f>CONCATENATE('Tab 3 - Activation Hypothesis'!A31," ",'Tab 3 - Activation Hypothesis'!B31)</f>
        <v>2 Set reminders</v>
      </c>
    </row>
    <row r="17" spans="1:4" ht="21.75" customHeight="1">
      <c r="A17" s="121"/>
      <c r="B17" s="121"/>
      <c r="C17" s="121"/>
      <c r="D17" s="114" t="str">
        <f>CONCATENATE('Tab 3 - Activation Hypothesis'!A32," ",'Tab 3 - Activation Hypothesis'!B32)</f>
        <v>3 configure profile</v>
      </c>
    </row>
    <row r="18" spans="1:4" ht="21.75" customHeight="1">
      <c r="A18" s="121"/>
      <c r="B18" s="121"/>
      <c r="C18" s="121"/>
      <c r="D18" s="114" t="str">
        <f>CONCATENATE('Tab 3 - Activation Hypothesis'!A33," ",'Tab 3 - Activation Hypothesis'!B33)</f>
        <v>4 invite colleagues /Coworker</v>
      </c>
    </row>
    <row r="19" spans="1:4" ht="21.75" customHeight="1">
      <c r="A19" s="121"/>
      <c r="B19" s="121"/>
      <c r="C19" s="121"/>
      <c r="D19" s="114" t="str">
        <f>CONCATENATE('Tab 3 - Activation Hypothesis'!A34," ",'Tab 3 - Activation Hypothesis'!B34)</f>
        <v>5 Create a workspace</v>
      </c>
    </row>
  </sheetData>
  <mergeCells count="9">
    <mergeCell ref="A9:B9"/>
    <mergeCell ref="A10:B10"/>
    <mergeCell ref="A1:B1"/>
    <mergeCell ref="A2:B2"/>
    <mergeCell ref="A3:B3"/>
    <mergeCell ref="A5:B5"/>
    <mergeCell ref="A6:B6"/>
    <mergeCell ref="A7:B7"/>
    <mergeCell ref="A8:B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8"/>
  <sheetViews>
    <sheetView showGridLines="0" topLeftCell="A82" workbookViewId="0">
      <selection activeCell="P36" sqref="P36"/>
    </sheetView>
  </sheetViews>
  <sheetFormatPr defaultColWidth="12.5703125" defaultRowHeight="15.75" customHeight="1"/>
  <cols>
    <col min="1" max="1" width="16.28515625" customWidth="1"/>
    <col min="2" max="2" width="9.5703125" customWidth="1"/>
    <col min="3" max="3" width="13.140625" customWidth="1"/>
    <col min="4" max="4" width="17.28515625" customWidth="1"/>
    <col min="5" max="5" width="11.42578125" customWidth="1"/>
    <col min="6" max="6" width="17" customWidth="1"/>
    <col min="7" max="7" width="25.5703125" customWidth="1"/>
    <col min="8" max="8" width="24.28515625" customWidth="1"/>
  </cols>
  <sheetData>
    <row r="1" spans="1:14" ht="37.5">
      <c r="A1" s="205" t="s">
        <v>22</v>
      </c>
      <c r="B1" s="177"/>
      <c r="C1" s="177"/>
      <c r="D1" s="177"/>
      <c r="E1" s="177"/>
      <c r="F1" s="177"/>
      <c r="G1" s="177"/>
      <c r="H1" s="177"/>
      <c r="I1" s="177"/>
      <c r="J1" s="177"/>
      <c r="K1" s="177"/>
      <c r="L1" s="177"/>
      <c r="M1" s="177"/>
      <c r="N1" s="178"/>
    </row>
    <row r="2" spans="1:14" ht="12.75">
      <c r="A2" s="206" t="s">
        <v>243</v>
      </c>
      <c r="B2" s="177"/>
      <c r="C2" s="177"/>
      <c r="D2" s="177"/>
      <c r="E2" s="177"/>
      <c r="F2" s="177"/>
      <c r="G2" s="177"/>
      <c r="H2" s="177"/>
      <c r="I2" s="177"/>
      <c r="J2" s="178"/>
      <c r="M2" s="122"/>
      <c r="N2" s="122"/>
    </row>
    <row r="3" spans="1:14" ht="12.75">
      <c r="A3" s="188" t="s">
        <v>244</v>
      </c>
      <c r="B3" s="185"/>
      <c r="C3" s="185"/>
      <c r="D3" s="185"/>
      <c r="E3" s="185"/>
      <c r="F3" s="185"/>
      <c r="G3" s="185"/>
      <c r="H3" s="185"/>
      <c r="I3" s="185"/>
      <c r="J3" s="186"/>
      <c r="M3" s="122"/>
      <c r="N3" s="122"/>
    </row>
    <row r="4" spans="1:14" ht="12.75">
      <c r="A4" s="188" t="s">
        <v>245</v>
      </c>
      <c r="B4" s="185"/>
      <c r="C4" s="185"/>
      <c r="D4" s="185"/>
      <c r="E4" s="185"/>
      <c r="F4" s="185"/>
      <c r="G4" s="185"/>
      <c r="H4" s="185"/>
      <c r="I4" s="185"/>
      <c r="J4" s="186"/>
      <c r="M4" s="122"/>
      <c r="N4" s="122"/>
    </row>
    <row r="5" spans="1:14" ht="12.75">
      <c r="A5" s="188" t="s">
        <v>246</v>
      </c>
      <c r="B5" s="185"/>
      <c r="C5" s="185"/>
      <c r="D5" s="185"/>
      <c r="E5" s="185"/>
      <c r="F5" s="185"/>
      <c r="G5" s="185"/>
      <c r="H5" s="185"/>
      <c r="I5" s="185"/>
      <c r="J5" s="186"/>
      <c r="M5" s="122"/>
      <c r="N5" s="122"/>
    </row>
    <row r="6" spans="1:14" ht="12.75">
      <c r="A6" s="206" t="s">
        <v>247</v>
      </c>
      <c r="B6" s="177"/>
      <c r="C6" s="177"/>
      <c r="D6" s="177"/>
      <c r="E6" s="177"/>
      <c r="F6" s="177"/>
      <c r="G6" s="177"/>
      <c r="H6" s="177"/>
      <c r="I6" s="177"/>
      <c r="J6" s="178"/>
      <c r="M6" s="122"/>
      <c r="N6" s="122"/>
    </row>
    <row r="7" spans="1:14" ht="12.75">
      <c r="A7" s="209" t="s">
        <v>248</v>
      </c>
      <c r="B7" s="177"/>
      <c r="C7" s="177"/>
      <c r="D7" s="177"/>
      <c r="E7" s="177"/>
      <c r="F7" s="177"/>
      <c r="G7" s="177"/>
      <c r="H7" s="177"/>
      <c r="I7" s="177"/>
      <c r="J7" s="178"/>
      <c r="M7" s="122"/>
      <c r="N7" s="122"/>
    </row>
    <row r="8" spans="1:14" ht="12.75">
      <c r="A8" s="207" t="s">
        <v>249</v>
      </c>
      <c r="B8" s="177"/>
      <c r="C8" s="177"/>
      <c r="D8" s="177"/>
      <c r="E8" s="177"/>
      <c r="F8" s="177"/>
      <c r="G8" s="177"/>
      <c r="H8" s="177"/>
      <c r="I8" s="177"/>
      <c r="J8" s="178"/>
      <c r="M8" s="122"/>
      <c r="N8" s="122"/>
    </row>
    <row r="9" spans="1:14" ht="12.75">
      <c r="A9" s="207" t="s">
        <v>250</v>
      </c>
      <c r="B9" s="177"/>
      <c r="C9" s="177"/>
      <c r="D9" s="177"/>
      <c r="E9" s="177"/>
      <c r="F9" s="177"/>
      <c r="G9" s="177"/>
      <c r="H9" s="177"/>
      <c r="I9" s="177"/>
      <c r="J9" s="178"/>
      <c r="M9" s="122"/>
      <c r="N9" s="122"/>
    </row>
    <row r="10" spans="1:14" ht="12.75">
      <c r="A10" s="239" t="s">
        <v>251</v>
      </c>
      <c r="B10" s="177"/>
      <c r="C10" s="177"/>
      <c r="D10" s="177"/>
      <c r="E10" s="177"/>
      <c r="F10" s="177"/>
      <c r="G10" s="177"/>
      <c r="H10" s="177"/>
      <c r="I10" s="177"/>
      <c r="J10" s="178"/>
      <c r="M10" s="122"/>
      <c r="N10" s="122"/>
    </row>
    <row r="11" spans="1:14" ht="12.75">
      <c r="A11" s="239" t="s">
        <v>252</v>
      </c>
      <c r="B11" s="177"/>
      <c r="C11" s="177"/>
      <c r="D11" s="177"/>
      <c r="E11" s="177"/>
      <c r="F11" s="177"/>
      <c r="G11" s="177"/>
      <c r="H11" s="177"/>
      <c r="I11" s="177"/>
      <c r="J11" s="178"/>
      <c r="M11" s="122"/>
      <c r="N11" s="122"/>
    </row>
    <row r="12" spans="1:14" ht="12.75">
      <c r="A12" s="239" t="s">
        <v>253</v>
      </c>
      <c r="B12" s="177"/>
      <c r="C12" s="177"/>
      <c r="D12" s="177"/>
      <c r="E12" s="177"/>
      <c r="F12" s="177"/>
      <c r="G12" s="177"/>
      <c r="H12" s="177"/>
      <c r="I12" s="177"/>
      <c r="J12" s="178"/>
      <c r="M12" s="122"/>
      <c r="N12" s="122"/>
    </row>
    <row r="13" spans="1:14" ht="12.75">
      <c r="A13" s="239" t="s">
        <v>254</v>
      </c>
      <c r="B13" s="177"/>
      <c r="C13" s="177"/>
      <c r="D13" s="177"/>
      <c r="E13" s="177"/>
      <c r="F13" s="177"/>
      <c r="G13" s="177"/>
      <c r="H13" s="177"/>
      <c r="I13" s="177"/>
      <c r="J13" s="178"/>
      <c r="M13" s="122"/>
      <c r="N13" s="122"/>
    </row>
    <row r="14" spans="1:14" ht="12.75">
      <c r="A14" s="239" t="s">
        <v>255</v>
      </c>
      <c r="B14" s="177"/>
      <c r="C14" s="177"/>
      <c r="D14" s="177"/>
      <c r="E14" s="177"/>
      <c r="F14" s="177"/>
      <c r="G14" s="177"/>
      <c r="H14" s="177"/>
      <c r="I14" s="177"/>
      <c r="J14" s="178"/>
      <c r="M14" s="122"/>
      <c r="N14" s="122"/>
    </row>
    <row r="15" spans="1:14" ht="12.75">
      <c r="A15" s="258" t="s">
        <v>256</v>
      </c>
      <c r="B15" s="193"/>
      <c r="C15" s="193"/>
      <c r="D15" s="193"/>
      <c r="E15" s="193"/>
      <c r="F15" s="193"/>
      <c r="G15" s="193"/>
      <c r="H15" s="193"/>
      <c r="I15" s="193"/>
      <c r="J15" s="193"/>
      <c r="K15" s="81"/>
      <c r="L15" s="122"/>
      <c r="M15" s="122"/>
      <c r="N15" s="122"/>
    </row>
    <row r="16" spans="1:14" ht="12.75">
      <c r="A16" s="252" t="s">
        <v>257</v>
      </c>
      <c r="B16" s="177"/>
      <c r="C16" s="177"/>
      <c r="D16" s="177"/>
      <c r="E16" s="177"/>
      <c r="F16" s="177"/>
      <c r="G16" s="177"/>
      <c r="H16" s="177"/>
      <c r="I16" s="178"/>
      <c r="J16" s="123"/>
      <c r="K16" s="253" t="s">
        <v>68</v>
      </c>
      <c r="L16" s="193"/>
      <c r="M16" s="193"/>
      <c r="N16" s="193"/>
    </row>
    <row r="17" spans="1:14" ht="38.25">
      <c r="A17" s="124" t="s">
        <v>258</v>
      </c>
      <c r="B17" s="124" t="s">
        <v>259</v>
      </c>
      <c r="C17" s="252" t="s">
        <v>20</v>
      </c>
      <c r="D17" s="177"/>
      <c r="E17" s="177"/>
      <c r="F17" s="177"/>
      <c r="G17" s="178"/>
      <c r="H17" s="254" t="s">
        <v>260</v>
      </c>
      <c r="I17" s="255" t="s">
        <v>261</v>
      </c>
      <c r="J17" s="123"/>
      <c r="K17" s="193"/>
      <c r="L17" s="193"/>
      <c r="M17" s="193"/>
      <c r="N17" s="193"/>
    </row>
    <row r="18" spans="1:14" ht="12.75">
      <c r="A18" s="125" t="s">
        <v>262</v>
      </c>
      <c r="B18" s="126">
        <f>SUM(B19:B26)</f>
        <v>920.6</v>
      </c>
      <c r="C18" s="127" t="s">
        <v>263</v>
      </c>
      <c r="D18" s="127" t="s">
        <v>264</v>
      </c>
      <c r="E18" s="127" t="s">
        <v>265</v>
      </c>
      <c r="F18" s="127" t="s">
        <v>266</v>
      </c>
      <c r="G18" s="127" t="s">
        <v>267</v>
      </c>
      <c r="H18" s="232"/>
      <c r="I18" s="232"/>
      <c r="J18" s="123"/>
      <c r="K18" s="256"/>
      <c r="L18" s="182"/>
      <c r="M18" s="182"/>
      <c r="N18" s="183"/>
    </row>
    <row r="19" spans="1:14" ht="12.75">
      <c r="A19" s="128" t="s">
        <v>268</v>
      </c>
      <c r="B19" s="129">
        <f>310*0.9</f>
        <v>279</v>
      </c>
      <c r="C19" s="130">
        <v>0.85</v>
      </c>
      <c r="D19" s="131">
        <v>0.92</v>
      </c>
      <c r="E19" s="132">
        <v>0.78</v>
      </c>
      <c r="F19" s="131">
        <v>0.87</v>
      </c>
      <c r="G19" s="133">
        <v>0.68</v>
      </c>
      <c r="H19" s="134">
        <v>126</v>
      </c>
      <c r="I19" s="135">
        <v>0.45</v>
      </c>
      <c r="J19" s="123"/>
      <c r="K19" s="229"/>
      <c r="L19" s="193"/>
      <c r="M19" s="193"/>
      <c r="N19" s="194"/>
    </row>
    <row r="20" spans="1:14" ht="12.75">
      <c r="A20" s="128" t="s">
        <v>269</v>
      </c>
      <c r="B20" s="129">
        <f>206*0.8</f>
        <v>164.8</v>
      </c>
      <c r="C20" s="136">
        <v>0.76</v>
      </c>
      <c r="D20" s="140">
        <f>ROUND(E20/C20,2)</f>
        <v>0.91</v>
      </c>
      <c r="E20" s="138">
        <v>0.69</v>
      </c>
      <c r="F20" s="140">
        <f>ROUND(G20/E20,2)</f>
        <v>0.91</v>
      </c>
      <c r="G20" s="139">
        <v>0.63</v>
      </c>
      <c r="H20" s="137">
        <f>B20*C20*E20*G20</f>
        <v>54.445305600000005</v>
      </c>
      <c r="I20" s="140">
        <f>H20/B20</f>
        <v>0.330372</v>
      </c>
      <c r="J20" s="123"/>
      <c r="K20" s="229"/>
      <c r="L20" s="193"/>
      <c r="M20" s="193"/>
      <c r="N20" s="194"/>
    </row>
    <row r="21" spans="1:14" ht="12.75">
      <c r="A21" s="128" t="s">
        <v>270</v>
      </c>
      <c r="B21" s="129">
        <f>172*0.8</f>
        <v>137.6</v>
      </c>
      <c r="C21" s="141">
        <v>0.8</v>
      </c>
      <c r="D21" s="140">
        <f t="shared" ref="D21:D26" si="0">ROUND(E21/C21,2)</f>
        <v>0.95</v>
      </c>
      <c r="E21" s="136">
        <v>0.76</v>
      </c>
      <c r="F21" s="140">
        <f t="shared" ref="F21:F26" si="1">ROUND(G21/E21,2)</f>
        <v>0.92</v>
      </c>
      <c r="G21" s="142">
        <v>0.7</v>
      </c>
      <c r="H21" s="137">
        <f t="shared" ref="H21:H26" si="2">B21*C21*E21*G21</f>
        <v>58.562559999999991</v>
      </c>
      <c r="I21" s="140">
        <f t="shared" ref="I21:I26" si="3">H21/B21</f>
        <v>0.42559999999999992</v>
      </c>
      <c r="J21" s="123"/>
      <c r="K21" s="229"/>
      <c r="L21" s="193"/>
      <c r="M21" s="193"/>
      <c r="N21" s="194"/>
    </row>
    <row r="22" spans="1:14" ht="12.75">
      <c r="A22" s="128" t="s">
        <v>271</v>
      </c>
      <c r="B22" s="129">
        <f>138*0.8</f>
        <v>110.4</v>
      </c>
      <c r="C22" s="136">
        <v>0.76</v>
      </c>
      <c r="D22" s="140">
        <f t="shared" si="0"/>
        <v>0.91</v>
      </c>
      <c r="E22" s="138">
        <v>0.69</v>
      </c>
      <c r="F22" s="140">
        <f t="shared" si="1"/>
        <v>0.87</v>
      </c>
      <c r="G22" s="143">
        <v>0.6</v>
      </c>
      <c r="H22" s="137">
        <f t="shared" si="2"/>
        <v>34.736255999999997</v>
      </c>
      <c r="I22" s="140">
        <f t="shared" si="3"/>
        <v>0.31463999999999998</v>
      </c>
      <c r="J22" s="123"/>
      <c r="K22" s="229"/>
      <c r="L22" s="193"/>
      <c r="M22" s="193"/>
      <c r="N22" s="194"/>
    </row>
    <row r="23" spans="1:14" ht="12.75">
      <c r="A23" s="128" t="s">
        <v>272</v>
      </c>
      <c r="B23" s="129">
        <f>112*0.8</f>
        <v>89.600000000000009</v>
      </c>
      <c r="C23" s="141">
        <v>0.8</v>
      </c>
      <c r="D23" s="140">
        <f t="shared" si="0"/>
        <v>0.94</v>
      </c>
      <c r="E23" s="144">
        <v>0.75</v>
      </c>
      <c r="F23" s="140">
        <f t="shared" si="1"/>
        <v>0.88</v>
      </c>
      <c r="G23" s="145">
        <v>0.66</v>
      </c>
      <c r="H23" s="137">
        <f t="shared" si="2"/>
        <v>35.481600000000007</v>
      </c>
      <c r="I23" s="140">
        <f t="shared" si="3"/>
        <v>0.39600000000000002</v>
      </c>
      <c r="J23" s="123"/>
      <c r="K23" s="229"/>
      <c r="L23" s="193"/>
      <c r="M23" s="193"/>
      <c r="N23" s="194"/>
    </row>
    <row r="24" spans="1:14" ht="12.75">
      <c r="A24" s="128" t="s">
        <v>273</v>
      </c>
      <c r="B24" s="129">
        <f>92*0.8</f>
        <v>73.600000000000009</v>
      </c>
      <c r="C24" s="142">
        <v>0.7</v>
      </c>
      <c r="D24" s="140">
        <f t="shared" si="0"/>
        <v>0.93</v>
      </c>
      <c r="E24" s="146">
        <v>0.65257352941176472</v>
      </c>
      <c r="F24" s="140">
        <f t="shared" si="1"/>
        <v>0.88</v>
      </c>
      <c r="G24" s="147">
        <v>0.57352941176470584</v>
      </c>
      <c r="H24" s="137">
        <f t="shared" si="2"/>
        <v>19.282396193771628</v>
      </c>
      <c r="I24" s="140">
        <f t="shared" si="3"/>
        <v>0.26198907871972316</v>
      </c>
      <c r="J24" s="123"/>
      <c r="K24" s="229"/>
      <c r="L24" s="193"/>
      <c r="M24" s="193"/>
      <c r="N24" s="194"/>
    </row>
    <row r="25" spans="1:14" ht="12.75">
      <c r="A25" s="128" t="s">
        <v>274</v>
      </c>
      <c r="B25" s="129">
        <f>58*0.8</f>
        <v>46.400000000000006</v>
      </c>
      <c r="C25" s="133">
        <v>0.68</v>
      </c>
      <c r="D25" s="140">
        <f t="shared" si="0"/>
        <v>0.88</v>
      </c>
      <c r="E25" s="143">
        <v>0.6</v>
      </c>
      <c r="F25" s="140">
        <f t="shared" si="1"/>
        <v>0.92</v>
      </c>
      <c r="G25" s="148">
        <v>0.55000000000000004</v>
      </c>
      <c r="H25" s="137">
        <f t="shared" si="2"/>
        <v>10.412160000000004</v>
      </c>
      <c r="I25" s="140">
        <f t="shared" si="3"/>
        <v>0.22440000000000004</v>
      </c>
      <c r="J25" s="123"/>
      <c r="K25" s="229"/>
      <c r="L25" s="193"/>
      <c r="M25" s="193"/>
      <c r="N25" s="194"/>
    </row>
    <row r="26" spans="1:14" ht="12.75">
      <c r="A26" s="128" t="s">
        <v>275</v>
      </c>
      <c r="B26" s="129">
        <f>24*0.8</f>
        <v>19.200000000000003</v>
      </c>
      <c r="C26" s="138">
        <v>0.69</v>
      </c>
      <c r="D26" s="140">
        <f t="shared" si="0"/>
        <v>0.93</v>
      </c>
      <c r="E26" s="149">
        <v>0.64</v>
      </c>
      <c r="F26" s="140">
        <f t="shared" si="1"/>
        <v>0.94</v>
      </c>
      <c r="G26" s="143">
        <v>0.6</v>
      </c>
      <c r="H26" s="137">
        <f t="shared" si="2"/>
        <v>5.0872320000000002</v>
      </c>
      <c r="I26" s="140">
        <f t="shared" si="3"/>
        <v>0.26495999999999997</v>
      </c>
      <c r="J26" s="123"/>
      <c r="K26" s="229"/>
      <c r="L26" s="193"/>
      <c r="M26" s="193"/>
      <c r="N26" s="194"/>
    </row>
    <row r="27" spans="1:14" ht="12.75">
      <c r="A27" s="150" t="s">
        <v>98</v>
      </c>
      <c r="B27" s="151">
        <f t="shared" ref="B27:C27" si="4">AVERAGE(B19:B26)</f>
        <v>115.075</v>
      </c>
      <c r="C27" s="152">
        <f t="shared" si="4"/>
        <v>0.75499999999999989</v>
      </c>
      <c r="D27" s="155">
        <f>AVERAGE(D19:D25)</f>
        <v>0.92</v>
      </c>
      <c r="E27" s="152">
        <f>AVERAGE(E19:E26)</f>
        <v>0.69532169117647047</v>
      </c>
      <c r="F27" s="155">
        <f>AVERAGE(F19:F26)</f>
        <v>0.89874999999999994</v>
      </c>
      <c r="G27" s="152">
        <f>AVERAGE(G19:G26)</f>
        <v>0.62419117647058819</v>
      </c>
      <c r="H27" s="153">
        <f>AVERAGE(H19:H26)</f>
        <v>43.000938724221456</v>
      </c>
      <c r="I27" s="140">
        <f>AVERAGE(I19:I26)</f>
        <v>0.3334951348399654</v>
      </c>
      <c r="J27" s="123"/>
      <c r="K27" s="184"/>
      <c r="L27" s="185"/>
      <c r="M27" s="185"/>
      <c r="N27" s="186"/>
    </row>
    <row r="28" spans="1:14" ht="12.75">
      <c r="A28" s="122"/>
      <c r="B28" s="122"/>
      <c r="C28" s="122"/>
      <c r="D28" s="154"/>
      <c r="E28" s="122"/>
      <c r="F28" s="122"/>
      <c r="G28" s="122"/>
      <c r="H28" s="122"/>
      <c r="I28" s="122"/>
      <c r="J28" s="123"/>
      <c r="K28" s="122"/>
      <c r="L28" s="122"/>
      <c r="M28" s="122"/>
      <c r="N28" s="122"/>
    </row>
    <row r="29" spans="1:14" ht="12.75">
      <c r="A29" s="257" t="s">
        <v>276</v>
      </c>
      <c r="B29" s="183"/>
      <c r="C29" s="257" t="s">
        <v>277</v>
      </c>
      <c r="D29" s="183"/>
      <c r="E29" s="257" t="s">
        <v>278</v>
      </c>
      <c r="F29" s="183"/>
      <c r="G29" s="257" t="s">
        <v>279</v>
      </c>
      <c r="H29" s="182"/>
      <c r="I29" s="182"/>
      <c r="J29" s="182"/>
      <c r="K29" s="182"/>
      <c r="L29" s="182"/>
      <c r="M29" s="182"/>
      <c r="N29" s="183"/>
    </row>
    <row r="30" spans="1:14" ht="12.75">
      <c r="A30" s="184"/>
      <c r="B30" s="186"/>
      <c r="C30" s="184"/>
      <c r="D30" s="186"/>
      <c r="E30" s="184"/>
      <c r="F30" s="186"/>
      <c r="G30" s="184"/>
      <c r="H30" s="185"/>
      <c r="I30" s="185"/>
      <c r="J30" s="185"/>
      <c r="K30" s="185"/>
      <c r="L30" s="185"/>
      <c r="M30" s="185"/>
      <c r="N30" s="186"/>
    </row>
    <row r="31" spans="1:14" ht="12.75">
      <c r="A31" s="251" t="s">
        <v>355</v>
      </c>
      <c r="B31" s="183"/>
      <c r="C31" s="251" t="s">
        <v>357</v>
      </c>
      <c r="D31" s="183"/>
      <c r="E31" s="251" t="s">
        <v>426</v>
      </c>
      <c r="F31" s="183"/>
      <c r="G31" s="251" t="s">
        <v>453</v>
      </c>
      <c r="H31" s="182"/>
      <c r="I31" s="182"/>
      <c r="J31" s="182"/>
      <c r="K31" s="182"/>
      <c r="L31" s="182"/>
      <c r="M31" s="182"/>
      <c r="N31" s="183"/>
    </row>
    <row r="32" spans="1:14" ht="12.75">
      <c r="A32" s="229"/>
      <c r="B32" s="194"/>
      <c r="C32" s="229"/>
      <c r="D32" s="194"/>
      <c r="E32" s="229"/>
      <c r="F32" s="194"/>
      <c r="G32" s="229"/>
      <c r="H32" s="193"/>
      <c r="I32" s="193"/>
      <c r="J32" s="193"/>
      <c r="K32" s="193"/>
      <c r="L32" s="193"/>
      <c r="M32" s="193"/>
      <c r="N32" s="194"/>
    </row>
    <row r="33" spans="1:14" ht="12.75">
      <c r="A33" s="229"/>
      <c r="B33" s="194"/>
      <c r="C33" s="229"/>
      <c r="D33" s="194"/>
      <c r="E33" s="229"/>
      <c r="F33" s="194"/>
      <c r="G33" s="229"/>
      <c r="H33" s="193"/>
      <c r="I33" s="193"/>
      <c r="J33" s="193"/>
      <c r="K33" s="193"/>
      <c r="L33" s="193"/>
      <c r="M33" s="193"/>
      <c r="N33" s="194"/>
    </row>
    <row r="34" spans="1:14" ht="12.75">
      <c r="A34" s="229"/>
      <c r="B34" s="194"/>
      <c r="C34" s="229"/>
      <c r="D34" s="194"/>
      <c r="E34" s="229"/>
      <c r="F34" s="194"/>
      <c r="G34" s="229"/>
      <c r="H34" s="193"/>
      <c r="I34" s="193"/>
      <c r="J34" s="193"/>
      <c r="K34" s="193"/>
      <c r="L34" s="193"/>
      <c r="M34" s="193"/>
      <c r="N34" s="194"/>
    </row>
    <row r="35" spans="1:14" ht="12.75">
      <c r="A35" s="229"/>
      <c r="B35" s="194"/>
      <c r="C35" s="229"/>
      <c r="D35" s="194"/>
      <c r="E35" s="229"/>
      <c r="F35" s="194"/>
      <c r="G35" s="229"/>
      <c r="H35" s="193"/>
      <c r="I35" s="193"/>
      <c r="J35" s="193"/>
      <c r="K35" s="193"/>
      <c r="L35" s="193"/>
      <c r="M35" s="193"/>
      <c r="N35" s="194"/>
    </row>
    <row r="36" spans="1:14" ht="15" customHeight="1">
      <c r="A36" s="184"/>
      <c r="B36" s="186"/>
      <c r="C36" s="184"/>
      <c r="D36" s="186"/>
      <c r="E36" s="184"/>
      <c r="F36" s="186"/>
      <c r="G36" s="184"/>
      <c r="H36" s="185"/>
      <c r="I36" s="185"/>
      <c r="J36" s="185"/>
      <c r="K36" s="185"/>
      <c r="L36" s="185"/>
      <c r="M36" s="185"/>
      <c r="N36" s="186"/>
    </row>
    <row r="37" spans="1:14" ht="12.75">
      <c r="A37" s="122"/>
      <c r="B37" s="122"/>
      <c r="C37" s="122"/>
      <c r="D37" s="122"/>
      <c r="E37" s="122"/>
      <c r="F37" s="122"/>
      <c r="G37" s="122"/>
      <c r="H37" s="122"/>
      <c r="I37" s="122"/>
      <c r="J37" s="122"/>
      <c r="K37" s="122"/>
      <c r="L37" s="122"/>
      <c r="M37" s="122"/>
      <c r="N37" s="122"/>
    </row>
    <row r="38" spans="1:14" ht="12.75">
      <c r="A38" s="252" t="s">
        <v>280</v>
      </c>
      <c r="B38" s="177"/>
      <c r="C38" s="177"/>
      <c r="D38" s="177"/>
      <c r="E38" s="177"/>
      <c r="F38" s="177"/>
      <c r="G38" s="177"/>
      <c r="H38" s="177"/>
      <c r="I38" s="178"/>
      <c r="J38" s="123"/>
      <c r="K38" s="253" t="s">
        <v>68</v>
      </c>
      <c r="L38" s="193"/>
      <c r="M38" s="193"/>
      <c r="N38" s="193"/>
    </row>
    <row r="39" spans="1:14" ht="25.5">
      <c r="A39" s="124" t="s">
        <v>281</v>
      </c>
      <c r="B39" s="124" t="s">
        <v>282</v>
      </c>
      <c r="C39" s="252"/>
      <c r="D39" s="177"/>
      <c r="E39" s="177"/>
      <c r="F39" s="177"/>
      <c r="G39" s="178"/>
      <c r="H39" s="254" t="s">
        <v>260</v>
      </c>
      <c r="I39" s="255" t="s">
        <v>261</v>
      </c>
      <c r="J39" s="123"/>
      <c r="K39" s="193"/>
      <c r="L39" s="193"/>
      <c r="M39" s="193"/>
      <c r="N39" s="193"/>
    </row>
    <row r="40" spans="1:14" ht="12.75">
      <c r="A40" s="125" t="s">
        <v>262</v>
      </c>
      <c r="B40" s="126">
        <f>SUM(B41:B48)</f>
        <v>1450</v>
      </c>
      <c r="C40" s="127" t="s">
        <v>263</v>
      </c>
      <c r="D40" s="127" t="s">
        <v>264</v>
      </c>
      <c r="E40" s="127" t="s">
        <v>265</v>
      </c>
      <c r="F40" s="127" t="s">
        <v>266</v>
      </c>
      <c r="G40" s="127" t="s">
        <v>267</v>
      </c>
      <c r="H40" s="232"/>
      <c r="I40" s="232"/>
      <c r="J40" s="122"/>
      <c r="K40" s="256"/>
      <c r="L40" s="182"/>
      <c r="M40" s="182"/>
      <c r="N40" s="183"/>
    </row>
    <row r="41" spans="1:14" ht="12.75">
      <c r="A41" s="128" t="s">
        <v>283</v>
      </c>
      <c r="B41" s="129">
        <v>280</v>
      </c>
      <c r="C41" s="130">
        <v>0.64</v>
      </c>
      <c r="D41" s="140">
        <f>ROUND(E41/C41,2)</f>
        <v>0.92</v>
      </c>
      <c r="E41" s="132">
        <v>0.59</v>
      </c>
      <c r="F41" s="140">
        <f t="shared" ref="F41:F48" si="5">ROUND(G41/E41,2)</f>
        <v>0.86</v>
      </c>
      <c r="G41" s="133">
        <v>0.51</v>
      </c>
      <c r="H41" s="137">
        <f t="shared" ref="H41:H48" si="6">B41*C41*E41*G41</f>
        <v>53.921280000000003</v>
      </c>
      <c r="I41" s="140">
        <f>ROUND(Table_3[[#This Row],[Column1]]/B41,2)</f>
        <v>0.19</v>
      </c>
      <c r="J41" s="122"/>
      <c r="K41" s="229"/>
      <c r="L41" s="193"/>
      <c r="M41" s="193"/>
      <c r="N41" s="194"/>
    </row>
    <row r="42" spans="1:14" ht="12.75">
      <c r="A42" s="128" t="s">
        <v>284</v>
      </c>
      <c r="B42" s="129">
        <v>370</v>
      </c>
      <c r="C42" s="136">
        <v>0.74</v>
      </c>
      <c r="D42" s="140">
        <f t="shared" ref="D42:D48" si="7">ROUND(E42/C42,2)</f>
        <v>0.93</v>
      </c>
      <c r="E42" s="138">
        <v>0.69</v>
      </c>
      <c r="F42" s="140">
        <f t="shared" si="5"/>
        <v>0.9</v>
      </c>
      <c r="G42" s="139">
        <v>0.62</v>
      </c>
      <c r="H42" s="137">
        <f t="shared" si="6"/>
        <v>117.13164</v>
      </c>
      <c r="I42" s="140">
        <f>ROUND(Table_3[[#This Row],[Column1]]/B42,2)</f>
        <v>0.32</v>
      </c>
      <c r="J42" s="122"/>
      <c r="K42" s="229"/>
      <c r="L42" s="193"/>
      <c r="M42" s="193"/>
      <c r="N42" s="194"/>
    </row>
    <row r="43" spans="1:14" ht="12.75">
      <c r="A43" s="128" t="s">
        <v>285</v>
      </c>
      <c r="B43" s="129">
        <v>200</v>
      </c>
      <c r="C43" s="141">
        <v>0.78</v>
      </c>
      <c r="D43" s="140">
        <f t="shared" si="7"/>
        <v>0.91</v>
      </c>
      <c r="E43" s="136">
        <v>0.71</v>
      </c>
      <c r="F43" s="140">
        <f t="shared" si="5"/>
        <v>0.93</v>
      </c>
      <c r="G43" s="142">
        <v>0.66</v>
      </c>
      <c r="H43" s="137">
        <f t="shared" si="6"/>
        <v>73.101599999999991</v>
      </c>
      <c r="I43" s="140">
        <f>ROUND(Table_3[[#This Row],[Column1]]/B43,2)</f>
        <v>0.37</v>
      </c>
      <c r="J43" s="122"/>
      <c r="K43" s="229"/>
      <c r="L43" s="193"/>
      <c r="M43" s="193"/>
      <c r="N43" s="194"/>
    </row>
    <row r="44" spans="1:14" ht="12.75">
      <c r="A44" s="128" t="s">
        <v>286</v>
      </c>
      <c r="B44" s="129">
        <v>175</v>
      </c>
      <c r="C44" s="136">
        <v>0.81</v>
      </c>
      <c r="D44" s="140">
        <f t="shared" si="7"/>
        <v>0.93</v>
      </c>
      <c r="E44" s="138">
        <v>0.75</v>
      </c>
      <c r="F44" s="140">
        <f t="shared" si="5"/>
        <v>0.95</v>
      </c>
      <c r="G44" s="143">
        <v>0.71</v>
      </c>
      <c r="H44" s="137">
        <f t="shared" si="6"/>
        <v>75.481875000000002</v>
      </c>
      <c r="I44" s="140">
        <f>ROUND(Table_3[[#This Row],[Column1]]/B44,2)</f>
        <v>0.43</v>
      </c>
      <c r="J44" s="122"/>
      <c r="K44" s="229"/>
      <c r="L44" s="193"/>
      <c r="M44" s="193"/>
      <c r="N44" s="194"/>
    </row>
    <row r="45" spans="1:14" ht="12.75">
      <c r="A45" s="128" t="s">
        <v>287</v>
      </c>
      <c r="B45" s="129">
        <v>120</v>
      </c>
      <c r="C45" s="141">
        <v>0.75</v>
      </c>
      <c r="D45" s="140">
        <f t="shared" si="7"/>
        <v>0.93</v>
      </c>
      <c r="E45" s="144">
        <v>0.7</v>
      </c>
      <c r="F45" s="140">
        <f t="shared" si="5"/>
        <v>0.89</v>
      </c>
      <c r="G45" s="145">
        <v>0.62</v>
      </c>
      <c r="H45" s="137">
        <f t="shared" si="6"/>
        <v>39.059999999999995</v>
      </c>
      <c r="I45" s="140">
        <f>ROUND(Table_3[[#This Row],[Column1]]/B45,2)</f>
        <v>0.33</v>
      </c>
      <c r="J45" s="122"/>
      <c r="K45" s="229"/>
      <c r="L45" s="193"/>
      <c r="M45" s="193"/>
      <c r="N45" s="194"/>
    </row>
    <row r="46" spans="1:14" ht="12.75">
      <c r="A46" s="128" t="s">
        <v>288</v>
      </c>
      <c r="B46" s="129">
        <v>75</v>
      </c>
      <c r="C46" s="142">
        <v>0.68</v>
      </c>
      <c r="D46" s="140">
        <f t="shared" si="7"/>
        <v>0.97</v>
      </c>
      <c r="E46" s="146">
        <v>0.66</v>
      </c>
      <c r="F46" s="140">
        <f t="shared" si="5"/>
        <v>0.83</v>
      </c>
      <c r="G46" s="147">
        <v>0.55000000000000004</v>
      </c>
      <c r="H46" s="137">
        <f t="shared" si="6"/>
        <v>18.513000000000005</v>
      </c>
      <c r="I46" s="140">
        <f>ROUND(Table_3[[#This Row],[Column1]]/B46,2)</f>
        <v>0.25</v>
      </c>
      <c r="J46" s="122"/>
      <c r="K46" s="229"/>
      <c r="L46" s="193"/>
      <c r="M46" s="193"/>
      <c r="N46" s="194"/>
    </row>
    <row r="47" spans="1:14" ht="12.75">
      <c r="A47" s="128" t="s">
        <v>289</v>
      </c>
      <c r="B47" s="129">
        <v>130</v>
      </c>
      <c r="C47" s="133">
        <v>0.72</v>
      </c>
      <c r="D47" s="140">
        <f t="shared" si="7"/>
        <v>0.93</v>
      </c>
      <c r="E47" s="143">
        <v>0.67</v>
      </c>
      <c r="F47" s="140">
        <f t="shared" si="5"/>
        <v>0.99</v>
      </c>
      <c r="G47" s="148">
        <v>0.66</v>
      </c>
      <c r="H47" s="137">
        <f t="shared" si="6"/>
        <v>41.389920000000004</v>
      </c>
      <c r="I47" s="140">
        <f>ROUND(Table_3[[#This Row],[Column1]]/B47,2)</f>
        <v>0.32</v>
      </c>
      <c r="J47" s="122"/>
      <c r="K47" s="229"/>
      <c r="L47" s="193"/>
      <c r="M47" s="193"/>
      <c r="N47" s="194"/>
    </row>
    <row r="48" spans="1:14" ht="12.75">
      <c r="A48" s="128" t="s">
        <v>290</v>
      </c>
      <c r="B48" s="129">
        <v>100</v>
      </c>
      <c r="C48" s="138">
        <v>0.7</v>
      </c>
      <c r="D48" s="140">
        <f t="shared" si="7"/>
        <v>0.9</v>
      </c>
      <c r="E48" s="149">
        <v>0.63</v>
      </c>
      <c r="F48" s="155">
        <f t="shared" si="5"/>
        <v>0.9</v>
      </c>
      <c r="G48" s="143">
        <v>0.56999999999999995</v>
      </c>
      <c r="H48" s="153">
        <f t="shared" si="6"/>
        <v>25.136999999999997</v>
      </c>
      <c r="I48" s="155">
        <f>ROUND(Table_3[[#This Row],[Column1]]/B48,2)</f>
        <v>0.25</v>
      </c>
      <c r="J48" s="122"/>
      <c r="K48" s="229"/>
      <c r="L48" s="193"/>
      <c r="M48" s="193"/>
      <c r="N48" s="194"/>
    </row>
    <row r="49" spans="1:14" ht="12.75">
      <c r="A49" s="150" t="s">
        <v>98</v>
      </c>
      <c r="B49" s="151">
        <f t="shared" ref="B49:C49" si="8">AVERAGE(B41:B48)</f>
        <v>181.25</v>
      </c>
      <c r="C49" s="152">
        <f t="shared" si="8"/>
        <v>0.72750000000000004</v>
      </c>
      <c r="D49" s="155">
        <f t="shared" ref="D49:H49" si="9">AVERAGE(D41:D48)</f>
        <v>0.92749999999999999</v>
      </c>
      <c r="E49" s="152">
        <f t="shared" si="9"/>
        <v>0.67499999999999993</v>
      </c>
      <c r="F49" s="155">
        <f t="shared" si="9"/>
        <v>0.90625</v>
      </c>
      <c r="G49" s="152">
        <f t="shared" si="9"/>
        <v>0.61250000000000004</v>
      </c>
      <c r="H49" s="153">
        <f t="shared" si="9"/>
        <v>55.467039374999999</v>
      </c>
      <c r="I49" s="155">
        <f>AVERAGE(I41:I48)</f>
        <v>0.3075</v>
      </c>
      <c r="J49" s="122"/>
      <c r="K49" s="184"/>
      <c r="L49" s="185"/>
      <c r="M49" s="185"/>
      <c r="N49" s="186"/>
    </row>
    <row r="50" spans="1:14" ht="12.75">
      <c r="A50" s="122"/>
      <c r="B50" s="122"/>
      <c r="C50" s="122"/>
      <c r="D50" s="122"/>
      <c r="E50" s="122"/>
      <c r="F50" s="122"/>
      <c r="G50" s="122"/>
      <c r="H50" s="122"/>
      <c r="I50" s="122"/>
      <c r="J50" s="122"/>
      <c r="K50" s="122"/>
      <c r="L50" s="122"/>
      <c r="M50" s="122"/>
      <c r="N50" s="122"/>
    </row>
    <row r="51" spans="1:14" ht="12.75">
      <c r="A51" s="257" t="s">
        <v>291</v>
      </c>
      <c r="B51" s="183"/>
      <c r="C51" s="257" t="s">
        <v>292</v>
      </c>
      <c r="D51" s="183"/>
      <c r="E51" s="257" t="s">
        <v>278</v>
      </c>
      <c r="F51" s="183"/>
      <c r="G51" s="257" t="s">
        <v>279</v>
      </c>
      <c r="H51" s="182"/>
      <c r="I51" s="182"/>
      <c r="J51" s="182"/>
      <c r="K51" s="182"/>
      <c r="L51" s="182"/>
      <c r="M51" s="182"/>
      <c r="N51" s="183"/>
    </row>
    <row r="52" spans="1:14" ht="12.75">
      <c r="A52" s="184"/>
      <c r="B52" s="186"/>
      <c r="C52" s="184"/>
      <c r="D52" s="186"/>
      <c r="E52" s="184"/>
      <c r="F52" s="186"/>
      <c r="G52" s="184"/>
      <c r="H52" s="185"/>
      <c r="I52" s="185"/>
      <c r="J52" s="185"/>
      <c r="K52" s="185"/>
      <c r="L52" s="185"/>
      <c r="M52" s="185"/>
      <c r="N52" s="186"/>
    </row>
    <row r="53" spans="1:14" ht="12.75">
      <c r="A53" s="251" t="s">
        <v>356</v>
      </c>
      <c r="B53" s="183"/>
      <c r="C53" s="245" t="s">
        <v>358</v>
      </c>
      <c r="D53" s="246"/>
      <c r="E53" s="251" t="s">
        <v>427</v>
      </c>
      <c r="F53" s="183"/>
      <c r="G53" s="251" t="s">
        <v>432</v>
      </c>
      <c r="H53" s="182"/>
      <c r="I53" s="182"/>
      <c r="J53" s="182"/>
      <c r="K53" s="182"/>
      <c r="L53" s="182"/>
      <c r="M53" s="182"/>
      <c r="N53" s="183"/>
    </row>
    <row r="54" spans="1:14" ht="12.75">
      <c r="A54" s="229"/>
      <c r="B54" s="194"/>
      <c r="C54" s="247"/>
      <c r="D54" s="248"/>
      <c r="E54" s="229"/>
      <c r="F54" s="194"/>
      <c r="G54" s="229"/>
      <c r="H54" s="193"/>
      <c r="I54" s="193"/>
      <c r="J54" s="193"/>
      <c r="K54" s="193"/>
      <c r="L54" s="193"/>
      <c r="M54" s="193"/>
      <c r="N54" s="194"/>
    </row>
    <row r="55" spans="1:14" ht="12.75">
      <c r="A55" s="229"/>
      <c r="B55" s="194"/>
      <c r="C55" s="247"/>
      <c r="D55" s="248"/>
      <c r="E55" s="229"/>
      <c r="F55" s="194"/>
      <c r="G55" s="229"/>
      <c r="H55" s="193"/>
      <c r="I55" s="193"/>
      <c r="J55" s="193"/>
      <c r="K55" s="193"/>
      <c r="L55" s="193"/>
      <c r="M55" s="193"/>
      <c r="N55" s="194"/>
    </row>
    <row r="56" spans="1:14" ht="12.75">
      <c r="A56" s="229"/>
      <c r="B56" s="194"/>
      <c r="C56" s="247"/>
      <c r="D56" s="248"/>
      <c r="E56" s="229"/>
      <c r="F56" s="194"/>
      <c r="G56" s="229"/>
      <c r="H56" s="193"/>
      <c r="I56" s="193"/>
      <c r="J56" s="193"/>
      <c r="K56" s="193"/>
      <c r="L56" s="193"/>
      <c r="M56" s="193"/>
      <c r="N56" s="194"/>
    </row>
    <row r="57" spans="1:14" ht="12.75">
      <c r="A57" s="229"/>
      <c r="B57" s="194"/>
      <c r="C57" s="247"/>
      <c r="D57" s="248"/>
      <c r="E57" s="229"/>
      <c r="F57" s="194"/>
      <c r="G57" s="229"/>
      <c r="H57" s="193"/>
      <c r="I57" s="193"/>
      <c r="J57" s="193"/>
      <c r="K57" s="193"/>
      <c r="L57" s="193"/>
      <c r="M57" s="193"/>
      <c r="N57" s="194"/>
    </row>
    <row r="58" spans="1:14" ht="15" customHeight="1">
      <c r="A58" s="184"/>
      <c r="B58" s="186"/>
      <c r="C58" s="249"/>
      <c r="D58" s="250"/>
      <c r="E58" s="184"/>
      <c r="F58" s="186"/>
      <c r="G58" s="184"/>
      <c r="H58" s="185"/>
      <c r="I58" s="185"/>
      <c r="J58" s="185"/>
      <c r="K58" s="185"/>
      <c r="L58" s="185"/>
      <c r="M58" s="185"/>
      <c r="N58" s="186"/>
    </row>
    <row r="59" spans="1:14" ht="12.75">
      <c r="A59" s="122"/>
      <c r="B59" s="122"/>
      <c r="C59" s="122"/>
      <c r="D59" s="122"/>
      <c r="E59" s="122"/>
      <c r="F59" s="122"/>
      <c r="G59" s="122"/>
      <c r="H59" s="122"/>
      <c r="I59" s="122"/>
      <c r="J59" s="122"/>
      <c r="K59" s="122"/>
      <c r="L59" s="122"/>
      <c r="M59" s="122"/>
      <c r="N59" s="122"/>
    </row>
    <row r="60" spans="1:14" ht="12.75">
      <c r="A60" s="252" t="s">
        <v>293</v>
      </c>
      <c r="B60" s="177"/>
      <c r="C60" s="177"/>
      <c r="D60" s="177"/>
      <c r="E60" s="177"/>
      <c r="F60" s="177"/>
      <c r="G60" s="177"/>
      <c r="H60" s="177"/>
      <c r="I60" s="178"/>
      <c r="J60" s="123"/>
      <c r="K60" s="253" t="s">
        <v>68</v>
      </c>
      <c r="L60" s="193"/>
      <c r="M60" s="193"/>
      <c r="N60" s="193"/>
    </row>
    <row r="61" spans="1:14" ht="25.5">
      <c r="A61" s="124" t="s">
        <v>294</v>
      </c>
      <c r="B61" s="124" t="s">
        <v>282</v>
      </c>
      <c r="C61" s="252"/>
      <c r="D61" s="177"/>
      <c r="E61" s="177"/>
      <c r="F61" s="177"/>
      <c r="G61" s="178"/>
      <c r="H61" s="254" t="s">
        <v>260</v>
      </c>
      <c r="I61" s="255" t="s">
        <v>261</v>
      </c>
      <c r="J61" s="123"/>
      <c r="K61" s="193"/>
      <c r="L61" s="193"/>
      <c r="M61" s="193"/>
      <c r="N61" s="193"/>
    </row>
    <row r="62" spans="1:14" ht="12.75">
      <c r="A62" s="125" t="s">
        <v>262</v>
      </c>
      <c r="B62" s="126">
        <f>SUM(B63:B69)</f>
        <v>1500</v>
      </c>
      <c r="C62" s="127" t="s">
        <v>263</v>
      </c>
      <c r="D62" s="127" t="s">
        <v>264</v>
      </c>
      <c r="E62" s="127" t="s">
        <v>265</v>
      </c>
      <c r="F62" s="127" t="s">
        <v>264</v>
      </c>
      <c r="G62" s="127" t="s">
        <v>267</v>
      </c>
      <c r="H62" s="232"/>
      <c r="I62" s="232"/>
      <c r="J62" s="122"/>
      <c r="K62" s="256"/>
      <c r="L62" s="182"/>
      <c r="M62" s="182"/>
      <c r="N62" s="183"/>
    </row>
    <row r="63" spans="1:14" ht="12.75">
      <c r="A63" s="128" t="s">
        <v>295</v>
      </c>
      <c r="B63" s="129">
        <v>100</v>
      </c>
      <c r="C63" s="130">
        <v>0.59</v>
      </c>
      <c r="D63" s="140">
        <f t="shared" ref="D63:D69" si="10">ROUND(E63/C63,2)</f>
        <v>0.93</v>
      </c>
      <c r="E63" s="132">
        <v>0.55000000000000004</v>
      </c>
      <c r="F63" s="140">
        <f t="shared" ref="F63:F69" si="11">ROUND(G63/E63,2)</f>
        <v>0.87</v>
      </c>
      <c r="G63" s="133">
        <v>0.48</v>
      </c>
      <c r="H63" s="137">
        <f t="shared" ref="H63:H69" si="12">B63*C63*E63*G63</f>
        <v>15.576000000000001</v>
      </c>
      <c r="I63" s="140">
        <f>ROUND(Table_7[[#This Row],[Column1]]/B63,2)</f>
        <v>0.16</v>
      </c>
      <c r="J63" s="122"/>
      <c r="K63" s="229"/>
      <c r="L63" s="193"/>
      <c r="M63" s="193"/>
      <c r="N63" s="194"/>
    </row>
    <row r="64" spans="1:14" ht="12.75">
      <c r="A64" s="128" t="s">
        <v>296</v>
      </c>
      <c r="B64" s="129">
        <v>250</v>
      </c>
      <c r="C64" s="136">
        <v>0.62</v>
      </c>
      <c r="D64" s="140">
        <f t="shared" si="10"/>
        <v>0.98</v>
      </c>
      <c r="E64" s="138">
        <v>0.61</v>
      </c>
      <c r="F64" s="140">
        <f t="shared" si="11"/>
        <v>0.84</v>
      </c>
      <c r="G64" s="139">
        <v>0.51</v>
      </c>
      <c r="H64" s="137">
        <f t="shared" si="12"/>
        <v>48.220500000000001</v>
      </c>
      <c r="I64" s="140">
        <f>ROUND(Table_7[[#This Row],[Column1]]/B64,2)</f>
        <v>0.19</v>
      </c>
      <c r="J64" s="122"/>
      <c r="K64" s="229"/>
      <c r="L64" s="193"/>
      <c r="M64" s="193"/>
      <c r="N64" s="194"/>
    </row>
    <row r="65" spans="1:14" ht="12.75">
      <c r="A65" s="128" t="s">
        <v>297</v>
      </c>
      <c r="B65" s="129">
        <v>210</v>
      </c>
      <c r="C65" s="141">
        <v>0.7</v>
      </c>
      <c r="D65" s="140">
        <f t="shared" si="10"/>
        <v>0.87</v>
      </c>
      <c r="E65" s="136">
        <v>0.61</v>
      </c>
      <c r="F65" s="140">
        <f t="shared" si="11"/>
        <v>0.9</v>
      </c>
      <c r="G65" s="142">
        <v>0.55000000000000004</v>
      </c>
      <c r="H65" s="137">
        <f t="shared" si="12"/>
        <v>49.318500000000007</v>
      </c>
      <c r="I65" s="140">
        <f>ROUND(Table_7[[#This Row],[Column1]]/B65,2)</f>
        <v>0.23</v>
      </c>
      <c r="J65" s="122"/>
      <c r="K65" s="229"/>
      <c r="L65" s="193"/>
      <c r="M65" s="193"/>
      <c r="N65" s="194"/>
    </row>
    <row r="66" spans="1:14" ht="12.75">
      <c r="A66" s="128" t="s">
        <v>298</v>
      </c>
      <c r="B66" s="129">
        <v>250</v>
      </c>
      <c r="C66" s="136">
        <v>0.83</v>
      </c>
      <c r="D66" s="140">
        <f t="shared" si="10"/>
        <v>0.92</v>
      </c>
      <c r="E66" s="138">
        <v>0.76</v>
      </c>
      <c r="F66" s="140">
        <f t="shared" si="11"/>
        <v>0.92</v>
      </c>
      <c r="G66" s="143">
        <v>0.7</v>
      </c>
      <c r="H66" s="137">
        <f t="shared" si="12"/>
        <v>110.38999999999999</v>
      </c>
      <c r="I66" s="140">
        <f>ROUND(Table_7[[#This Row],[Column1]]/B66,2)</f>
        <v>0.44</v>
      </c>
      <c r="J66" s="122"/>
      <c r="K66" s="229"/>
      <c r="L66" s="193"/>
      <c r="M66" s="193"/>
      <c r="N66" s="194"/>
    </row>
    <row r="67" spans="1:14" ht="12.75">
      <c r="A67" s="128" t="s">
        <v>299</v>
      </c>
      <c r="B67" s="129">
        <v>220</v>
      </c>
      <c r="C67" s="141">
        <v>0.86</v>
      </c>
      <c r="D67" s="140">
        <f t="shared" si="10"/>
        <v>0.91</v>
      </c>
      <c r="E67" s="144">
        <v>0.78</v>
      </c>
      <c r="F67" s="140">
        <f t="shared" si="11"/>
        <v>0.94</v>
      </c>
      <c r="G67" s="145">
        <v>0.73</v>
      </c>
      <c r="H67" s="137">
        <f t="shared" si="12"/>
        <v>107.73047999999999</v>
      </c>
      <c r="I67" s="140">
        <f>ROUND(Table_7[[#This Row],[Column1]]/B67,2)</f>
        <v>0.49</v>
      </c>
      <c r="J67" s="122"/>
      <c r="K67" s="229"/>
      <c r="L67" s="193"/>
      <c r="M67" s="193"/>
      <c r="N67" s="194"/>
    </row>
    <row r="68" spans="1:14" ht="12.75">
      <c r="A68" s="128" t="s">
        <v>300</v>
      </c>
      <c r="B68" s="129">
        <v>270</v>
      </c>
      <c r="C68" s="142">
        <v>0.87206396801599195</v>
      </c>
      <c r="D68" s="155">
        <f t="shared" si="10"/>
        <v>0.93</v>
      </c>
      <c r="E68" s="146">
        <v>0.81</v>
      </c>
      <c r="F68" s="155">
        <f t="shared" si="11"/>
        <v>0.9</v>
      </c>
      <c r="G68" s="147">
        <v>0.73</v>
      </c>
      <c r="H68" s="153">
        <f t="shared" si="12"/>
        <v>139.22588455772114</v>
      </c>
      <c r="I68" s="155">
        <f>ROUND(Table_7[[#This Row],[Column1]]/B68,2)</f>
        <v>0.52</v>
      </c>
      <c r="J68" s="122"/>
      <c r="K68" s="229"/>
      <c r="L68" s="193"/>
      <c r="M68" s="193"/>
      <c r="N68" s="194"/>
    </row>
    <row r="69" spans="1:14" ht="12.75">
      <c r="A69" s="128" t="s">
        <v>301</v>
      </c>
      <c r="B69" s="129">
        <v>200</v>
      </c>
      <c r="C69" s="133">
        <v>0.88</v>
      </c>
      <c r="D69" s="155">
        <f t="shared" si="10"/>
        <v>0.91</v>
      </c>
      <c r="E69" s="143">
        <v>0.8</v>
      </c>
      <c r="F69" s="155">
        <f t="shared" si="11"/>
        <v>0.89</v>
      </c>
      <c r="G69" s="148">
        <v>0.71</v>
      </c>
      <c r="H69" s="153">
        <f t="shared" si="12"/>
        <v>99.968000000000004</v>
      </c>
      <c r="I69" s="155">
        <f>ROUND(Table_7[[#This Row],[Column1]]/B69,2)</f>
        <v>0.5</v>
      </c>
      <c r="J69" s="122"/>
      <c r="K69" s="229"/>
      <c r="L69" s="193"/>
      <c r="M69" s="193"/>
      <c r="N69" s="194"/>
    </row>
    <row r="70" spans="1:14" ht="12.75">
      <c r="A70" s="125" t="s">
        <v>98</v>
      </c>
      <c r="B70" s="151">
        <f t="shared" ref="B70:C70" si="13">AVERAGE(B63:B69)</f>
        <v>214.28571428571428</v>
      </c>
      <c r="C70" s="152">
        <f t="shared" si="13"/>
        <v>0.76458056685942732</v>
      </c>
      <c r="D70" s="155">
        <f>ROUND(AVERAGE(D63:D69),2)</f>
        <v>0.92</v>
      </c>
      <c r="E70" s="152">
        <f>AVERAGE(E63:E69)</f>
        <v>0.70285714285714296</v>
      </c>
      <c r="F70" s="155">
        <f>ROUND(AVERAGE(F63:F69),2)</f>
        <v>0.89</v>
      </c>
      <c r="G70" s="152">
        <f>AVERAGE(G63:G69)</f>
        <v>0.63</v>
      </c>
      <c r="H70" s="153">
        <f>AVERAGE(H63:H69)</f>
        <v>81.48990922253158</v>
      </c>
      <c r="I70" s="155">
        <f>AVERAGE(I63:I69)</f>
        <v>0.36142857142857149</v>
      </c>
      <c r="J70" s="122"/>
      <c r="K70" s="184"/>
      <c r="L70" s="185"/>
      <c r="M70" s="185"/>
      <c r="N70" s="186"/>
    </row>
    <row r="71" spans="1:14" ht="12.75">
      <c r="A71" s="122"/>
      <c r="B71" s="122"/>
      <c r="C71" s="122"/>
      <c r="D71" s="122"/>
      <c r="E71" s="122"/>
      <c r="F71" s="122"/>
      <c r="G71" s="122"/>
      <c r="H71" s="122"/>
      <c r="I71" s="122"/>
      <c r="J71" s="122"/>
      <c r="K71" s="122"/>
      <c r="L71" s="122"/>
      <c r="M71" s="122"/>
      <c r="N71" s="122"/>
    </row>
    <row r="72" spans="1:14" ht="12.75">
      <c r="A72" s="257" t="s">
        <v>302</v>
      </c>
      <c r="B72" s="183"/>
      <c r="C72" s="257" t="s">
        <v>303</v>
      </c>
      <c r="D72" s="183"/>
      <c r="E72" s="257" t="s">
        <v>278</v>
      </c>
      <c r="F72" s="183"/>
      <c r="G72" s="257" t="s">
        <v>279</v>
      </c>
      <c r="H72" s="182"/>
      <c r="I72" s="182"/>
      <c r="J72" s="182"/>
      <c r="K72" s="182"/>
      <c r="L72" s="182"/>
      <c r="M72" s="182"/>
      <c r="N72" s="183"/>
    </row>
    <row r="73" spans="1:14" ht="12.75">
      <c r="A73" s="184"/>
      <c r="B73" s="186"/>
      <c r="C73" s="184"/>
      <c r="D73" s="186"/>
      <c r="E73" s="184"/>
      <c r="F73" s="186"/>
      <c r="G73" s="184"/>
      <c r="H73" s="185"/>
      <c r="I73" s="185"/>
      <c r="J73" s="185"/>
      <c r="K73" s="185"/>
      <c r="L73" s="185"/>
      <c r="M73" s="185"/>
      <c r="N73" s="186"/>
    </row>
    <row r="74" spans="1:14" ht="12.75">
      <c r="A74" s="251" t="s">
        <v>359</v>
      </c>
      <c r="B74" s="183"/>
      <c r="C74" s="245" t="s">
        <v>360</v>
      </c>
      <c r="D74" s="246"/>
      <c r="E74" s="251" t="s">
        <v>428</v>
      </c>
      <c r="F74" s="183"/>
      <c r="G74" s="251" t="s">
        <v>431</v>
      </c>
      <c r="H74" s="182"/>
      <c r="I74" s="182"/>
      <c r="J74" s="182"/>
      <c r="K74" s="182"/>
      <c r="L74" s="182"/>
      <c r="M74" s="182"/>
      <c r="N74" s="183"/>
    </row>
    <row r="75" spans="1:14" ht="12.75">
      <c r="A75" s="229"/>
      <c r="B75" s="194"/>
      <c r="C75" s="247"/>
      <c r="D75" s="248"/>
      <c r="E75" s="229"/>
      <c r="F75" s="194"/>
      <c r="G75" s="229"/>
      <c r="H75" s="193"/>
      <c r="I75" s="193"/>
      <c r="J75" s="193"/>
      <c r="K75" s="193"/>
      <c r="L75" s="193"/>
      <c r="M75" s="193"/>
      <c r="N75" s="194"/>
    </row>
    <row r="76" spans="1:14" ht="12.75">
      <c r="A76" s="229"/>
      <c r="B76" s="194"/>
      <c r="C76" s="247"/>
      <c r="D76" s="248"/>
      <c r="E76" s="229"/>
      <c r="F76" s="194"/>
      <c r="G76" s="229"/>
      <c r="H76" s="193"/>
      <c r="I76" s="193"/>
      <c r="J76" s="193"/>
      <c r="K76" s="193"/>
      <c r="L76" s="193"/>
      <c r="M76" s="193"/>
      <c r="N76" s="194"/>
    </row>
    <row r="77" spans="1:14" ht="12.75">
      <c r="A77" s="229"/>
      <c r="B77" s="194"/>
      <c r="C77" s="247"/>
      <c r="D77" s="248"/>
      <c r="E77" s="229"/>
      <c r="F77" s="194"/>
      <c r="G77" s="229"/>
      <c r="H77" s="193"/>
      <c r="I77" s="193"/>
      <c r="J77" s="193"/>
      <c r="K77" s="193"/>
      <c r="L77" s="193"/>
      <c r="M77" s="193"/>
      <c r="N77" s="194"/>
    </row>
    <row r="78" spans="1:14" ht="12.75">
      <c r="A78" s="229"/>
      <c r="B78" s="194"/>
      <c r="C78" s="247"/>
      <c r="D78" s="248"/>
      <c r="E78" s="229"/>
      <c r="F78" s="194"/>
      <c r="G78" s="229"/>
      <c r="H78" s="193"/>
      <c r="I78" s="193"/>
      <c r="J78" s="193"/>
      <c r="K78" s="193"/>
      <c r="L78" s="193"/>
      <c r="M78" s="193"/>
      <c r="N78" s="194"/>
    </row>
    <row r="79" spans="1:14" ht="15" customHeight="1">
      <c r="A79" s="184"/>
      <c r="B79" s="186"/>
      <c r="C79" s="249"/>
      <c r="D79" s="250"/>
      <c r="E79" s="184"/>
      <c r="F79" s="186"/>
      <c r="G79" s="184"/>
      <c r="H79" s="185"/>
      <c r="I79" s="185"/>
      <c r="J79" s="185"/>
      <c r="K79" s="185"/>
      <c r="L79" s="185"/>
      <c r="M79" s="185"/>
      <c r="N79" s="186"/>
    </row>
    <row r="80" spans="1:14" ht="12.75">
      <c r="A80" s="122"/>
      <c r="B80" s="122"/>
      <c r="C80" s="122"/>
      <c r="D80" s="122"/>
      <c r="E80" s="122"/>
      <c r="F80" s="122"/>
      <c r="G80" s="122"/>
      <c r="H80" s="122"/>
      <c r="I80" s="122"/>
      <c r="J80" s="122"/>
      <c r="K80" s="122"/>
      <c r="L80" s="122"/>
      <c r="M80" s="122"/>
      <c r="N80" s="122"/>
    </row>
    <row r="81" spans="1:14" ht="15">
      <c r="A81" s="252" t="s">
        <v>304</v>
      </c>
      <c r="B81" s="177"/>
      <c r="C81" s="177"/>
      <c r="D81" s="177"/>
      <c r="E81" s="177"/>
      <c r="F81" s="177"/>
      <c r="G81" s="177"/>
      <c r="H81" s="177"/>
      <c r="I81" s="178"/>
      <c r="J81" s="123"/>
      <c r="K81" s="253" t="s">
        <v>68</v>
      </c>
      <c r="L81" s="193"/>
      <c r="M81" s="193"/>
      <c r="N81" s="193"/>
    </row>
    <row r="82" spans="1:14" ht="30">
      <c r="A82" s="124" t="s">
        <v>305</v>
      </c>
      <c r="B82" s="124" t="s">
        <v>282</v>
      </c>
      <c r="C82" s="252"/>
      <c r="D82" s="177"/>
      <c r="E82" s="177"/>
      <c r="F82" s="177"/>
      <c r="G82" s="178"/>
      <c r="H82" s="254" t="s">
        <v>260</v>
      </c>
      <c r="I82" s="255" t="s">
        <v>261</v>
      </c>
      <c r="J82" s="123"/>
      <c r="K82" s="193"/>
      <c r="L82" s="193"/>
      <c r="M82" s="193"/>
      <c r="N82" s="193"/>
    </row>
    <row r="83" spans="1:14" ht="15">
      <c r="A83" s="125" t="s">
        <v>262</v>
      </c>
      <c r="B83" s="126">
        <f>SUM(B84:B88)</f>
        <v>1490</v>
      </c>
      <c r="C83" s="127" t="s">
        <v>263</v>
      </c>
      <c r="D83" s="127" t="s">
        <v>264</v>
      </c>
      <c r="E83" s="127" t="s">
        <v>265</v>
      </c>
      <c r="F83" s="127" t="s">
        <v>264</v>
      </c>
      <c r="G83" s="127" t="s">
        <v>267</v>
      </c>
      <c r="H83" s="232"/>
      <c r="I83" s="232"/>
      <c r="J83" s="122"/>
      <c r="K83" s="256"/>
      <c r="L83" s="182"/>
      <c r="M83" s="182"/>
      <c r="N83" s="183"/>
    </row>
    <row r="84" spans="1:14" ht="15">
      <c r="A84" s="128" t="s">
        <v>306</v>
      </c>
      <c r="B84" s="129">
        <v>250</v>
      </c>
      <c r="C84" s="130">
        <v>0.72</v>
      </c>
      <c r="D84" s="140">
        <f t="shared" ref="D84:D88" si="14">ROUND(E84/C84,2)</f>
        <v>0.94</v>
      </c>
      <c r="E84" s="132">
        <v>0.68</v>
      </c>
      <c r="F84" s="140">
        <f t="shared" ref="F84:F88" si="15">ROUND(G84/E84,2)</f>
        <v>0.88</v>
      </c>
      <c r="G84" s="133">
        <v>0.6</v>
      </c>
      <c r="H84" s="137">
        <f t="shared" ref="H84:H88" si="16">B84*C84*E84*G84</f>
        <v>73.44</v>
      </c>
      <c r="I84" s="140">
        <f>ROUND(Table_11[[#This Row],[Column1]]/B84,2)</f>
        <v>0.28999999999999998</v>
      </c>
      <c r="J84" s="122"/>
      <c r="K84" s="229"/>
      <c r="L84" s="193"/>
      <c r="M84" s="193"/>
      <c r="N84" s="194"/>
    </row>
    <row r="85" spans="1:14" ht="15">
      <c r="A85" s="128" t="s">
        <v>307</v>
      </c>
      <c r="B85" s="129">
        <v>310</v>
      </c>
      <c r="C85" s="136">
        <v>0.76</v>
      </c>
      <c r="D85" s="140">
        <f t="shared" si="14"/>
        <v>0.92</v>
      </c>
      <c r="E85" s="138">
        <v>0.7</v>
      </c>
      <c r="F85" s="140">
        <f t="shared" si="15"/>
        <v>0.84</v>
      </c>
      <c r="G85" s="139">
        <v>0.59</v>
      </c>
      <c r="H85" s="137">
        <f t="shared" si="16"/>
        <v>97.302799999999991</v>
      </c>
      <c r="I85" s="140">
        <f>ROUND(Table_11[[#This Row],[Column1]]/B85,2)</f>
        <v>0.31</v>
      </c>
      <c r="J85" s="122"/>
      <c r="K85" s="229"/>
      <c r="L85" s="193"/>
      <c r="M85" s="193"/>
      <c r="N85" s="194"/>
    </row>
    <row r="86" spans="1:14" ht="15">
      <c r="A86" s="128" t="s">
        <v>308</v>
      </c>
      <c r="B86" s="129">
        <v>390</v>
      </c>
      <c r="C86" s="141">
        <v>0.8</v>
      </c>
      <c r="D86" s="155">
        <f t="shared" si="14"/>
        <v>0.91</v>
      </c>
      <c r="E86" s="136">
        <v>0.73</v>
      </c>
      <c r="F86" s="155">
        <f t="shared" si="15"/>
        <v>0.89</v>
      </c>
      <c r="G86" s="142">
        <v>0.65</v>
      </c>
      <c r="H86" s="153">
        <f t="shared" si="16"/>
        <v>148.04400000000001</v>
      </c>
      <c r="I86" s="155">
        <f>ROUND(Table_11[[#This Row],[Column1]]/B86,2)</f>
        <v>0.38</v>
      </c>
      <c r="J86" s="122"/>
      <c r="K86" s="229"/>
      <c r="L86" s="193"/>
      <c r="M86" s="193"/>
      <c r="N86" s="194"/>
    </row>
    <row r="87" spans="1:14" ht="15">
      <c r="A87" s="128" t="s">
        <v>309</v>
      </c>
      <c r="B87" s="129">
        <v>430</v>
      </c>
      <c r="C87" s="136">
        <v>0.83</v>
      </c>
      <c r="D87" s="155">
        <f t="shared" si="14"/>
        <v>0.94</v>
      </c>
      <c r="E87" s="138">
        <v>0.78</v>
      </c>
      <c r="F87" s="155">
        <f t="shared" si="15"/>
        <v>0.91</v>
      </c>
      <c r="G87" s="143">
        <v>0.71</v>
      </c>
      <c r="H87" s="153">
        <f t="shared" si="16"/>
        <v>197.65122</v>
      </c>
      <c r="I87" s="155">
        <f>ROUND(Table_11[[#This Row],[Column1]]/B87,2)</f>
        <v>0.46</v>
      </c>
      <c r="J87" s="122"/>
      <c r="K87" s="229"/>
      <c r="L87" s="193"/>
      <c r="M87" s="193"/>
      <c r="N87" s="194"/>
    </row>
    <row r="88" spans="1:14" ht="15">
      <c r="A88" s="128" t="s">
        <v>310</v>
      </c>
      <c r="B88" s="129">
        <v>110</v>
      </c>
      <c r="C88" s="141">
        <v>0.7</v>
      </c>
      <c r="D88" s="155">
        <f t="shared" si="14"/>
        <v>0.94</v>
      </c>
      <c r="E88" s="144">
        <v>0.66</v>
      </c>
      <c r="F88" s="155">
        <f t="shared" si="15"/>
        <v>0.88</v>
      </c>
      <c r="G88" s="145">
        <v>0.57999999999999996</v>
      </c>
      <c r="H88" s="153">
        <f t="shared" si="16"/>
        <v>29.475599999999996</v>
      </c>
      <c r="I88" s="155">
        <f>ROUND(Table_11[[#This Row],[Column1]]/B88,2)</f>
        <v>0.27</v>
      </c>
      <c r="J88" s="122"/>
      <c r="K88" s="229"/>
      <c r="L88" s="193"/>
      <c r="M88" s="193"/>
      <c r="N88" s="194"/>
    </row>
    <row r="89" spans="1:14" ht="15">
      <c r="A89" s="125" t="s">
        <v>98</v>
      </c>
      <c r="B89" s="126">
        <f t="shared" ref="B89:C89" si="17">AVERAGE(B84:B88)</f>
        <v>298</v>
      </c>
      <c r="C89" s="152">
        <f t="shared" si="17"/>
        <v>0.76200000000000012</v>
      </c>
      <c r="D89" s="155">
        <f t="shared" ref="D89:I89" si="18">AVERAGE(D84:D88)</f>
        <v>0.93</v>
      </c>
      <c r="E89" s="152">
        <f t="shared" si="18"/>
        <v>0.71</v>
      </c>
      <c r="F89" s="155">
        <f t="shared" si="18"/>
        <v>0.88000000000000012</v>
      </c>
      <c r="G89" s="152">
        <f t="shared" si="18"/>
        <v>0.626</v>
      </c>
      <c r="H89" s="153">
        <f t="shared" si="18"/>
        <v>109.18272399999998</v>
      </c>
      <c r="I89" s="155">
        <f t="shared" si="18"/>
        <v>0.34199999999999997</v>
      </c>
      <c r="J89" s="122"/>
      <c r="K89" s="184"/>
      <c r="L89" s="185"/>
      <c r="M89" s="185"/>
      <c r="N89" s="186"/>
    </row>
    <row r="90" spans="1:14" ht="12.75">
      <c r="A90" s="122"/>
      <c r="B90" s="122"/>
      <c r="C90" s="122"/>
      <c r="D90" s="122"/>
      <c r="E90" s="122"/>
      <c r="F90" s="122"/>
      <c r="G90" s="122"/>
      <c r="H90" s="122"/>
      <c r="I90" s="122"/>
      <c r="J90" s="122"/>
      <c r="K90" s="122"/>
      <c r="L90" s="122"/>
      <c r="M90" s="122"/>
      <c r="N90" s="122"/>
    </row>
    <row r="91" spans="1:14" ht="12.75">
      <c r="A91" s="257" t="s">
        <v>311</v>
      </c>
      <c r="B91" s="183"/>
      <c r="C91" s="257" t="s">
        <v>312</v>
      </c>
      <c r="D91" s="183"/>
      <c r="E91" s="257" t="s">
        <v>278</v>
      </c>
      <c r="F91" s="183"/>
      <c r="G91" s="257" t="s">
        <v>279</v>
      </c>
      <c r="H91" s="182"/>
      <c r="I91" s="182"/>
      <c r="J91" s="182"/>
      <c r="K91" s="182"/>
      <c r="L91" s="182"/>
      <c r="M91" s="182"/>
      <c r="N91" s="183"/>
    </row>
    <row r="92" spans="1:14" ht="12.75">
      <c r="A92" s="184"/>
      <c r="B92" s="186"/>
      <c r="C92" s="184"/>
      <c r="D92" s="186"/>
      <c r="E92" s="184"/>
      <c r="F92" s="186"/>
      <c r="G92" s="184"/>
      <c r="H92" s="185"/>
      <c r="I92" s="185"/>
      <c r="J92" s="185"/>
      <c r="K92" s="185"/>
      <c r="L92" s="185"/>
      <c r="M92" s="185"/>
      <c r="N92" s="186"/>
    </row>
    <row r="93" spans="1:14" ht="12.75">
      <c r="A93" s="251" t="s">
        <v>361</v>
      </c>
      <c r="B93" s="183"/>
      <c r="C93" s="251" t="s">
        <v>362</v>
      </c>
      <c r="D93" s="183"/>
      <c r="E93" s="251" t="s">
        <v>429</v>
      </c>
      <c r="F93" s="183"/>
      <c r="G93" s="251" t="s">
        <v>430</v>
      </c>
      <c r="H93" s="182"/>
      <c r="I93" s="182"/>
      <c r="J93" s="182"/>
      <c r="K93" s="182"/>
      <c r="L93" s="182"/>
      <c r="M93" s="182"/>
      <c r="N93" s="183"/>
    </row>
    <row r="94" spans="1:14" ht="12.75">
      <c r="A94" s="229"/>
      <c r="B94" s="194"/>
      <c r="C94" s="229"/>
      <c r="D94" s="194"/>
      <c r="E94" s="229"/>
      <c r="F94" s="194"/>
      <c r="G94" s="229"/>
      <c r="H94" s="193"/>
      <c r="I94" s="193"/>
      <c r="J94" s="193"/>
      <c r="K94" s="193"/>
      <c r="L94" s="193"/>
      <c r="M94" s="193"/>
      <c r="N94" s="194"/>
    </row>
    <row r="95" spans="1:14" ht="12.75">
      <c r="A95" s="229"/>
      <c r="B95" s="194"/>
      <c r="C95" s="229"/>
      <c r="D95" s="194"/>
      <c r="E95" s="229"/>
      <c r="F95" s="194"/>
      <c r="G95" s="229"/>
      <c r="H95" s="193"/>
      <c r="I95" s="193"/>
      <c r="J95" s="193"/>
      <c r="K95" s="193"/>
      <c r="L95" s="193"/>
      <c r="M95" s="193"/>
      <c r="N95" s="194"/>
    </row>
    <row r="96" spans="1:14" ht="12.75">
      <c r="A96" s="229"/>
      <c r="B96" s="194"/>
      <c r="C96" s="229"/>
      <c r="D96" s="194"/>
      <c r="E96" s="229"/>
      <c r="F96" s="194"/>
      <c r="G96" s="229"/>
      <c r="H96" s="193"/>
      <c r="I96" s="193"/>
      <c r="J96" s="193"/>
      <c r="K96" s="193"/>
      <c r="L96" s="193"/>
      <c r="M96" s="193"/>
      <c r="N96" s="194"/>
    </row>
    <row r="97" spans="1:14" ht="12.75">
      <c r="A97" s="229"/>
      <c r="B97" s="194"/>
      <c r="C97" s="229"/>
      <c r="D97" s="194"/>
      <c r="E97" s="229"/>
      <c r="F97" s="194"/>
      <c r="G97" s="229"/>
      <c r="H97" s="193"/>
      <c r="I97" s="193"/>
      <c r="J97" s="193"/>
      <c r="K97" s="193"/>
      <c r="L97" s="193"/>
      <c r="M97" s="193"/>
      <c r="N97" s="194"/>
    </row>
    <row r="98" spans="1:14" ht="24" customHeight="1">
      <c r="A98" s="184"/>
      <c r="B98" s="186"/>
      <c r="C98" s="184"/>
      <c r="D98" s="186"/>
      <c r="E98" s="184"/>
      <c r="F98" s="186"/>
      <c r="G98" s="184"/>
      <c r="H98" s="185"/>
      <c r="I98" s="185"/>
      <c r="J98" s="185"/>
      <c r="K98" s="185"/>
      <c r="L98" s="185"/>
      <c r="M98" s="185"/>
      <c r="N98" s="186"/>
    </row>
  </sheetData>
  <mergeCells count="71">
    <mergeCell ref="G51:N52"/>
    <mergeCell ref="A93:B98"/>
    <mergeCell ref="C93:D98"/>
    <mergeCell ref="E93:F98"/>
    <mergeCell ref="G93:N98"/>
    <mergeCell ref="H82:H83"/>
    <mergeCell ref="I82:I83"/>
    <mergeCell ref="K83:N89"/>
    <mergeCell ref="A91:B92"/>
    <mergeCell ref="C91:D92"/>
    <mergeCell ref="E91:F92"/>
    <mergeCell ref="G91:N92"/>
    <mergeCell ref="A81:I81"/>
    <mergeCell ref="K81:N82"/>
    <mergeCell ref="C82:G82"/>
    <mergeCell ref="A74:B79"/>
    <mergeCell ref="E31:F36"/>
    <mergeCell ref="A38:I38"/>
    <mergeCell ref="A29:B30"/>
    <mergeCell ref="C29:D30"/>
    <mergeCell ref="E29:F30"/>
    <mergeCell ref="G29:N30"/>
    <mergeCell ref="A31:B36"/>
    <mergeCell ref="C31:D36"/>
    <mergeCell ref="G31:N36"/>
    <mergeCell ref="A15:J15"/>
    <mergeCell ref="A16:I16"/>
    <mergeCell ref="K16:N17"/>
    <mergeCell ref="C17:G17"/>
    <mergeCell ref="H17:H18"/>
    <mergeCell ref="I17:I18"/>
    <mergeCell ref="K18:N27"/>
    <mergeCell ref="A1:N1"/>
    <mergeCell ref="A2:J2"/>
    <mergeCell ref="A3:J3"/>
    <mergeCell ref="A4:J4"/>
    <mergeCell ref="A5:J5"/>
    <mergeCell ref="A6:J6"/>
    <mergeCell ref="A7:J7"/>
    <mergeCell ref="A8:J8"/>
    <mergeCell ref="A9:J9"/>
    <mergeCell ref="A10:J10"/>
    <mergeCell ref="A11:J11"/>
    <mergeCell ref="A12:J12"/>
    <mergeCell ref="A13:J13"/>
    <mergeCell ref="A72:B73"/>
    <mergeCell ref="C72:D73"/>
    <mergeCell ref="E72:F73"/>
    <mergeCell ref="G72:N73"/>
    <mergeCell ref="A51:B52"/>
    <mergeCell ref="C51:D52"/>
    <mergeCell ref="E51:F52"/>
    <mergeCell ref="K38:N39"/>
    <mergeCell ref="C39:G39"/>
    <mergeCell ref="H39:H40"/>
    <mergeCell ref="I39:I40"/>
    <mergeCell ref="K40:N49"/>
    <mergeCell ref="A14:J14"/>
    <mergeCell ref="C74:D79"/>
    <mergeCell ref="E74:F79"/>
    <mergeCell ref="G74:N79"/>
    <mergeCell ref="G53:N58"/>
    <mergeCell ref="A60:I60"/>
    <mergeCell ref="K60:N61"/>
    <mergeCell ref="C61:G61"/>
    <mergeCell ref="H61:H62"/>
    <mergeCell ref="I61:I62"/>
    <mergeCell ref="K62:N70"/>
    <mergeCell ref="A53:B58"/>
    <mergeCell ref="C53:D58"/>
    <mergeCell ref="E53:F58"/>
  </mergeCells>
  <pageMargins left="0.7" right="0.7" top="0.75" bottom="0.75" header="0.3" footer="0.3"/>
  <tableParts count="12">
    <tablePart r:id="rId1"/>
    <tablePart r:id="rId2"/>
    <tablePart r:id="rId3"/>
    <tablePart r:id="rId4"/>
    <tablePart r:id="rId5"/>
    <tablePart r:id="rId6"/>
    <tablePart r:id="rId7"/>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Deliverables</vt:lpstr>
      <vt:lpstr>Tab 1 - Measure drop-offs</vt:lpstr>
      <vt:lpstr>Tab 2 - Signup Experiments</vt:lpstr>
      <vt:lpstr>Tab 3 - Activation Hypothesis</vt:lpstr>
      <vt:lpstr>Tab 4 - Habit Moment and Metric</vt:lpstr>
      <vt:lpstr>Tab 5 - Aha Moment and Metric A</vt:lpstr>
      <vt:lpstr>Tab 6 - Setup Moment and Metric</vt:lpstr>
      <vt:lpstr>Tab 7 - Activation Funnel</vt:lpstr>
      <vt:lpstr>Tab 8 - Segment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okba zebir</cp:lastModifiedBy>
  <dcterms:modified xsi:type="dcterms:W3CDTF">2023-07-10T04:16:13Z</dcterms:modified>
</cp:coreProperties>
</file>