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B33E238C-DF7A-4ABF-BD16-2A4EC67F266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zad 1" sheetId="20" r:id="rId1"/>
    <sheet name="zad 2" sheetId="4" r:id="rId2"/>
    <sheet name="Zad3 - SPSS" sheetId="21" r:id="rId3"/>
    <sheet name="zad 4" sheetId="11" r:id="rId4"/>
    <sheet name="zad 5" sheetId="12" r:id="rId5"/>
    <sheet name="zad 6 - SPSS" sheetId="22" r:id="rId6"/>
    <sheet name="zad 7" sheetId="9" r:id="rId7"/>
    <sheet name="zad 8" sheetId="7" r:id="rId8"/>
    <sheet name="zad 9 -SPSS" sheetId="23" r:id="rId9"/>
    <sheet name="zad 10" sheetId="8" r:id="rId10"/>
    <sheet name="zad 11" sheetId="18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  <c r="J11" i="9"/>
  <c r="J10" i="9"/>
  <c r="B26" i="7"/>
  <c r="G28" i="9"/>
  <c r="G17" i="9"/>
  <c r="G18" i="9"/>
  <c r="G19" i="9"/>
  <c r="G20" i="9"/>
  <c r="G21" i="9"/>
  <c r="G22" i="9"/>
  <c r="G23" i="9"/>
  <c r="G24" i="9"/>
  <c r="G25" i="9"/>
  <c r="G26" i="9"/>
  <c r="G27" i="9"/>
  <c r="G16" i="9"/>
  <c r="F17" i="9"/>
  <c r="F18" i="9"/>
  <c r="F19" i="9"/>
  <c r="F20" i="9"/>
  <c r="F21" i="9"/>
  <c r="F22" i="9"/>
  <c r="F23" i="9"/>
  <c r="F24" i="9"/>
  <c r="F25" i="9"/>
  <c r="F26" i="9"/>
  <c r="F27" i="9"/>
  <c r="F16" i="9"/>
  <c r="E17" i="9"/>
  <c r="E18" i="9"/>
  <c r="E19" i="9"/>
  <c r="E20" i="9"/>
  <c r="E21" i="9"/>
  <c r="E22" i="9"/>
  <c r="E23" i="9"/>
  <c r="E24" i="9"/>
  <c r="E25" i="9"/>
  <c r="E26" i="9"/>
  <c r="E27" i="9"/>
  <c r="E16" i="9"/>
  <c r="D27" i="9"/>
  <c r="D26" i="9"/>
  <c r="D25" i="9"/>
  <c r="D24" i="9"/>
  <c r="D23" i="9"/>
  <c r="D22" i="9"/>
  <c r="D21" i="9"/>
  <c r="D20" i="9"/>
  <c r="D19" i="9"/>
  <c r="D18" i="9"/>
  <c r="D17" i="9"/>
  <c r="C14" i="7"/>
  <c r="D16" i="9"/>
  <c r="C13" i="7"/>
  <c r="F9" i="9"/>
  <c r="F9" i="7"/>
  <c r="E9" i="9"/>
  <c r="D9" i="9"/>
  <c r="C9" i="9"/>
  <c r="F8" i="9"/>
  <c r="F7" i="9"/>
  <c r="F6" i="9"/>
  <c r="F5" i="9"/>
  <c r="L20" i="11"/>
  <c r="L19" i="11"/>
  <c r="L18" i="11"/>
  <c r="L16" i="11"/>
  <c r="L15" i="11"/>
  <c r="G19" i="11"/>
  <c r="G14" i="11"/>
  <c r="G15" i="11"/>
  <c r="G16" i="11"/>
  <c r="G17" i="11"/>
  <c r="G18" i="11"/>
  <c r="G13" i="11"/>
  <c r="F14" i="11"/>
  <c r="F15" i="11"/>
  <c r="F16" i="11"/>
  <c r="F17" i="11"/>
  <c r="F18" i="11"/>
  <c r="F13" i="11"/>
  <c r="E15" i="11"/>
  <c r="E20" i="12"/>
  <c r="F20" i="12" s="1"/>
  <c r="G20" i="12" s="1"/>
  <c r="E17" i="12"/>
  <c r="F17" i="12" s="1"/>
  <c r="G17" i="12" s="1"/>
  <c r="E24" i="12"/>
  <c r="F24" i="12" s="1"/>
  <c r="G24" i="12" s="1"/>
  <c r="E13" i="11"/>
  <c r="D18" i="12"/>
  <c r="D13" i="11"/>
  <c r="B28" i="7"/>
  <c r="B29" i="7" s="1"/>
  <c r="F7" i="7"/>
  <c r="F8" i="7"/>
  <c r="C21" i="7" s="1"/>
  <c r="D21" i="7" s="1"/>
  <c r="E21" i="7" s="1"/>
  <c r="F21" i="7" s="1"/>
  <c r="F6" i="7"/>
  <c r="C15" i="7" s="1"/>
  <c r="D15" i="7" s="1"/>
  <c r="E15" i="7" s="1"/>
  <c r="F15" i="7" s="1"/>
  <c r="E9" i="7"/>
  <c r="D9" i="7"/>
  <c r="C9" i="7"/>
  <c r="N26" i="12"/>
  <c r="N23" i="12"/>
  <c r="N22" i="12"/>
  <c r="N25" i="12" s="1"/>
  <c r="N27" i="12" s="1"/>
  <c r="G19" i="12"/>
  <c r="F19" i="12"/>
  <c r="F21" i="12"/>
  <c r="G21" i="12" s="1"/>
  <c r="F23" i="12"/>
  <c r="G23" i="12" s="1"/>
  <c r="F25" i="12"/>
  <c r="G25" i="12" s="1"/>
  <c r="F26" i="12"/>
  <c r="G26" i="12" s="1"/>
  <c r="D22" i="12"/>
  <c r="F22" i="12" s="1"/>
  <c r="G22" i="12" s="1"/>
  <c r="F18" i="12"/>
  <c r="G18" i="12" s="1"/>
  <c r="C18" i="7" l="1"/>
  <c r="D18" i="7" s="1"/>
  <c r="E18" i="7" s="1"/>
  <c r="F18" i="7" s="1"/>
  <c r="G27" i="12"/>
  <c r="D13" i="7"/>
  <c r="E13" i="7" s="1"/>
  <c r="F13" i="7" s="1"/>
  <c r="D14" i="7"/>
  <c r="E14" i="7" s="1"/>
  <c r="F14" i="7" s="1"/>
  <c r="C16" i="7"/>
  <c r="D16" i="7" s="1"/>
  <c r="E16" i="7" s="1"/>
  <c r="F16" i="7" s="1"/>
  <c r="C17" i="7"/>
  <c r="D17" i="7" s="1"/>
  <c r="E17" i="7" s="1"/>
  <c r="F17" i="7" s="1"/>
  <c r="C19" i="7"/>
  <c r="D19" i="7" s="1"/>
  <c r="E19" i="7" s="1"/>
  <c r="F19" i="7" s="1"/>
  <c r="C20" i="7"/>
  <c r="D20" i="7" s="1"/>
  <c r="E20" i="7" s="1"/>
  <c r="F20" i="7" s="1"/>
  <c r="I13" i="4"/>
  <c r="I12" i="4"/>
  <c r="H9" i="4"/>
  <c r="H8" i="4"/>
  <c r="H6" i="4"/>
  <c r="J7" i="4" s="1"/>
  <c r="H51" i="20"/>
  <c r="G48" i="20"/>
  <c r="F43" i="20"/>
  <c r="F42" i="20"/>
  <c r="G40" i="20"/>
  <c r="I42" i="20" s="1"/>
  <c r="F12" i="20"/>
  <c r="I12" i="20" s="1"/>
  <c r="F13" i="20"/>
  <c r="I13" i="20" s="1"/>
  <c r="F14" i="20"/>
  <c r="I14" i="20" s="1"/>
  <c r="F24" i="20"/>
  <c r="I24" i="20" s="1"/>
  <c r="F25" i="20"/>
  <c r="I25" i="20" s="1"/>
  <c r="F26" i="20"/>
  <c r="I26" i="20" s="1"/>
  <c r="E13" i="20"/>
  <c r="G13" i="20" s="1"/>
  <c r="E15" i="20"/>
  <c r="E16" i="20"/>
  <c r="E17" i="20"/>
  <c r="E25" i="20"/>
  <c r="G25" i="20" s="1"/>
  <c r="E27" i="20"/>
  <c r="E28" i="20"/>
  <c r="H28" i="20" s="1"/>
  <c r="E29" i="20"/>
  <c r="C32" i="20"/>
  <c r="F15" i="20" s="1"/>
  <c r="I15" i="20" s="1"/>
  <c r="B32" i="20"/>
  <c r="E18" i="20" s="1"/>
  <c r="D31" i="20"/>
  <c r="C31" i="20"/>
  <c r="B31" i="20"/>
  <c r="F22" i="20" l="1"/>
  <c r="I22" i="20" s="1"/>
  <c r="F22" i="7"/>
  <c r="G15" i="20"/>
  <c r="H18" i="20"/>
  <c r="E26" i="20"/>
  <c r="E14" i="20"/>
  <c r="F23" i="20"/>
  <c r="I23" i="20" s="1"/>
  <c r="F11" i="20"/>
  <c r="I11" i="20" s="1"/>
  <c r="H29" i="20"/>
  <c r="H17" i="20"/>
  <c r="E24" i="20"/>
  <c r="E12" i="20"/>
  <c r="F21" i="20"/>
  <c r="I21" i="20" s="1"/>
  <c r="H27" i="20"/>
  <c r="H15" i="20"/>
  <c r="E23" i="20"/>
  <c r="E11" i="20"/>
  <c r="F20" i="20"/>
  <c r="I20" i="20" s="1"/>
  <c r="H16" i="20"/>
  <c r="E22" i="20"/>
  <c r="F10" i="20"/>
  <c r="I10" i="20" s="1"/>
  <c r="F19" i="20"/>
  <c r="I19" i="20" s="1"/>
  <c r="G28" i="20"/>
  <c r="H25" i="20"/>
  <c r="H13" i="20"/>
  <c r="E21" i="20"/>
  <c r="F30" i="20"/>
  <c r="I30" i="20" s="1"/>
  <c r="F18" i="20"/>
  <c r="I18" i="20" s="1"/>
  <c r="E20" i="20"/>
  <c r="F29" i="20"/>
  <c r="I29" i="20" s="1"/>
  <c r="F17" i="20"/>
  <c r="I17" i="20" s="1"/>
  <c r="E10" i="20"/>
  <c r="E19" i="20"/>
  <c r="F28" i="20"/>
  <c r="I28" i="20" s="1"/>
  <c r="F16" i="20"/>
  <c r="I16" i="20" s="1"/>
  <c r="E30" i="20"/>
  <c r="F27" i="20"/>
  <c r="I27" i="20" s="1"/>
  <c r="G18" i="20" l="1"/>
  <c r="G29" i="20"/>
  <c r="I31" i="20"/>
  <c r="G12" i="20"/>
  <c r="H12" i="20"/>
  <c r="G24" i="20"/>
  <c r="H24" i="20"/>
  <c r="H10" i="20"/>
  <c r="G10" i="20"/>
  <c r="G22" i="20"/>
  <c r="H22" i="20"/>
  <c r="G14" i="20"/>
  <c r="H14" i="20"/>
  <c r="H20" i="20"/>
  <c r="G20" i="20"/>
  <c r="H11" i="20"/>
  <c r="G11" i="20"/>
  <c r="G26" i="20"/>
  <c r="H26" i="20"/>
  <c r="H23" i="20"/>
  <c r="G23" i="20"/>
  <c r="G16" i="20"/>
  <c r="G17" i="20"/>
  <c r="H30" i="20"/>
  <c r="G30" i="20"/>
  <c r="H19" i="20"/>
  <c r="G19" i="20"/>
  <c r="G21" i="20"/>
  <c r="H21" i="20"/>
  <c r="G27" i="20"/>
  <c r="G31" i="20" l="1"/>
  <c r="H31" i="20"/>
  <c r="F33" i="20" l="1"/>
</calcChain>
</file>

<file path=xl/sharedStrings.xml><?xml version="1.0" encoding="utf-8"?>
<sst xmlns="http://schemas.openxmlformats.org/spreadsheetml/2006/main" count="256" uniqueCount="177">
  <si>
    <t>LZ 872ES</t>
  </si>
  <si>
    <t>LU 294HT</t>
  </si>
  <si>
    <t>LC 640BB</t>
  </si>
  <si>
    <t>LZ 942GD</t>
  </si>
  <si>
    <t>LPU 18SM</t>
  </si>
  <si>
    <t>LLB 24UT</t>
  </si>
  <si>
    <t>LU 281TR</t>
  </si>
  <si>
    <t>LC 239BD</t>
  </si>
  <si>
    <t>LTM 72RD</t>
  </si>
  <si>
    <t>LU 324FG</t>
  </si>
  <si>
    <t>Cena  (w tys zł)</t>
  </si>
  <si>
    <t>Przebieg (w tys km)</t>
  </si>
  <si>
    <t>Nr rejestracyjny</t>
  </si>
  <si>
    <t>Prawnik</t>
  </si>
  <si>
    <t xml:space="preserve">Lekarz </t>
  </si>
  <si>
    <t>Nauczyciel</t>
  </si>
  <si>
    <t>Zawód syna</t>
  </si>
  <si>
    <t>Zawód ojca</t>
  </si>
  <si>
    <t>ciemne</t>
  </si>
  <si>
    <t>jasne</t>
  </si>
  <si>
    <t>brązowe</t>
  </si>
  <si>
    <t>niebieskie</t>
  </si>
  <si>
    <t>Kolor oczu</t>
  </si>
  <si>
    <t>Kolor włosów</t>
  </si>
  <si>
    <t>Na podstawie danych wskaż czy istnieje zależność pomiędzy kolorem oczu, a kolorem włosów</t>
  </si>
  <si>
    <t>XVIII</t>
  </si>
  <si>
    <t>XIX</t>
  </si>
  <si>
    <t>XX</t>
  </si>
  <si>
    <t>XXI</t>
  </si>
  <si>
    <t>przeciętna</t>
  </si>
  <si>
    <t>wysoka</t>
  </si>
  <si>
    <t>b.wysoka</t>
  </si>
  <si>
    <t>Wartość kolekcjonerska</t>
  </si>
  <si>
    <t>Wiek pochodzenia</t>
  </si>
  <si>
    <t>Pewien kolekcjoner znaczków poszeregował swoje zbiory ze względu na wiek pochodzenia znaczków oraz ich wartość kolekcjonerską</t>
  </si>
  <si>
    <t>średni</t>
  </si>
  <si>
    <t>PC6</t>
  </si>
  <si>
    <t>dobry</t>
  </si>
  <si>
    <t>PC5</t>
  </si>
  <si>
    <t>b.dobry</t>
  </si>
  <si>
    <t>PC4</t>
  </si>
  <si>
    <t>PC3</t>
  </si>
  <si>
    <t>zły</t>
  </si>
  <si>
    <t>PC2</t>
  </si>
  <si>
    <t>PC1</t>
  </si>
  <si>
    <t>Wiek komputera w latach</t>
  </si>
  <si>
    <t>Stan komputera</t>
  </si>
  <si>
    <t>Nr komputera</t>
  </si>
  <si>
    <t>Zbadany został stan techniczny  6 komputerów oraz ich wiek. Na podstawie danych określ zależność pomiędzy tymi  wielkościami:</t>
  </si>
  <si>
    <t>wysoki</t>
  </si>
  <si>
    <t>niski</t>
  </si>
  <si>
    <t>Staż pracy</t>
  </si>
  <si>
    <t>Poziom zadowolenia z pracy</t>
  </si>
  <si>
    <t>Nr badanego</t>
  </si>
  <si>
    <t>Zapytano kilka anonimowych osób o uznaniową satysfakcję z pracy, oraz staż pracy w latach. Wyniki zostały zamieszczone w tabeli:</t>
  </si>
  <si>
    <t>Zła</t>
  </si>
  <si>
    <t>Dobra</t>
  </si>
  <si>
    <t>II</t>
  </si>
  <si>
    <t>I</t>
  </si>
  <si>
    <t>Metoda produkcji</t>
  </si>
  <si>
    <t>Jakość</t>
  </si>
  <si>
    <t>Zaobserwowano, że wadliwość produkcji zależy od metody produkcji. Przeprowadzono badanie jakości dla 600 sztuk towaru, uzyskując następujące wyniki:</t>
  </si>
  <si>
    <t>Zbadaj czy istnieje zależnośc pomiędzy wartością kolekcjonerską, a wiekiem pochodzenia znaczków.</t>
  </si>
  <si>
    <t>b) zinterpretuj otrzymaną wartość</t>
  </si>
  <si>
    <t>Wiek samochodu (w latach</t>
  </si>
  <si>
    <t>W pewnym komisie samochodowym zbadano ceny samochodu marki X biorąc pod uwagę cenę oraz ich przebieg. Na podstawie danych:</t>
  </si>
  <si>
    <t>a) oblicz współczynnik korelacji liniowej Pearsona pomiędzy przebiegiem a ceną auta stosując wzór oraz odpowiednią funkcję z excela</t>
  </si>
  <si>
    <t>c) stosując funkcję "pearson" wskaż czy z ceną auta jest bardziej powiązany jego wiek, czy przebieg</t>
  </si>
  <si>
    <t>Średnia</t>
  </si>
  <si>
    <t>* oblicz statystykę Chi-kwadrat</t>
  </si>
  <si>
    <t>a) Na podstawie danych sprawdź czy są przesłanki do zastosowania  współczynnika korelacji liniowej Pearsona (liczba obserwacji, logika związku, kształt zależności). Uzasadnij odpowiedź</t>
  </si>
  <si>
    <t>b) Za pomocą współczynnika korelacji liniowej Pearsona podaj wartość korelacji pomiędzy liczbą ludności, a liczbą urodzeń żywych (zinetpretuj wynik uwzględniając  siłę i kierunek zależności)</t>
  </si>
  <si>
    <t>Rok</t>
  </si>
  <si>
    <t>Liczba ludności (xi)</t>
  </si>
  <si>
    <t>Urodzenia żywe (yi)</t>
  </si>
  <si>
    <t>Zgony</t>
  </si>
  <si>
    <t>Suma</t>
  </si>
  <si>
    <t>* zbadaj zależności przy zastosowaniu wszystkich pozonanych miar korelacji</t>
  </si>
  <si>
    <t>Za pomocą współczynnika korelacji rang Spearmana oceń zależność pomiędzy oceną z historii a oceną z zachowania</t>
  </si>
  <si>
    <t>zastosuj bazę danych zad6.sav</t>
  </si>
  <si>
    <t>Na podstawie danych zad9.sav utwórz tablicę krzyżową dla badanych zmiennych, a następnie:</t>
  </si>
  <si>
    <t>b) oblicz i zinetpretuj współczynnik V-Cramera</t>
  </si>
  <si>
    <t>c) Pobierz dane dotyczące zgonów ludności a następnie sprawdź za pomocą odpowiedniej funkcji podaj, która ze zmiennych jest bardziej skorelowana z liczbą ludności</t>
  </si>
  <si>
    <t>Na podstawie bazy danych zad3.sav zbadaj współczynnikiem korelacji liniowej Pearsona, co jest w najwyższym stopniu skorelowane z PKB per capita, a następnie zinterpretuj wybraną zależność</t>
  </si>
  <si>
    <t>Wykorzystaj współczynnik korelacji rang Spearmana  - zinterpretuj uzyskany wynik</t>
  </si>
  <si>
    <t>Za pomocą współczynnika korelacji rang Spearmana oblicz i zinterpretuj zależność pomiędzy wskazanymi cechami</t>
  </si>
  <si>
    <t>Istnieje podejżenie, iż zawód wykonywany przez syna ma związek z zawodem ojca. Określ siłę  związku pommiędzy zawodem ojca, a zawodem syna</t>
  </si>
  <si>
    <t xml:space="preserve">a) oblicz statystykę chi^2 </t>
  </si>
  <si>
    <t>Pozyskaj dane dotyczące liczby mieszkańców w województwie lubelskim (stan na 31.12 ) w latach 2003-2023 oraz liczby urodzeń żywych</t>
  </si>
  <si>
    <t>- zostały spełnione przesłanki do zastosowania współczynnika korelacji liniowej pearsona</t>
  </si>
  <si>
    <t>gdyż : 1) liczba obserwacji n&gt;10,2)zachowana jest logika związku obie kategotie dotyczą tego samego obszaru oraz zakresu czasowego oraz występuje pomiędzy nimi związek logiczny( liczba urodzeń powiązana z liczbą ludnosci</t>
  </si>
  <si>
    <t>3)występuje widoczna liniowa zależność pomiędzy zmiennymi</t>
  </si>
  <si>
    <t>xi-xśr</t>
  </si>
  <si>
    <t>yi-yśr</t>
  </si>
  <si>
    <t>(xi-xśr)(yi-yśr)</t>
  </si>
  <si>
    <t>xi-xśr ^2</t>
  </si>
  <si>
    <t>(yi-yśr)^2</t>
  </si>
  <si>
    <t>r xy=</t>
  </si>
  <si>
    <t>występuje korelacja dodatnia bardzo silna</t>
  </si>
  <si>
    <t>Otrzymana korelacja informuje nas że pomiędzy liczbą ludności a liczba urodzeń występuje bardzo silne liniowe powiązanie</t>
  </si>
  <si>
    <t>jeśli liczba urodzeń wzrasta to na ogół wzrasta też liczba ludności a jeśli liczba ludności spada to na ogół idzie to w parze z spadkiem liczby urodzeń</t>
  </si>
  <si>
    <t>kowariancja dla xy=</t>
  </si>
  <si>
    <t>znak dodatni koleracja dodatnia</t>
  </si>
  <si>
    <t>Sx=</t>
  </si>
  <si>
    <t>Sy=</t>
  </si>
  <si>
    <t>3 SPOSÓB</t>
  </si>
  <si>
    <t>2 SPOSÓB</t>
  </si>
  <si>
    <t>c)</t>
  </si>
  <si>
    <t>koleracja pomiędzy liczbą ludności a liczbą zgonów rxy=</t>
  </si>
  <si>
    <t>występuje koleracja ujemna o sile umiarkowanej</t>
  </si>
  <si>
    <t>Silniej skolerowana z liczbą ludności jest liczba urodzeń ponieważ wartość bezwzględna dla r xy jest wyższa</t>
  </si>
  <si>
    <t>A)</t>
  </si>
  <si>
    <t>kow=</t>
  </si>
  <si>
    <t>kowariancja bardzo silna o znaku ujemnym</t>
  </si>
  <si>
    <t>C)</t>
  </si>
  <si>
    <t>cena i wiek</t>
  </si>
  <si>
    <t>cena i przebieg=</t>
  </si>
  <si>
    <t>przyczyna(xi)</t>
  </si>
  <si>
    <t>skutek (yi)</t>
  </si>
  <si>
    <t>Ranga x</t>
  </si>
  <si>
    <t>Ranga y</t>
  </si>
  <si>
    <t>Rangi nie mogą się powtarzać</t>
  </si>
  <si>
    <t>Dostępne rangi(x)</t>
  </si>
  <si>
    <t>Dostępne rangi (y)</t>
  </si>
  <si>
    <t>di=Rx-Ry</t>
  </si>
  <si>
    <t>di^2</t>
  </si>
  <si>
    <t>suma di^2=</t>
  </si>
  <si>
    <t>n=</t>
  </si>
  <si>
    <t>Tx=</t>
  </si>
  <si>
    <t>licznik=</t>
  </si>
  <si>
    <t>mianownik=</t>
  </si>
  <si>
    <t>Ty=</t>
  </si>
  <si>
    <t>rs=</t>
  </si>
  <si>
    <t>powinno wyjść 0,3</t>
  </si>
  <si>
    <t>tu jakiś bąłd</t>
  </si>
  <si>
    <t>koleracja dodatnia o niskiej sile</t>
  </si>
  <si>
    <t xml:space="preserve">wartośc współczynnika oznacza że wzrost stażu pracy jest </t>
  </si>
  <si>
    <t>na ogół powiązany ze wzrostem poziomu zadowolenia z pracy , zależność ta jest niska a zatem sprawdza się jedynie u częsci pracowników</t>
  </si>
  <si>
    <t xml:space="preserve">Współczynnik koleracji rang spearmana </t>
  </si>
  <si>
    <t>r s=</t>
  </si>
  <si>
    <t>koleracja dodatnia o umiarkowanej/znacznej sile</t>
  </si>
  <si>
    <t>Wraz ze wyższą ocena z historii uczeń a ogół ma też wyższą ocenę z zachowania</t>
  </si>
  <si>
    <t>suma</t>
  </si>
  <si>
    <t>(n) wszystkie obserwacje</t>
  </si>
  <si>
    <t>Współrzędne</t>
  </si>
  <si>
    <t>n11</t>
  </si>
  <si>
    <t>nij</t>
  </si>
  <si>
    <t>n12</t>
  </si>
  <si>
    <t>n13</t>
  </si>
  <si>
    <t>n21</t>
  </si>
  <si>
    <t>n22</t>
  </si>
  <si>
    <t>n23</t>
  </si>
  <si>
    <t>n31</t>
  </si>
  <si>
    <t>n32</t>
  </si>
  <si>
    <t>n33</t>
  </si>
  <si>
    <t>^nij</t>
  </si>
  <si>
    <t>nij-^nij</t>
  </si>
  <si>
    <t>(nij-^nij)^2</t>
  </si>
  <si>
    <t>(nij-^nij)^2/^nij</t>
  </si>
  <si>
    <t>statystyka Chi^2</t>
  </si>
  <si>
    <t>Współczynnik C Pearsona</t>
  </si>
  <si>
    <t>C=</t>
  </si>
  <si>
    <t>Cmax=</t>
  </si>
  <si>
    <t>w=</t>
  </si>
  <si>
    <t>k=</t>
  </si>
  <si>
    <t>C skor.</t>
  </si>
  <si>
    <t>Występuje koleracja pomiędzy zawodem wykonywanym przez ojca a zawodem syna</t>
  </si>
  <si>
    <t>Dostepne rangi x</t>
  </si>
  <si>
    <t>Dostepne rangi y</t>
  </si>
  <si>
    <t>wartość współczynnika oznacza że stan komputera jest na ogół zależny od jego wieku</t>
  </si>
  <si>
    <t>zależność ta jest niska</t>
  </si>
  <si>
    <t>n41</t>
  </si>
  <si>
    <t>n42</t>
  </si>
  <si>
    <t>n43</t>
  </si>
  <si>
    <t>Współcznnik C pearsona</t>
  </si>
  <si>
    <t>C max=</t>
  </si>
  <si>
    <t>C skor=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</si>
</sst>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alibri"/>
      <family val="2"/>
      <charset val="238"/>
    </font>
    <font>
      <sz val="11"/>
      <color theme="1"/>
      <name val="Czcionka tekstu podstawowego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6" fillId="0" borderId="0"/>
  </cellStyleXfs>
  <cellXfs count="163">
    <xf numFmtId="0" fontId="0" fillId="0" borderId="0" xfId="0"/>
    <xf numFmtId="0" fontId="7" fillId="0" borderId="0" xfId="1"/>
    <xf numFmtId="0" fontId="7" fillId="0" borderId="1" xfId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0" borderId="5" xfId="1" applyBorder="1" applyAlignment="1">
      <alignment horizontal="center"/>
    </xf>
    <xf numFmtId="0" fontId="7" fillId="0" borderId="6" xfId="1" applyBorder="1" applyAlignment="1">
      <alignment horizontal="center"/>
    </xf>
    <xf numFmtId="0" fontId="7" fillId="0" borderId="0" xfId="1" applyAlignment="1">
      <alignment wrapText="1"/>
    </xf>
    <xf numFmtId="0" fontId="7" fillId="0" borderId="7" xfId="1" applyBorder="1" applyAlignment="1">
      <alignment horizontal="center" wrapText="1"/>
    </xf>
    <xf numFmtId="0" fontId="7" fillId="0" borderId="8" xfId="1" applyBorder="1" applyAlignment="1">
      <alignment horizontal="center" wrapText="1"/>
    </xf>
    <xf numFmtId="0" fontId="7" fillId="0" borderId="9" xfId="1" applyBorder="1" applyAlignment="1">
      <alignment horizontal="center" wrapText="1"/>
    </xf>
    <xf numFmtId="0" fontId="7" fillId="0" borderId="11" xfId="1" applyBorder="1"/>
    <xf numFmtId="0" fontId="7" fillId="0" borderId="14" xfId="1" applyBorder="1"/>
    <xf numFmtId="0" fontId="7" fillId="0" borderId="17" xfId="1" applyBorder="1"/>
    <xf numFmtId="0" fontId="7" fillId="0" borderId="19" xfId="1" applyBorder="1"/>
    <xf numFmtId="0" fontId="7" fillId="0" borderId="20" xfId="1" applyBorder="1"/>
    <xf numFmtId="0" fontId="7" fillId="0" borderId="21" xfId="1" applyBorder="1"/>
    <xf numFmtId="0" fontId="7" fillId="0" borderId="22" xfId="1" applyBorder="1"/>
    <xf numFmtId="0" fontId="7" fillId="0" borderId="23" xfId="1" applyBorder="1"/>
    <xf numFmtId="0" fontId="7" fillId="0" borderId="24" xfId="1" applyBorder="1"/>
    <xf numFmtId="0" fontId="7" fillId="0" borderId="25" xfId="1" applyBorder="1"/>
    <xf numFmtId="0" fontId="7" fillId="0" borderId="26" xfId="1" applyBorder="1"/>
    <xf numFmtId="0" fontId="7" fillId="0" borderId="27" xfId="1" applyBorder="1"/>
    <xf numFmtId="0" fontId="7" fillId="0" borderId="28" xfId="1" applyBorder="1"/>
    <xf numFmtId="0" fontId="7" fillId="0" borderId="33" xfId="1" applyBorder="1"/>
    <xf numFmtId="0" fontId="8" fillId="0" borderId="11" xfId="1" applyFont="1" applyBorder="1" applyAlignment="1">
      <alignment horizontal="center"/>
    </xf>
    <xf numFmtId="0" fontId="8" fillId="0" borderId="14" xfId="1" applyFont="1" applyBorder="1" applyAlignment="1">
      <alignment horizontal="center"/>
    </xf>
    <xf numFmtId="0" fontId="8" fillId="0" borderId="17" xfId="1" applyFont="1" applyBorder="1" applyAlignment="1">
      <alignment horizont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7" fillId="0" borderId="19" xfId="1" applyBorder="1" applyAlignment="1">
      <alignment horizontal="center"/>
    </xf>
    <xf numFmtId="0" fontId="7" fillId="0" borderId="28" xfId="1" applyBorder="1" applyAlignment="1">
      <alignment horizontal="center"/>
    </xf>
    <xf numFmtId="0" fontId="7" fillId="0" borderId="22" xfId="1" applyBorder="1" applyAlignment="1">
      <alignment horizontal="center"/>
    </xf>
    <xf numFmtId="0" fontId="7" fillId="0" borderId="23" xfId="1" applyBorder="1" applyAlignment="1">
      <alignment horizontal="center"/>
    </xf>
    <xf numFmtId="0" fontId="7" fillId="0" borderId="33" xfId="1" applyBorder="1" applyAlignment="1">
      <alignment horizontal="center"/>
    </xf>
    <xf numFmtId="0" fontId="7" fillId="0" borderId="29" xfId="1" applyBorder="1" applyAlignment="1">
      <alignment horizontal="center" wrapText="1"/>
    </xf>
    <xf numFmtId="0" fontId="7" fillId="0" borderId="30" xfId="1" applyBorder="1" applyAlignment="1">
      <alignment horizontal="center" wrapText="1"/>
    </xf>
    <xf numFmtId="0" fontId="7" fillId="0" borderId="31" xfId="1" applyBorder="1" applyAlignment="1">
      <alignment horizontal="center" wrapText="1"/>
    </xf>
    <xf numFmtId="0" fontId="7" fillId="0" borderId="7" xfId="1" applyBorder="1" applyAlignment="1">
      <alignment horizontal="center" vertical="center" wrapText="1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6" fillId="0" borderId="0" xfId="1" applyFont="1"/>
    <xf numFmtId="0" fontId="6" fillId="0" borderId="0" xfId="2"/>
    <xf numFmtId="0" fontId="9" fillId="0" borderId="0" xfId="2" applyFont="1" applyAlignment="1">
      <alignment horizontal="justify" vertical="top" wrapText="1"/>
    </xf>
    <xf numFmtId="0" fontId="9" fillId="0" borderId="1" xfId="2" applyFont="1" applyBorder="1" applyAlignment="1">
      <alignment horizontal="center" vertical="center" wrapText="1"/>
    </xf>
    <xf numFmtId="0" fontId="9" fillId="0" borderId="35" xfId="2" applyFont="1" applyBorder="1" applyAlignment="1">
      <alignment horizontal="center" vertical="center" wrapText="1"/>
    </xf>
    <xf numFmtId="0" fontId="9" fillId="0" borderId="36" xfId="2" applyFont="1" applyBorder="1" applyAlignment="1">
      <alignment horizontal="center" vertical="center" wrapText="1"/>
    </xf>
    <xf numFmtId="0" fontId="9" fillId="0" borderId="37" xfId="2" applyFont="1" applyBorder="1" applyAlignment="1">
      <alignment horizontal="center" vertical="center" wrapText="1"/>
    </xf>
    <xf numFmtId="0" fontId="9" fillId="0" borderId="38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4" fillId="0" borderId="0" xfId="1" applyFont="1"/>
    <xf numFmtId="0" fontId="3" fillId="0" borderId="0" xfId="1" applyFont="1"/>
    <xf numFmtId="0" fontId="8" fillId="0" borderId="0" xfId="1" applyFont="1"/>
    <xf numFmtId="0" fontId="7" fillId="0" borderId="0" xfId="1" applyAlignment="1">
      <alignment horizontal="center" vertical="center" wrapText="1"/>
    </xf>
    <xf numFmtId="0" fontId="5" fillId="0" borderId="0" xfId="1" applyFont="1"/>
    <xf numFmtId="0" fontId="1" fillId="0" borderId="0" xfId="1" applyFont="1"/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2" fillId="0" borderId="8" xfId="1" applyFont="1" applyBorder="1" applyAlignment="1">
      <alignment horizontal="center" wrapText="1"/>
    </xf>
    <xf numFmtId="0" fontId="0" fillId="0" borderId="0" xfId="0" applyAlignment="1">
      <alignment wrapText="1"/>
    </xf>
    <xf numFmtId="0" fontId="7" fillId="0" borderId="18" xfId="1" applyBorder="1" applyAlignment="1">
      <alignment horizontal="center"/>
    </xf>
    <xf numFmtId="0" fontId="7" fillId="0" borderId="17" xfId="1" applyBorder="1" applyAlignment="1">
      <alignment horizontal="center"/>
    </xf>
    <xf numFmtId="0" fontId="7" fillId="0" borderId="16" xfId="1" applyBorder="1" applyAlignment="1">
      <alignment horizontal="center"/>
    </xf>
    <xf numFmtId="0" fontId="7" fillId="0" borderId="15" xfId="1" applyBorder="1" applyAlignment="1">
      <alignment horizontal="center"/>
    </xf>
    <xf numFmtId="0" fontId="7" fillId="0" borderId="14" xfId="1" applyBorder="1" applyAlignment="1">
      <alignment horizontal="center"/>
    </xf>
    <xf numFmtId="0" fontId="7" fillId="0" borderId="13" xfId="1" applyBorder="1" applyAlignment="1">
      <alignment horizontal="center"/>
    </xf>
    <xf numFmtId="0" fontId="7" fillId="0" borderId="12" xfId="1" applyBorder="1" applyAlignment="1">
      <alignment horizontal="center"/>
    </xf>
    <xf numFmtId="0" fontId="7" fillId="0" borderId="11" xfId="1" applyBorder="1" applyAlignment="1">
      <alignment horizontal="center"/>
    </xf>
    <xf numFmtId="0" fontId="7" fillId="0" borderId="10" xfId="1" applyBorder="1" applyAlignment="1">
      <alignment horizontal="center"/>
    </xf>
    <xf numFmtId="3" fontId="0" fillId="0" borderId="0" xfId="0" applyNumberFormat="1"/>
    <xf numFmtId="0" fontId="0" fillId="0" borderId="9" xfId="0" applyBorder="1"/>
    <xf numFmtId="0" fontId="0" fillId="0" borderId="43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3" fontId="0" fillId="0" borderId="5" xfId="0" applyNumberFormat="1" applyBorder="1"/>
    <xf numFmtId="3" fontId="0" fillId="0" borderId="8" xfId="0" applyNumberFormat="1" applyBorder="1" applyAlignment="1">
      <alignment horizontal="center" vertical="center"/>
    </xf>
    <xf numFmtId="0" fontId="0" fillId="2" borderId="8" xfId="0" applyFill="1" applyBorder="1"/>
    <xf numFmtId="0" fontId="0" fillId="2" borderId="43" xfId="0" applyFill="1" applyBorder="1"/>
    <xf numFmtId="0" fontId="0" fillId="2" borderId="8" xfId="0" applyFill="1" applyBorder="1" applyAlignment="1">
      <alignment horizont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0" borderId="8" xfId="0" applyNumberFormat="1" applyBorder="1"/>
    <xf numFmtId="0" fontId="0" fillId="0" borderId="0" xfId="0" quotePrefix="1"/>
    <xf numFmtId="3" fontId="0" fillId="2" borderId="43" xfId="0" applyNumberForma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1" applyFont="1" applyAlignment="1">
      <alignment wrapText="1"/>
    </xf>
    <xf numFmtId="0" fontId="1" fillId="0" borderId="17" xfId="1" applyFont="1" applyBorder="1" applyAlignment="1">
      <alignment horizontal="center"/>
    </xf>
    <xf numFmtId="0" fontId="7" fillId="5" borderId="15" xfId="1" applyFill="1" applyBorder="1" applyAlignment="1">
      <alignment horizontal="center"/>
    </xf>
    <xf numFmtId="0" fontId="7" fillId="5" borderId="14" xfId="1" applyFill="1" applyBorder="1" applyAlignment="1">
      <alignment horizontal="center"/>
    </xf>
    <xf numFmtId="0" fontId="7" fillId="5" borderId="13" xfId="1" applyFill="1" applyBorder="1" applyAlignment="1">
      <alignment horizontal="center"/>
    </xf>
    <xf numFmtId="0" fontId="7" fillId="5" borderId="12" xfId="1" applyFill="1" applyBorder="1" applyAlignment="1">
      <alignment horizontal="center"/>
    </xf>
    <xf numFmtId="0" fontId="7" fillId="5" borderId="11" xfId="1" applyFill="1" applyBorder="1" applyAlignment="1">
      <alignment horizontal="center"/>
    </xf>
    <xf numFmtId="0" fontId="7" fillId="5" borderId="10" xfId="1" applyFill="1" applyBorder="1" applyAlignment="1">
      <alignment horizontal="center"/>
    </xf>
    <xf numFmtId="0" fontId="7" fillId="5" borderId="18" xfId="1" applyFill="1" applyBorder="1" applyAlignment="1">
      <alignment horizontal="center"/>
    </xf>
    <xf numFmtId="0" fontId="7" fillId="5" borderId="17" xfId="1" applyFill="1" applyBorder="1" applyAlignment="1">
      <alignment horizontal="center"/>
    </xf>
    <xf numFmtId="0" fontId="7" fillId="5" borderId="16" xfId="1" applyFill="1" applyBorder="1" applyAlignment="1">
      <alignment horizontal="center"/>
    </xf>
    <xf numFmtId="0" fontId="7" fillId="5" borderId="0" xfId="1" applyFill="1"/>
    <xf numFmtId="0" fontId="7" fillId="6" borderId="13" xfId="1" applyFill="1" applyBorder="1" applyAlignment="1">
      <alignment horizontal="center"/>
    </xf>
    <xf numFmtId="0" fontId="7" fillId="6" borderId="10" xfId="1" applyFill="1" applyBorder="1" applyAlignment="1">
      <alignment horizontal="center"/>
    </xf>
    <xf numFmtId="0" fontId="7" fillId="6" borderId="0" xfId="1" applyFill="1"/>
    <xf numFmtId="0" fontId="1" fillId="7" borderId="17" xfId="1" applyFont="1" applyFill="1" applyBorder="1" applyAlignment="1">
      <alignment horizontal="center"/>
    </xf>
    <xf numFmtId="0" fontId="7" fillId="7" borderId="14" xfId="1" applyFill="1" applyBorder="1" applyAlignment="1">
      <alignment horizontal="center"/>
    </xf>
    <xf numFmtId="0" fontId="7" fillId="8" borderId="11" xfId="1" applyFill="1" applyBorder="1" applyAlignment="1">
      <alignment horizontal="center"/>
    </xf>
    <xf numFmtId="0" fontId="7" fillId="8" borderId="14" xfId="1" applyFill="1" applyBorder="1" applyAlignment="1">
      <alignment horizontal="center"/>
    </xf>
    <xf numFmtId="0" fontId="7" fillId="8" borderId="17" xfId="1" applyFill="1" applyBorder="1" applyAlignment="1">
      <alignment horizontal="center"/>
    </xf>
    <xf numFmtId="0" fontId="7" fillId="9" borderId="14" xfId="1" applyFill="1" applyBorder="1" applyAlignment="1">
      <alignment horizontal="center"/>
    </xf>
    <xf numFmtId="0" fontId="7" fillId="7" borderId="0" xfId="1" applyFill="1"/>
    <xf numFmtId="0" fontId="7" fillId="8" borderId="0" xfId="1" applyFill="1"/>
    <xf numFmtId="0" fontId="7" fillId="9" borderId="0" xfId="1" applyFill="1"/>
    <xf numFmtId="0" fontId="7" fillId="10" borderId="0" xfId="1" applyFill="1"/>
    <xf numFmtId="0" fontId="7" fillId="4" borderId="0" xfId="1" applyFill="1"/>
    <xf numFmtId="0" fontId="7" fillId="2" borderId="0" xfId="1" applyFill="1"/>
    <xf numFmtId="164" fontId="7" fillId="0" borderId="0" xfId="1" applyNumberFormat="1"/>
    <xf numFmtId="165" fontId="7" fillId="0" borderId="0" xfId="1" applyNumberFormat="1"/>
    <xf numFmtId="0" fontId="1" fillId="11" borderId="0" xfId="1" applyFont="1" applyFill="1"/>
    <xf numFmtId="0" fontId="7" fillId="11" borderId="0" xfId="1" applyFill="1"/>
    <xf numFmtId="0" fontId="1" fillId="4" borderId="0" xfId="1" applyFont="1" applyFill="1"/>
    <xf numFmtId="0" fontId="1" fillId="10" borderId="0" xfId="1" applyFont="1" applyFill="1"/>
    <xf numFmtId="0" fontId="3" fillId="10" borderId="0" xfId="1" applyFont="1" applyFill="1"/>
    <xf numFmtId="0" fontId="1" fillId="0" borderId="23" xfId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10" fillId="2" borderId="0" xfId="1" applyFont="1" applyFill="1"/>
    <xf numFmtId="0" fontId="1" fillId="12" borderId="0" xfId="1" applyFont="1" applyFill="1"/>
    <xf numFmtId="0" fontId="7" fillId="12" borderId="0" xfId="1" applyFill="1"/>
    <xf numFmtId="0" fontId="0" fillId="0" borderId="0" xfId="0" applyAlignment="1">
      <alignment horizontal="left" wrapText="1"/>
    </xf>
    <xf numFmtId="0" fontId="8" fillId="0" borderId="34" xfId="1" applyFont="1" applyBorder="1" applyAlignment="1">
      <alignment horizontal="center" vertical="center"/>
    </xf>
    <xf numFmtId="0" fontId="8" fillId="0" borderId="30" xfId="1" applyFont="1" applyBorder="1" applyAlignment="1">
      <alignment horizontal="center" vertical="center"/>
    </xf>
    <xf numFmtId="0" fontId="8" fillId="0" borderId="29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7" fillId="0" borderId="32" xfId="1" applyBorder="1" applyAlignment="1">
      <alignment horizontal="center" wrapText="1"/>
    </xf>
    <xf numFmtId="0" fontId="7" fillId="0" borderId="11" xfId="1" applyBorder="1" applyAlignment="1">
      <alignment horizontal="center" wrapText="1"/>
    </xf>
    <xf numFmtId="0" fontId="7" fillId="0" borderId="31" xfId="1" applyBorder="1" applyAlignment="1">
      <alignment horizontal="center"/>
    </xf>
    <xf numFmtId="0" fontId="7" fillId="0" borderId="30" xfId="1" applyBorder="1" applyAlignment="1">
      <alignment horizontal="center"/>
    </xf>
    <xf numFmtId="0" fontId="7" fillId="0" borderId="29" xfId="1" applyBorder="1" applyAlignment="1">
      <alignment horizontal="center"/>
    </xf>
    <xf numFmtId="0" fontId="1" fillId="0" borderId="0" xfId="1" applyFont="1" applyAlignment="1">
      <alignment horizontal="left" wrapText="1"/>
    </xf>
    <xf numFmtId="0" fontId="7" fillId="0" borderId="31" xfId="1" applyBorder="1" applyAlignment="1">
      <alignment horizontal="center" wrapText="1"/>
    </xf>
    <xf numFmtId="0" fontId="7" fillId="0" borderId="33" xfId="1" applyBorder="1" applyAlignment="1">
      <alignment horizontal="center" wrapText="1"/>
    </xf>
    <xf numFmtId="0" fontId="9" fillId="0" borderId="42" xfId="2" applyFont="1" applyBorder="1" applyAlignment="1">
      <alignment horizontal="center" vertical="center" wrapText="1"/>
    </xf>
    <xf numFmtId="0" fontId="9" fillId="0" borderId="39" xfId="2" applyFont="1" applyBorder="1" applyAlignment="1">
      <alignment horizontal="center" vertical="center" wrapText="1"/>
    </xf>
    <xf numFmtId="0" fontId="9" fillId="0" borderId="41" xfId="2" applyFont="1" applyBorder="1" applyAlignment="1">
      <alignment horizontal="center" vertical="center" wrapText="1"/>
    </xf>
    <xf numFmtId="0" fontId="9" fillId="0" borderId="40" xfId="2" applyFont="1" applyBorder="1" applyAlignment="1">
      <alignment horizontal="center" vertical="center" wrapText="1"/>
    </xf>
    <xf numFmtId="0" fontId="9" fillId="0" borderId="0" xfId="2" applyFont="1" applyAlignment="1">
      <alignment horizontal="justify" vertical="top" wrapText="1"/>
    </xf>
    <xf numFmtId="0" fontId="1" fillId="5" borderId="28" xfId="1" applyFont="1" applyFill="1" applyBorder="1" applyAlignment="1">
      <alignment horizontal="center"/>
    </xf>
    <xf numFmtId="0" fontId="7" fillId="5" borderId="20" xfId="1" applyFill="1" applyBorder="1" applyAlignment="1">
      <alignment horizontal="center"/>
    </xf>
    <xf numFmtId="0" fontId="7" fillId="5" borderId="19" xfId="1" applyFill="1" applyBorder="1" applyAlignment="1">
      <alignment horizontal="center"/>
    </xf>
    <xf numFmtId="0" fontId="7" fillId="5" borderId="33" xfId="1" applyFill="1" applyBorder="1" applyAlignment="1">
      <alignment horizontal="center"/>
    </xf>
    <xf numFmtId="0" fontId="7" fillId="5" borderId="23" xfId="1" applyFill="1" applyBorder="1" applyAlignment="1">
      <alignment horizontal="center"/>
    </xf>
    <xf numFmtId="0" fontId="7" fillId="5" borderId="22" xfId="1" applyFill="1" applyBorder="1" applyAlignment="1">
      <alignment horizontal="center"/>
    </xf>
    <xf numFmtId="0" fontId="7" fillId="6" borderId="22" xfId="1" applyFill="1" applyBorder="1" applyAlignment="1">
      <alignment horizontal="center"/>
    </xf>
    <xf numFmtId="0" fontId="7" fillId="7" borderId="23" xfId="1" applyFill="1" applyBorder="1" applyAlignment="1">
      <alignment horizontal="center"/>
    </xf>
    <xf numFmtId="0" fontId="7" fillId="8" borderId="20" xfId="1" applyFill="1" applyBorder="1" applyAlignment="1">
      <alignment horizontal="center"/>
    </xf>
    <xf numFmtId="0" fontId="7" fillId="8" borderId="23" xfId="1" applyFill="1" applyBorder="1" applyAlignment="1">
      <alignment horizontal="center"/>
    </xf>
    <xf numFmtId="2" fontId="7" fillId="0" borderId="0" xfId="1" applyNumberFormat="1"/>
    <xf numFmtId="0" fontId="1" fillId="2" borderId="0" xfId="1" applyFont="1" applyFill="1"/>
    <xf numFmtId="0" fontId="1" fillId="13" borderId="0" xfId="1" applyFont="1" applyFill="1"/>
    <xf numFmtId="0" fontId="7" fillId="13" borderId="0" xfId="1" applyFill="1"/>
    <xf numFmtId="0" fontId="7" fillId="14" borderId="0" xfId="1" applyFill="1"/>
    <xf numFmtId="0" fontId="1" fillId="0" borderId="23" xfId="1" applyFont="1" applyBorder="1"/>
  </cellXfs>
  <cellStyles count="3">
    <cellStyle name="Normalny" xfId="0" builtinId="0"/>
    <cellStyle name="Normalny 2" xfId="1" xr:uid="{00000000-0005-0000-0000-000001000000}"/>
    <cellStyle name="Normalny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punktowyt </a:t>
            </a:r>
            <a:r>
              <a:rPr lang="en-US"/>
              <a:t>Urodzenia żywe </a:t>
            </a:r>
            <a:r>
              <a:rPr lang="pl-PL"/>
              <a:t>i</a:t>
            </a:r>
            <a:r>
              <a:rPr lang="pl-PL" baseline="0"/>
              <a:t> liczba ludności</a:t>
            </a:r>
            <a:endParaRPr lang="en-US"/>
          </a:p>
        </c:rich>
      </c:tx>
      <c:layout>
        <c:manualLayout>
          <c:xMode val="edge"/>
          <c:yMode val="edge"/>
          <c:x val="0.1986316611843175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 1'!$C$9</c:f>
              <c:strCache>
                <c:ptCount val="1"/>
                <c:pt idx="0">
                  <c:v>Urodzenia żywe (yi)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'zad 1'!$B$10:$B$30</c:f>
              <c:numCache>
                <c:formatCode>#,##0</c:formatCode>
                <c:ptCount val="21"/>
                <c:pt idx="0">
                  <c:v>2191172</c:v>
                </c:pt>
                <c:pt idx="1">
                  <c:v>2185156</c:v>
                </c:pt>
                <c:pt idx="2">
                  <c:v>2179611</c:v>
                </c:pt>
                <c:pt idx="3">
                  <c:v>2172766</c:v>
                </c:pt>
                <c:pt idx="4">
                  <c:v>2166213</c:v>
                </c:pt>
                <c:pt idx="5">
                  <c:v>2161832</c:v>
                </c:pt>
                <c:pt idx="6">
                  <c:v>2157202</c:v>
                </c:pt>
                <c:pt idx="7">
                  <c:v>2178611</c:v>
                </c:pt>
                <c:pt idx="8">
                  <c:v>2171857</c:v>
                </c:pt>
                <c:pt idx="9">
                  <c:v>2165651</c:v>
                </c:pt>
                <c:pt idx="10">
                  <c:v>2156150</c:v>
                </c:pt>
                <c:pt idx="11">
                  <c:v>2147746</c:v>
                </c:pt>
                <c:pt idx="12">
                  <c:v>2139726</c:v>
                </c:pt>
                <c:pt idx="13">
                  <c:v>2133340</c:v>
                </c:pt>
                <c:pt idx="14">
                  <c:v>2126317</c:v>
                </c:pt>
                <c:pt idx="15">
                  <c:v>2117619</c:v>
                </c:pt>
                <c:pt idx="16">
                  <c:v>2108270</c:v>
                </c:pt>
                <c:pt idx="17">
                  <c:v>2056908</c:v>
                </c:pt>
                <c:pt idx="18">
                  <c:v>2038299</c:v>
                </c:pt>
                <c:pt idx="19">
                  <c:v>2024637</c:v>
                </c:pt>
                <c:pt idx="20">
                  <c:v>2011047</c:v>
                </c:pt>
              </c:numCache>
            </c:numRef>
          </c:xVal>
          <c:yVal>
            <c:numRef>
              <c:f>'zad 1'!$C$10:$C$30</c:f>
              <c:numCache>
                <c:formatCode>#,##0</c:formatCode>
                <c:ptCount val="21"/>
                <c:pt idx="0">
                  <c:v>21261</c:v>
                </c:pt>
                <c:pt idx="1">
                  <c:v>20794</c:v>
                </c:pt>
                <c:pt idx="2">
                  <c:v>21346</c:v>
                </c:pt>
                <c:pt idx="3">
                  <c:v>21496</c:v>
                </c:pt>
                <c:pt idx="4">
                  <c:v>21795</c:v>
                </c:pt>
                <c:pt idx="5">
                  <c:v>23009</c:v>
                </c:pt>
                <c:pt idx="6">
                  <c:v>22964</c:v>
                </c:pt>
                <c:pt idx="7">
                  <c:v>22635</c:v>
                </c:pt>
                <c:pt idx="8">
                  <c:v>21363</c:v>
                </c:pt>
                <c:pt idx="9">
                  <c:v>21214</c:v>
                </c:pt>
                <c:pt idx="10">
                  <c:v>19738</c:v>
                </c:pt>
                <c:pt idx="11">
                  <c:v>19828</c:v>
                </c:pt>
                <c:pt idx="12">
                  <c:v>19715</c:v>
                </c:pt>
                <c:pt idx="13">
                  <c:v>19666</c:v>
                </c:pt>
                <c:pt idx="14">
                  <c:v>20898</c:v>
                </c:pt>
                <c:pt idx="15">
                  <c:v>20101</c:v>
                </c:pt>
                <c:pt idx="16">
                  <c:v>19286</c:v>
                </c:pt>
                <c:pt idx="17">
                  <c:v>18034</c:v>
                </c:pt>
                <c:pt idx="18">
                  <c:v>16641</c:v>
                </c:pt>
                <c:pt idx="19">
                  <c:v>15218</c:v>
                </c:pt>
                <c:pt idx="20">
                  <c:v>13492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4AA-9D90-376B6891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35616"/>
        <c:axId val="148620224"/>
      </c:scatterChart>
      <c:valAx>
        <c:axId val="14863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20224"/>
        <c:crosses val="autoZero"/>
        <c:crossBetween val="midCat"/>
      </c:valAx>
      <c:valAx>
        <c:axId val="14862022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6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589304</xdr:colOff>
      <xdr:row>8</xdr:row>
      <xdr:rowOff>97984</xdr:rowOff>
    </xdr:from>
    <xdr:to>
      <xdr:col>17</xdr:col>
      <xdr:colOff>81643</xdr:colOff>
      <xdr:row>15</xdr:row>
      <xdr:rowOff>69170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5742" y="1614047"/>
          <a:ext cx="4429464" cy="1455498"/>
        </a:xfrm>
        <a:prstGeom prst="rect">
          <a:avLst/>
        </a:prstGeom>
      </xdr:spPr>
    </xdr:pic>
    <xdr:clientData/>
  </xdr:twoCellAnchor>
  <xdr:twoCellAnchor>
    <xdr:from>
      <xdr:col>10</xdr:col>
      <xdr:colOff>3401</xdr:colOff>
      <xdr:row>16</xdr:row>
      <xdr:rowOff>171676</xdr:rowOff>
    </xdr:from>
    <xdr:to>
      <xdr:col>17</xdr:col>
      <xdr:colOff>288017</xdr:colOff>
      <xdr:row>31</xdr:row>
      <xdr:rowOff>41501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504093</xdr:colOff>
      <xdr:row>1</xdr:row>
      <xdr:rowOff>72477</xdr:rowOff>
    </xdr:from>
    <xdr:to>
      <xdr:col>12</xdr:col>
      <xdr:colOff>281354</xdr:colOff>
      <xdr:row>11</xdr:row>
      <xdr:rowOff>13388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39CF353-47A1-4CC5-9602-B8950D038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8431" y="248323"/>
          <a:ext cx="3862754" cy="18986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503465</xdr:colOff>
      <xdr:row>1</xdr:row>
      <xdr:rowOff>13608</xdr:rowOff>
    </xdr:from>
    <xdr:to>
      <xdr:col>17</xdr:col>
      <xdr:colOff>185753</xdr:colOff>
      <xdr:row>14</xdr:row>
      <xdr:rowOff>24857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6" y="197304"/>
          <a:ext cx="4982270" cy="2610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16809</xdr:colOff>
      <xdr:row>2</xdr:row>
      <xdr:rowOff>84045</xdr:rowOff>
    </xdr:from>
    <xdr:to>
      <xdr:col>9</xdr:col>
      <xdr:colOff>359964</xdr:colOff>
      <xdr:row>13</xdr:row>
      <xdr:rowOff>160548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9" y="465045"/>
          <a:ext cx="5839640" cy="21720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1</xdr:row>
      <xdr:rowOff>76200</xdr:rowOff>
    </xdr:from>
    <xdr:to>
      <xdr:col>19</xdr:col>
      <xdr:colOff>285118</xdr:colOff>
      <xdr:row>16</xdr:row>
      <xdr:rowOff>18160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08CB590-6269-496A-97A0-6646B95F1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940" y="251460"/>
          <a:ext cx="4674238" cy="2593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1</xdr:row>
      <xdr:rowOff>165100</xdr:rowOff>
    </xdr:from>
    <xdr:to>
      <xdr:col>13</xdr:col>
      <xdr:colOff>578427</xdr:colOff>
      <xdr:row>13</xdr:row>
      <xdr:rowOff>60621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600" y="349250"/>
          <a:ext cx="4134427" cy="2124371"/>
        </a:xfrm>
        <a:prstGeom prst="rect">
          <a:avLst/>
        </a:prstGeom>
      </xdr:spPr>
    </xdr:pic>
    <xdr:clientData/>
  </xdr:twoCellAnchor>
  <xdr:twoCellAnchor editAs="oneCell">
    <xdr:from>
      <xdr:col>9</xdr:col>
      <xdr:colOff>40640</xdr:colOff>
      <xdr:row>14</xdr:row>
      <xdr:rowOff>138430</xdr:rowOff>
    </xdr:from>
    <xdr:to>
      <xdr:col>15</xdr:col>
      <xdr:colOff>561978</xdr:colOff>
      <xdr:row>29</xdr:row>
      <xdr:rowOff>103250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1980" y="2614930"/>
          <a:ext cx="4674238" cy="2593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3"/>
  <sheetViews>
    <sheetView topLeftCell="A26" zoomScale="120" zoomScaleNormal="120" workbookViewId="0">
      <selection activeCell="G40" sqref="G40"/>
    </sheetView>
  </sheetViews>
  <sheetFormatPr defaultRowHeight="14.4"/>
  <cols>
    <col min="2" max="2" width="16" customWidth="1"/>
    <col min="3" max="3" width="14.6640625" customWidth="1"/>
    <col min="4" max="4" width="12.6640625" customWidth="1"/>
    <col min="5" max="5" width="10.6640625" customWidth="1"/>
    <col min="6" max="6" width="10.109375" customWidth="1"/>
    <col min="7" max="7" width="16" customWidth="1"/>
    <col min="8" max="8" width="15.5546875" customWidth="1"/>
    <col min="9" max="9" width="15.6640625" customWidth="1"/>
    <col min="11" max="11" width="9.88671875" bestFit="1" customWidth="1"/>
  </cols>
  <sheetData>
    <row r="1" spans="1:20">
      <c r="A1" t="s">
        <v>88</v>
      </c>
    </row>
    <row r="2" spans="1:20" ht="14.4" customHeight="1">
      <c r="A2" s="128" t="s">
        <v>70</v>
      </c>
      <c r="B2" s="128"/>
      <c r="C2" s="128"/>
      <c r="D2" s="128"/>
      <c r="E2" s="128"/>
      <c r="F2" s="128"/>
      <c r="G2" s="128"/>
      <c r="H2" s="128"/>
      <c r="I2" s="128"/>
      <c r="J2" s="128"/>
      <c r="K2" s="84" t="s">
        <v>89</v>
      </c>
    </row>
    <row r="3" spans="1:20">
      <c r="A3" s="128"/>
      <c r="B3" s="128"/>
      <c r="C3" s="128"/>
      <c r="D3" s="128"/>
      <c r="E3" s="128"/>
      <c r="F3" s="128"/>
      <c r="G3" s="128"/>
      <c r="H3" s="128"/>
      <c r="I3" s="128"/>
      <c r="J3" s="128"/>
      <c r="K3" t="s">
        <v>90</v>
      </c>
    </row>
    <row r="4" spans="1:20" ht="14.4" customHeight="1">
      <c r="A4" s="128" t="s">
        <v>71</v>
      </c>
      <c r="B4" s="128"/>
      <c r="C4" s="128"/>
      <c r="D4" s="128"/>
      <c r="E4" s="128"/>
      <c r="F4" s="128"/>
      <c r="G4" s="128"/>
      <c r="H4" s="128"/>
      <c r="I4" s="128"/>
      <c r="J4" s="128"/>
      <c r="K4" t="s">
        <v>91</v>
      </c>
    </row>
    <row r="5" spans="1:20">
      <c r="A5" s="128"/>
      <c r="B5" s="128"/>
      <c r="C5" s="128"/>
      <c r="D5" s="128"/>
      <c r="E5" s="128"/>
      <c r="F5" s="128"/>
      <c r="G5" s="128"/>
      <c r="H5" s="128"/>
      <c r="I5" s="128"/>
      <c r="J5" s="128"/>
    </row>
    <row r="6" spans="1:20">
      <c r="A6" s="128" t="s">
        <v>82</v>
      </c>
      <c r="B6" s="128"/>
      <c r="C6" s="128"/>
      <c r="D6" s="128"/>
      <c r="E6" s="128"/>
      <c r="F6" s="128"/>
      <c r="G6" s="128"/>
      <c r="H6" s="128"/>
      <c r="I6" s="128"/>
      <c r="J6" s="128"/>
    </row>
    <row r="7" spans="1:20">
      <c r="A7" s="128"/>
      <c r="B7" s="128"/>
      <c r="C7" s="128"/>
      <c r="D7" s="128"/>
      <c r="E7" s="128"/>
      <c r="F7" s="128"/>
      <c r="G7" s="128"/>
      <c r="H7" s="128"/>
      <c r="I7" s="128"/>
      <c r="J7" s="128"/>
    </row>
    <row r="8" spans="1:20" ht="15" thickBot="1">
      <c r="D8" s="71"/>
    </row>
    <row r="9" spans="1:20" ht="27.6" customHeight="1" thickBot="1">
      <c r="A9" s="75" t="s">
        <v>72</v>
      </c>
      <c r="B9" s="58" t="s">
        <v>73</v>
      </c>
      <c r="C9" s="58" t="s">
        <v>74</v>
      </c>
      <c r="D9" s="77" t="s">
        <v>75</v>
      </c>
      <c r="E9" s="72" t="s">
        <v>92</v>
      </c>
      <c r="F9" s="74" t="s">
        <v>93</v>
      </c>
      <c r="G9" s="73" t="s">
        <v>94</v>
      </c>
      <c r="H9" s="74" t="s">
        <v>95</v>
      </c>
      <c r="I9" s="74" t="s">
        <v>96</v>
      </c>
    </row>
    <row r="10" spans="1:20">
      <c r="A10" s="59">
        <v>2003</v>
      </c>
      <c r="B10" s="71">
        <v>2191172</v>
      </c>
      <c r="C10" s="71">
        <v>21261</v>
      </c>
      <c r="D10" s="71">
        <v>22807</v>
      </c>
      <c r="E10" s="71">
        <f>B10-$B$32</f>
        <v>58308.666666666511</v>
      </c>
      <c r="F10" s="76">
        <f>C10-$C$32</f>
        <v>1237.4761904761908</v>
      </c>
      <c r="G10">
        <f>E10*F10</f>
        <v>72155586.698412523</v>
      </c>
      <c r="H10" s="76">
        <f>E10^2</f>
        <v>3399900608.4444265</v>
      </c>
      <c r="I10" s="76">
        <f>F10^2</f>
        <v>1531347.3219954658</v>
      </c>
      <c r="Q10" s="61"/>
      <c r="R10" s="61"/>
      <c r="S10" s="61"/>
      <c r="T10" s="61"/>
    </row>
    <row r="11" spans="1:20">
      <c r="A11" s="59">
        <v>2004</v>
      </c>
      <c r="B11" s="71">
        <v>2185156</v>
      </c>
      <c r="C11" s="71">
        <v>20794</v>
      </c>
      <c r="D11" s="71">
        <v>22797</v>
      </c>
      <c r="E11" s="71">
        <f t="shared" ref="E11:E30" si="0">B11-$B$32</f>
        <v>52292.666666666511</v>
      </c>
      <c r="F11" s="76">
        <f t="shared" ref="F11:F30" si="1">C11-$C$32</f>
        <v>770.47619047619082</v>
      </c>
      <c r="G11">
        <f t="shared" ref="G11:G30" si="2">E11*F11</f>
        <v>40290254.6031745</v>
      </c>
      <c r="H11" s="76">
        <f t="shared" ref="H11:H30" si="3">E11^2</f>
        <v>2734522987.111095</v>
      </c>
      <c r="I11" s="76">
        <f t="shared" ref="I11:I30" si="4">F11^2</f>
        <v>593633.56009070342</v>
      </c>
    </row>
    <row r="12" spans="1:20">
      <c r="A12" s="59">
        <v>2005</v>
      </c>
      <c r="B12" s="71">
        <v>2179611</v>
      </c>
      <c r="C12" s="71">
        <v>21346</v>
      </c>
      <c r="D12" s="71">
        <v>23182</v>
      </c>
      <c r="E12" s="71">
        <f t="shared" si="0"/>
        <v>46747.666666666511</v>
      </c>
      <c r="F12" s="76">
        <f t="shared" si="1"/>
        <v>1322.4761904761908</v>
      </c>
      <c r="G12">
        <f t="shared" si="2"/>
        <v>61822676.126983941</v>
      </c>
      <c r="H12" s="76">
        <f t="shared" si="3"/>
        <v>2185344338.7777634</v>
      </c>
      <c r="I12" s="76">
        <f t="shared" si="4"/>
        <v>1748943.2743764182</v>
      </c>
    </row>
    <row r="13" spans="1:20">
      <c r="A13" s="59">
        <v>2006</v>
      </c>
      <c r="B13" s="71">
        <v>2172766</v>
      </c>
      <c r="C13" s="71">
        <v>21496</v>
      </c>
      <c r="D13" s="71">
        <v>22678</v>
      </c>
      <c r="E13" s="71">
        <f t="shared" si="0"/>
        <v>39902.666666666511</v>
      </c>
      <c r="F13" s="76">
        <f t="shared" si="1"/>
        <v>1472.4761904761908</v>
      </c>
      <c r="G13">
        <f t="shared" si="2"/>
        <v>58755726.603174388</v>
      </c>
      <c r="H13" s="76">
        <f t="shared" si="3"/>
        <v>1592222807.1110988</v>
      </c>
      <c r="I13" s="76">
        <f t="shared" si="4"/>
        <v>2168186.1315192753</v>
      </c>
    </row>
    <row r="14" spans="1:20">
      <c r="A14" s="59">
        <v>2007</v>
      </c>
      <c r="B14" s="71">
        <v>2166213</v>
      </c>
      <c r="C14" s="71">
        <v>21795</v>
      </c>
      <c r="D14" s="71">
        <v>23323</v>
      </c>
      <c r="E14" s="71">
        <f t="shared" si="0"/>
        <v>33349.666666666511</v>
      </c>
      <c r="F14" s="76">
        <f t="shared" si="1"/>
        <v>1771.4761904761908</v>
      </c>
      <c r="G14">
        <f t="shared" si="2"/>
        <v>59078140.460317194</v>
      </c>
      <c r="H14" s="76">
        <f t="shared" si="3"/>
        <v>1112200266.7777674</v>
      </c>
      <c r="I14" s="76">
        <f t="shared" si="4"/>
        <v>3138127.8934240374</v>
      </c>
    </row>
    <row r="15" spans="1:20">
      <c r="A15" s="59">
        <v>2008</v>
      </c>
      <c r="B15" s="71">
        <v>2161832</v>
      </c>
      <c r="C15" s="71">
        <v>23009</v>
      </c>
      <c r="D15" s="71">
        <v>23428</v>
      </c>
      <c r="E15" s="71">
        <f t="shared" si="0"/>
        <v>28968.666666666511</v>
      </c>
      <c r="F15" s="76">
        <f t="shared" si="1"/>
        <v>2985.4761904761908</v>
      </c>
      <c r="G15">
        <f t="shared" si="2"/>
        <v>86485264.60317415</v>
      </c>
      <c r="H15" s="76">
        <f t="shared" si="3"/>
        <v>839183648.44443548</v>
      </c>
      <c r="I15" s="76">
        <f t="shared" si="4"/>
        <v>8913068.0839002281</v>
      </c>
    </row>
    <row r="16" spans="1:20">
      <c r="A16" s="59">
        <v>2009</v>
      </c>
      <c r="B16" s="71">
        <v>2157202</v>
      </c>
      <c r="C16" s="71">
        <v>22964</v>
      </c>
      <c r="D16" s="71">
        <v>23703</v>
      </c>
      <c r="E16" s="71">
        <f t="shared" si="0"/>
        <v>24338.666666666511</v>
      </c>
      <c r="F16" s="76">
        <f t="shared" si="1"/>
        <v>2940.4761904761908</v>
      </c>
      <c r="G16">
        <f t="shared" si="2"/>
        <v>71567269.841269389</v>
      </c>
      <c r="H16" s="76">
        <f t="shared" si="3"/>
        <v>592370695.11110353</v>
      </c>
      <c r="I16" s="76">
        <f t="shared" si="4"/>
        <v>8646400.2267573718</v>
      </c>
    </row>
    <row r="17" spans="1:9">
      <c r="A17" s="59">
        <v>2010</v>
      </c>
      <c r="B17" s="71">
        <v>2178611</v>
      </c>
      <c r="C17" s="71">
        <v>22635</v>
      </c>
      <c r="D17" s="71">
        <v>23037</v>
      </c>
      <c r="E17" s="71">
        <f t="shared" si="0"/>
        <v>45747.666666666511</v>
      </c>
      <c r="F17" s="76">
        <f t="shared" si="1"/>
        <v>2611.4761904761908</v>
      </c>
      <c r="G17">
        <f t="shared" si="2"/>
        <v>119468942.26984088</v>
      </c>
      <c r="H17" s="76">
        <f t="shared" si="3"/>
        <v>2092849005.4444304</v>
      </c>
      <c r="I17" s="76">
        <f t="shared" si="4"/>
        <v>6819807.8934240378</v>
      </c>
    </row>
    <row r="18" spans="1:9">
      <c r="A18" s="59">
        <v>2011</v>
      </c>
      <c r="B18" s="71">
        <v>2171857</v>
      </c>
      <c r="C18" s="71">
        <v>21363</v>
      </c>
      <c r="D18" s="71">
        <v>22981</v>
      </c>
      <c r="E18" s="71">
        <f t="shared" si="0"/>
        <v>38993.666666666511</v>
      </c>
      <c r="F18" s="76">
        <f t="shared" si="1"/>
        <v>1339.4761904761908</v>
      </c>
      <c r="G18">
        <f t="shared" si="2"/>
        <v>52231088.079364888</v>
      </c>
      <c r="H18" s="76">
        <f t="shared" si="3"/>
        <v>1520506040.111099</v>
      </c>
      <c r="I18" s="76">
        <f t="shared" si="4"/>
        <v>1794196.4648526087</v>
      </c>
    </row>
    <row r="19" spans="1:9">
      <c r="A19" s="59">
        <v>2012</v>
      </c>
      <c r="B19" s="71">
        <v>2165651</v>
      </c>
      <c r="C19" s="71">
        <v>21214</v>
      </c>
      <c r="D19" s="71">
        <v>22562</v>
      </c>
      <c r="E19" s="71">
        <f t="shared" si="0"/>
        <v>32787.666666666511</v>
      </c>
      <c r="F19" s="76">
        <f t="shared" si="1"/>
        <v>1190.4761904761908</v>
      </c>
      <c r="G19">
        <f t="shared" si="2"/>
        <v>39032936.507936336</v>
      </c>
      <c r="H19" s="76">
        <f t="shared" si="3"/>
        <v>1075031085.4444342</v>
      </c>
      <c r="I19" s="76">
        <f t="shared" si="4"/>
        <v>1417233.5600907037</v>
      </c>
    </row>
    <row r="20" spans="1:9">
      <c r="A20" s="59">
        <v>2013</v>
      </c>
      <c r="B20" s="71">
        <v>2156150</v>
      </c>
      <c r="C20" s="71">
        <v>19738</v>
      </c>
      <c r="D20" s="71">
        <v>22849</v>
      </c>
      <c r="E20" s="71">
        <f t="shared" si="0"/>
        <v>23286.666666666511</v>
      </c>
      <c r="F20" s="76">
        <f t="shared" si="1"/>
        <v>-285.52380952380918</v>
      </c>
      <c r="G20">
        <f t="shared" si="2"/>
        <v>-6648897.7777777258</v>
      </c>
      <c r="H20" s="76">
        <f t="shared" si="3"/>
        <v>542268844.44443727</v>
      </c>
      <c r="I20" s="76">
        <f t="shared" si="4"/>
        <v>81523.845804988465</v>
      </c>
    </row>
    <row r="21" spans="1:9">
      <c r="A21" s="59">
        <v>2014</v>
      </c>
      <c r="B21" s="71">
        <v>2147746</v>
      </c>
      <c r="C21" s="71">
        <v>19828</v>
      </c>
      <c r="D21" s="71">
        <v>22107</v>
      </c>
      <c r="E21" s="71">
        <f t="shared" si="0"/>
        <v>14882.666666666511</v>
      </c>
      <c r="F21" s="76">
        <f t="shared" si="1"/>
        <v>-195.52380952380918</v>
      </c>
      <c r="G21">
        <f t="shared" si="2"/>
        <v>-2909915.682539647</v>
      </c>
      <c r="H21" s="76">
        <f t="shared" si="3"/>
        <v>221493767.11110649</v>
      </c>
      <c r="I21" s="76">
        <f t="shared" si="4"/>
        <v>38229.560090702813</v>
      </c>
    </row>
    <row r="22" spans="1:9">
      <c r="A22" s="59">
        <v>2015</v>
      </c>
      <c r="B22" s="71">
        <v>2139726</v>
      </c>
      <c r="C22" s="71">
        <v>19715</v>
      </c>
      <c r="D22" s="71">
        <v>22816</v>
      </c>
      <c r="E22" s="71">
        <f t="shared" si="0"/>
        <v>6862.6666666665114</v>
      </c>
      <c r="F22" s="76">
        <f t="shared" si="1"/>
        <v>-308.52380952380918</v>
      </c>
      <c r="G22">
        <f t="shared" si="2"/>
        <v>-2117296.0634920131</v>
      </c>
      <c r="H22" s="76">
        <f t="shared" si="3"/>
        <v>47096193.777775645</v>
      </c>
      <c r="I22" s="76">
        <f t="shared" si="4"/>
        <v>95186.941043083687</v>
      </c>
    </row>
    <row r="23" spans="1:9">
      <c r="A23" s="59">
        <v>2016</v>
      </c>
      <c r="B23" s="71">
        <v>2133340</v>
      </c>
      <c r="C23" s="71">
        <v>19666</v>
      </c>
      <c r="D23" s="71">
        <v>22284</v>
      </c>
      <c r="E23" s="71">
        <f t="shared" si="0"/>
        <v>476.66666666651145</v>
      </c>
      <c r="F23" s="76">
        <f t="shared" si="1"/>
        <v>-357.52380952380918</v>
      </c>
      <c r="G23">
        <f t="shared" si="2"/>
        <v>-170419.68253962687</v>
      </c>
      <c r="H23" s="76">
        <f t="shared" si="3"/>
        <v>227211.11111096313</v>
      </c>
      <c r="I23" s="76">
        <f t="shared" si="4"/>
        <v>127823.27437641699</v>
      </c>
    </row>
    <row r="24" spans="1:9">
      <c r="A24" s="59">
        <v>2017</v>
      </c>
      <c r="B24" s="71">
        <v>2126317</v>
      </c>
      <c r="C24" s="71">
        <v>20898</v>
      </c>
      <c r="D24" s="71">
        <v>23427</v>
      </c>
      <c r="E24" s="71">
        <f t="shared" si="0"/>
        <v>-6546.3333333334886</v>
      </c>
      <c r="F24" s="76">
        <f t="shared" si="1"/>
        <v>874.47619047619082</v>
      </c>
      <c r="G24">
        <f t="shared" si="2"/>
        <v>-5724612.6349207731</v>
      </c>
      <c r="H24" s="76">
        <f t="shared" si="3"/>
        <v>42854480.111113146</v>
      </c>
      <c r="I24" s="76">
        <f t="shared" si="4"/>
        <v>764708.60770975112</v>
      </c>
    </row>
    <row r="25" spans="1:9">
      <c r="A25" s="59">
        <v>2018</v>
      </c>
      <c r="B25" s="71">
        <v>2117619</v>
      </c>
      <c r="C25" s="71">
        <v>20101</v>
      </c>
      <c r="D25" s="71">
        <v>23682</v>
      </c>
      <c r="E25" s="71">
        <f t="shared" si="0"/>
        <v>-15244.333333333489</v>
      </c>
      <c r="F25" s="76">
        <f t="shared" si="1"/>
        <v>77.476190476190823</v>
      </c>
      <c r="G25">
        <f t="shared" si="2"/>
        <v>-1181072.8730158904</v>
      </c>
      <c r="H25" s="76">
        <f t="shared" si="3"/>
        <v>232389698.7777825</v>
      </c>
      <c r="I25" s="76">
        <f t="shared" si="4"/>
        <v>6002.5600907030012</v>
      </c>
    </row>
    <row r="26" spans="1:9">
      <c r="A26" s="59">
        <v>2019</v>
      </c>
      <c r="B26" s="71">
        <v>2108270</v>
      </c>
      <c r="C26" s="71">
        <v>19286</v>
      </c>
      <c r="D26" s="71">
        <v>23015</v>
      </c>
      <c r="E26" s="71">
        <f t="shared" si="0"/>
        <v>-24593.333333333489</v>
      </c>
      <c r="F26" s="76">
        <f t="shared" si="1"/>
        <v>-737.52380952380918</v>
      </c>
      <c r="G26">
        <f t="shared" si="2"/>
        <v>18138168.888888996</v>
      </c>
      <c r="H26" s="76">
        <f t="shared" si="3"/>
        <v>604832044.44445205</v>
      </c>
      <c r="I26" s="76">
        <f t="shared" si="4"/>
        <v>543941.36961451196</v>
      </c>
    </row>
    <row r="27" spans="1:9">
      <c r="A27" s="59">
        <v>2020</v>
      </c>
      <c r="B27" s="71">
        <v>2056908</v>
      </c>
      <c r="C27" s="71">
        <v>18034</v>
      </c>
      <c r="D27" s="71">
        <v>27244</v>
      </c>
      <c r="E27" s="71">
        <f t="shared" si="0"/>
        <v>-75955.333333333489</v>
      </c>
      <c r="F27" s="76">
        <f t="shared" si="1"/>
        <v>-1989.5238095238092</v>
      </c>
      <c r="G27">
        <f t="shared" si="2"/>
        <v>151114944.12698442</v>
      </c>
      <c r="H27" s="76">
        <f t="shared" si="3"/>
        <v>5769212661.7778015</v>
      </c>
      <c r="I27" s="76">
        <f t="shared" si="4"/>
        <v>3958204.9886621302</v>
      </c>
    </row>
    <row r="28" spans="1:9">
      <c r="A28" s="59">
        <v>2021</v>
      </c>
      <c r="B28" s="71">
        <v>2038299</v>
      </c>
      <c r="C28" s="71">
        <v>16641</v>
      </c>
      <c r="D28" s="71">
        <v>30617</v>
      </c>
      <c r="E28" s="71">
        <f t="shared" si="0"/>
        <v>-94564.333333333489</v>
      </c>
      <c r="F28" s="76">
        <f t="shared" si="1"/>
        <v>-3382.5238095238092</v>
      </c>
      <c r="G28">
        <f t="shared" si="2"/>
        <v>319866109.03174651</v>
      </c>
      <c r="H28" s="76">
        <f t="shared" si="3"/>
        <v>8942413138.7778072</v>
      </c>
      <c r="I28" s="76">
        <f t="shared" si="4"/>
        <v>11441467.321995463</v>
      </c>
    </row>
    <row r="29" spans="1:9">
      <c r="A29" s="59">
        <v>2022</v>
      </c>
      <c r="B29" s="71">
        <v>2024637</v>
      </c>
      <c r="C29" s="71">
        <v>15218</v>
      </c>
      <c r="D29" s="71">
        <v>24924</v>
      </c>
      <c r="E29" s="71">
        <f t="shared" si="0"/>
        <v>-108226.33333333349</v>
      </c>
      <c r="F29" s="76">
        <f t="shared" si="1"/>
        <v>-4805.5238095238092</v>
      </c>
      <c r="G29">
        <f t="shared" si="2"/>
        <v>520084221.65079439</v>
      </c>
      <c r="H29" s="76">
        <f t="shared" si="3"/>
        <v>11712939226.777811</v>
      </c>
      <c r="I29" s="76">
        <f t="shared" si="4"/>
        <v>23093059.083900224</v>
      </c>
    </row>
    <row r="30" spans="1:9" ht="15" thickBot="1">
      <c r="A30" s="59">
        <v>2023</v>
      </c>
      <c r="B30" s="71">
        <v>2011047</v>
      </c>
      <c r="C30" s="71">
        <v>13492</v>
      </c>
      <c r="D30" s="71">
        <v>22910</v>
      </c>
      <c r="E30" s="71">
        <f t="shared" si="0"/>
        <v>-121816.33333333349</v>
      </c>
      <c r="F30" s="76">
        <f t="shared" si="1"/>
        <v>-6531.5238095238092</v>
      </c>
      <c r="G30">
        <f t="shared" si="2"/>
        <v>795646281.55555654</v>
      </c>
      <c r="H30" s="76">
        <f t="shared" si="3"/>
        <v>14839219066.777815</v>
      </c>
      <c r="I30" s="76">
        <f t="shared" si="4"/>
        <v>42660803.274376415</v>
      </c>
    </row>
    <row r="31" spans="1:9" ht="15" thickBot="1">
      <c r="A31" s="80" t="s">
        <v>76</v>
      </c>
      <c r="B31" s="81">
        <f>SUM(B10:B30)</f>
        <v>44790130</v>
      </c>
      <c r="C31" s="81">
        <f>SUM(C10:C30)</f>
        <v>420494</v>
      </c>
      <c r="D31" s="82">
        <f>SUM(D10:D30)</f>
        <v>496373</v>
      </c>
      <c r="E31" s="78"/>
      <c r="F31" s="79"/>
      <c r="G31" s="78">
        <f>SUM(G10:G30)</f>
        <v>2446985396.333334</v>
      </c>
      <c r="H31" s="85">
        <f>SUM(H10:H30)</f>
        <v>60099077816.666664</v>
      </c>
      <c r="I31" s="81">
        <f>SUM(I10:I30)</f>
        <v>119581895.23809525</v>
      </c>
    </row>
    <row r="32" spans="1:9" ht="15" thickBot="1">
      <c r="A32" s="74" t="s">
        <v>68</v>
      </c>
      <c r="B32" s="83">
        <f>AVERAGE(B10:B30)</f>
        <v>2132863.3333333335</v>
      </c>
      <c r="C32" s="83">
        <f>AVERAGE(C10:C30)</f>
        <v>20023.523809523809</v>
      </c>
    </row>
    <row r="33" spans="4:9">
      <c r="E33" s="88" t="s">
        <v>97</v>
      </c>
      <c r="F33" s="88">
        <f>G31/SQRT(H31*I31)</f>
        <v>0.91277714515949371</v>
      </c>
    </row>
    <row r="35" spans="4:9">
      <c r="G35" t="s">
        <v>98</v>
      </c>
    </row>
    <row r="36" spans="4:9">
      <c r="E36" t="s">
        <v>99</v>
      </c>
    </row>
    <row r="37" spans="4:9">
      <c r="E37" t="s">
        <v>100</v>
      </c>
    </row>
    <row r="39" spans="4:9">
      <c r="D39" t="s">
        <v>106</v>
      </c>
    </row>
    <row r="40" spans="4:9">
      <c r="E40" t="s">
        <v>101</v>
      </c>
      <c r="G40">
        <f>_xlfn.COVARIANCE.P(B10:B30,C10:C30)</f>
        <v>116523114.11111113</v>
      </c>
      <c r="H40" t="s">
        <v>102</v>
      </c>
    </row>
    <row r="42" spans="4:9">
      <c r="E42" t="s">
        <v>103</v>
      </c>
      <c r="F42">
        <f>STDEVPA(B10:B30)</f>
        <v>53496.362945649853</v>
      </c>
      <c r="H42" s="86" t="s">
        <v>97</v>
      </c>
      <c r="I42" s="86">
        <f>G40/(F42*F43)</f>
        <v>0.9127771451594936</v>
      </c>
    </row>
    <row r="43" spans="4:9">
      <c r="E43" t="s">
        <v>104</v>
      </c>
      <c r="F43">
        <f>STDEVPA(C10:C30)</f>
        <v>2386.2891617988844</v>
      </c>
    </row>
    <row r="47" spans="4:9">
      <c r="E47" t="s">
        <v>105</v>
      </c>
    </row>
    <row r="48" spans="4:9">
      <c r="F48" s="87" t="s">
        <v>97</v>
      </c>
      <c r="G48" s="87">
        <f>PEARSON(B10:B30,C10:C30)</f>
        <v>0.9127771451594936</v>
      </c>
    </row>
    <row r="50" spans="3:10">
      <c r="C50" t="s">
        <v>107</v>
      </c>
    </row>
    <row r="51" spans="3:10">
      <c r="D51" t="s">
        <v>108</v>
      </c>
      <c r="H51">
        <f>PEARSON(B10:B30,D10:D30)</f>
        <v>-0.60105900255508382</v>
      </c>
      <c r="J51" t="s">
        <v>110</v>
      </c>
    </row>
    <row r="53" spans="3:10">
      <c r="D53" t="s">
        <v>109</v>
      </c>
    </row>
  </sheetData>
  <mergeCells count="3">
    <mergeCell ref="A2:J3"/>
    <mergeCell ref="A4:J5"/>
    <mergeCell ref="A6:J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="170" zoomScaleNormal="170" workbookViewId="0">
      <selection activeCell="I16" sqref="I16"/>
    </sheetView>
  </sheetViews>
  <sheetFormatPr defaultColWidth="9.109375" defaultRowHeight="13.8"/>
  <cols>
    <col min="1" max="2" width="9.109375" style="1"/>
    <col min="3" max="3" width="11.88671875" style="1" customWidth="1"/>
    <col min="4" max="16384" width="9.109375" style="1"/>
  </cols>
  <sheetData>
    <row r="1" spans="1:4">
      <c r="A1" s="1" t="s">
        <v>24</v>
      </c>
    </row>
    <row r="2" spans="1:4" ht="14.4" thickBot="1"/>
    <row r="3" spans="1:4">
      <c r="B3" s="140" t="s">
        <v>23</v>
      </c>
      <c r="C3" s="137" t="s">
        <v>22</v>
      </c>
      <c r="D3" s="138"/>
    </row>
    <row r="4" spans="1:4">
      <c r="B4" s="141"/>
      <c r="C4" s="19" t="s">
        <v>21</v>
      </c>
      <c r="D4" s="18" t="s">
        <v>20</v>
      </c>
    </row>
    <row r="5" spans="1:4">
      <c r="B5" s="25" t="s">
        <v>19</v>
      </c>
      <c r="C5" s="19">
        <v>30</v>
      </c>
      <c r="D5" s="18">
        <v>80</v>
      </c>
    </row>
    <row r="6" spans="1:4" ht="14.4" thickBot="1">
      <c r="B6" s="24" t="s">
        <v>18</v>
      </c>
      <c r="C6" s="16">
        <v>170</v>
      </c>
      <c r="D6" s="15">
        <v>220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7"/>
  <sheetViews>
    <sheetView zoomScale="140" zoomScaleNormal="140" workbookViewId="0">
      <selection activeCell="D10" sqref="D10"/>
    </sheetView>
  </sheetViews>
  <sheetFormatPr defaultColWidth="9.109375" defaultRowHeight="13.8"/>
  <cols>
    <col min="1" max="16384" width="9.109375" style="44"/>
  </cols>
  <sheetData>
    <row r="1" spans="1:5">
      <c r="A1" s="44" t="s">
        <v>61</v>
      </c>
    </row>
    <row r="2" spans="1:5" ht="14.4" thickBot="1"/>
    <row r="3" spans="1:5" ht="15" thickBot="1">
      <c r="B3" s="142" t="s">
        <v>60</v>
      </c>
      <c r="C3" s="144" t="s">
        <v>59</v>
      </c>
      <c r="D3" s="145"/>
      <c r="E3" s="146"/>
    </row>
    <row r="4" spans="1:5" ht="15" thickBot="1">
      <c r="B4" s="143"/>
      <c r="C4" s="50" t="s">
        <v>58</v>
      </c>
      <c r="D4" s="49" t="s">
        <v>57</v>
      </c>
      <c r="E4" s="146"/>
    </row>
    <row r="5" spans="1:5" ht="15" thickBot="1">
      <c r="B5" s="51" t="s">
        <v>56</v>
      </c>
      <c r="C5" s="50">
        <v>140</v>
      </c>
      <c r="D5" s="49">
        <v>250</v>
      </c>
      <c r="E5" s="45"/>
    </row>
    <row r="6" spans="1:5" ht="15" thickBot="1">
      <c r="B6" s="48" t="s">
        <v>55</v>
      </c>
      <c r="C6" s="47">
        <v>40</v>
      </c>
      <c r="D6" s="46">
        <v>170</v>
      </c>
      <c r="E6" s="45"/>
    </row>
    <row r="7" spans="1:5" ht="14.4">
      <c r="B7" s="45"/>
      <c r="C7" s="45"/>
      <c r="D7" s="45"/>
      <c r="E7" s="45"/>
    </row>
  </sheetData>
  <mergeCells count="3">
    <mergeCell ref="B3:B4"/>
    <mergeCell ref="C3:D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130" zoomScaleNormal="130" workbookViewId="0">
      <selection activeCell="A4" sqref="A4"/>
    </sheetView>
  </sheetViews>
  <sheetFormatPr defaultColWidth="9.109375" defaultRowHeight="13.8"/>
  <cols>
    <col min="1" max="1" width="14" style="1" customWidth="1"/>
    <col min="2" max="2" width="11.33203125" style="1" customWidth="1"/>
    <col min="3" max="3" width="10.5546875" style="1" customWidth="1"/>
    <col min="4" max="4" width="15.5546875" style="1" customWidth="1"/>
    <col min="5" max="5" width="9.109375" style="1"/>
    <col min="6" max="6" width="9.6640625" style="1" customWidth="1"/>
    <col min="7" max="7" width="9.109375" style="1"/>
    <col min="8" max="8" width="10.44140625" style="1" bestFit="1" customWidth="1"/>
    <col min="9" max="16384" width="9.109375" style="1"/>
  </cols>
  <sheetData>
    <row r="1" spans="1:10">
      <c r="A1" s="57" t="s">
        <v>65</v>
      </c>
    </row>
    <row r="2" spans="1:10">
      <c r="A2" s="57" t="s">
        <v>66</v>
      </c>
    </row>
    <row r="3" spans="1:10">
      <c r="A3" s="43" t="s">
        <v>63</v>
      </c>
    </row>
    <row r="4" spans="1:10">
      <c r="A4" s="57" t="s">
        <v>67</v>
      </c>
    </row>
    <row r="5" spans="1:10" ht="14.4" thickBot="1"/>
    <row r="6" spans="1:10" ht="48" customHeight="1" thickBot="1">
      <c r="A6" s="11" t="s">
        <v>12</v>
      </c>
      <c r="B6" s="10" t="s">
        <v>11</v>
      </c>
      <c r="C6" s="9" t="s">
        <v>10</v>
      </c>
      <c r="D6" s="60" t="s">
        <v>64</v>
      </c>
      <c r="E6" s="8"/>
      <c r="F6" s="89" t="s">
        <v>111</v>
      </c>
      <c r="G6" s="89" t="s">
        <v>112</v>
      </c>
      <c r="H6" s="8">
        <f>_xlfn.COVARIANCE.P(B7:B16,C7:C16)</f>
        <v>-531.20999999999992</v>
      </c>
    </row>
    <row r="7" spans="1:10">
      <c r="A7" s="7" t="s">
        <v>9</v>
      </c>
      <c r="B7" s="6">
        <v>97</v>
      </c>
      <c r="C7" s="5">
        <v>39.5</v>
      </c>
      <c r="D7" s="5">
        <v>2</v>
      </c>
      <c r="I7" s="57" t="s">
        <v>97</v>
      </c>
      <c r="J7" s="1">
        <f>H6/(H8*H9)</f>
        <v>-0.90413240184731014</v>
      </c>
    </row>
    <row r="8" spans="1:10">
      <c r="A8" s="7" t="s">
        <v>8</v>
      </c>
      <c r="B8" s="6">
        <v>186</v>
      </c>
      <c r="C8" s="5">
        <v>21</v>
      </c>
      <c r="D8" s="5">
        <v>9</v>
      </c>
      <c r="G8" s="57" t="s">
        <v>103</v>
      </c>
      <c r="H8" s="1">
        <f>_xlfn.STDEV.P(C7:C16)</f>
        <v>7.854298186343577</v>
      </c>
      <c r="J8" s="57" t="s">
        <v>113</v>
      </c>
    </row>
    <row r="9" spans="1:10">
      <c r="A9" s="7" t="s">
        <v>7</v>
      </c>
      <c r="B9" s="6">
        <v>244</v>
      </c>
      <c r="C9" s="5">
        <v>16</v>
      </c>
      <c r="D9" s="5">
        <v>11</v>
      </c>
      <c r="G9" s="57" t="s">
        <v>104</v>
      </c>
      <c r="H9" s="1">
        <f>_xlfn.STDEV.P(B7:B16)</f>
        <v>74.804344793601388</v>
      </c>
    </row>
    <row r="10" spans="1:10">
      <c r="A10" s="7" t="s">
        <v>6</v>
      </c>
      <c r="B10" s="6">
        <v>143</v>
      </c>
      <c r="C10" s="5">
        <v>31</v>
      </c>
      <c r="D10" s="5">
        <v>4</v>
      </c>
    </row>
    <row r="11" spans="1:10">
      <c r="A11" s="7" t="s">
        <v>5</v>
      </c>
      <c r="B11" s="6">
        <v>292</v>
      </c>
      <c r="C11" s="5">
        <v>20.5</v>
      </c>
      <c r="D11" s="5">
        <v>10</v>
      </c>
    </row>
    <row r="12" spans="1:10">
      <c r="A12" s="7" t="s">
        <v>4</v>
      </c>
      <c r="B12" s="6">
        <v>193</v>
      </c>
      <c r="C12" s="5">
        <v>26</v>
      </c>
      <c r="D12" s="5">
        <v>7</v>
      </c>
      <c r="F12" s="57" t="s">
        <v>114</v>
      </c>
      <c r="G12" s="57" t="s">
        <v>115</v>
      </c>
      <c r="I12" s="1">
        <f>PEARSON(C7:C16,D7:D16)</f>
        <v>-0.98157384827695304</v>
      </c>
    </row>
    <row r="13" spans="1:10">
      <c r="A13" s="7" t="s">
        <v>3</v>
      </c>
      <c r="B13" s="6">
        <v>74</v>
      </c>
      <c r="C13" s="5">
        <v>38</v>
      </c>
      <c r="D13" s="5">
        <v>2.5</v>
      </c>
      <c r="G13" s="57" t="s">
        <v>116</v>
      </c>
      <c r="I13" s="1">
        <f>PEARSON(C7:C16,B7:B16)</f>
        <v>-0.90413240184730992</v>
      </c>
    </row>
    <row r="14" spans="1:10">
      <c r="A14" s="7" t="s">
        <v>2</v>
      </c>
      <c r="B14" s="6">
        <v>312</v>
      </c>
      <c r="C14" s="5">
        <v>18</v>
      </c>
      <c r="D14" s="5">
        <v>12</v>
      </c>
    </row>
    <row r="15" spans="1:10">
      <c r="A15" s="7" t="s">
        <v>1</v>
      </c>
      <c r="B15" s="6">
        <v>251</v>
      </c>
      <c r="C15" s="5">
        <v>19</v>
      </c>
      <c r="D15" s="5">
        <v>10</v>
      </c>
    </row>
    <row r="16" spans="1:10" ht="14.4" thickBot="1">
      <c r="A16" s="4" t="s">
        <v>0</v>
      </c>
      <c r="B16" s="3">
        <v>177</v>
      </c>
      <c r="C16" s="2">
        <v>25</v>
      </c>
      <c r="D16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zoomScale="150" zoomScaleNormal="150" workbookViewId="0">
      <selection activeCell="G11" sqref="G11"/>
    </sheetView>
  </sheetViews>
  <sheetFormatPr defaultRowHeight="14.4"/>
  <sheetData>
    <row r="1" spans="1:14" ht="14.4" customHeight="1">
      <c r="A1" s="128" t="s">
        <v>83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>
      <c r="A2" s="128"/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</row>
  </sheetData>
  <mergeCells count="1">
    <mergeCell ref="A1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tabSelected="1" topLeftCell="A7" zoomScale="130" zoomScaleNormal="130" workbookViewId="0">
      <selection activeCell="D22" sqref="D22"/>
    </sheetView>
  </sheetViews>
  <sheetFormatPr defaultColWidth="9.109375" defaultRowHeight="13.8"/>
  <cols>
    <col min="1" max="1" width="16.6640625" style="1" customWidth="1"/>
    <col min="2" max="2" width="18.5546875" style="1" customWidth="1"/>
    <col min="3" max="3" width="16.109375" style="1" customWidth="1"/>
    <col min="4" max="8" width="9.109375" style="1"/>
    <col min="9" max="9" width="9.77734375" style="1" customWidth="1"/>
    <col min="10" max="10" width="9.6640625" style="1" customWidth="1"/>
    <col min="11" max="11" width="11.44140625" style="1" customWidth="1"/>
    <col min="12" max="12" width="10.44140625" style="1" bestFit="1" customWidth="1"/>
    <col min="13" max="16384" width="9.109375" style="1"/>
  </cols>
  <sheetData>
    <row r="1" spans="1:12">
      <c r="A1" s="1" t="s">
        <v>48</v>
      </c>
    </row>
    <row r="2" spans="1:12">
      <c r="A2" s="57" t="s">
        <v>84</v>
      </c>
    </row>
    <row r="3" spans="1:12" ht="14.4" thickBot="1"/>
    <row r="4" spans="1:12" ht="28.5" customHeight="1">
      <c r="A4" s="39" t="s">
        <v>47</v>
      </c>
      <c r="B4" s="38" t="s">
        <v>46</v>
      </c>
      <c r="C4" s="37" t="s">
        <v>45</v>
      </c>
    </row>
    <row r="5" spans="1:12">
      <c r="A5" s="150" t="s">
        <v>44</v>
      </c>
      <c r="B5" s="151" t="s">
        <v>39</v>
      </c>
      <c r="C5" s="152">
        <v>1</v>
      </c>
    </row>
    <row r="6" spans="1:12">
      <c r="A6" s="150" t="s">
        <v>43</v>
      </c>
      <c r="B6" s="151" t="s">
        <v>42</v>
      </c>
      <c r="C6" s="152">
        <v>5</v>
      </c>
    </row>
    <row r="7" spans="1:12">
      <c r="A7" s="150" t="s">
        <v>41</v>
      </c>
      <c r="B7" s="151" t="s">
        <v>35</v>
      </c>
      <c r="C7" s="152">
        <v>4</v>
      </c>
    </row>
    <row r="8" spans="1:12">
      <c r="A8" s="150" t="s">
        <v>40</v>
      </c>
      <c r="B8" s="151" t="s">
        <v>39</v>
      </c>
      <c r="C8" s="152">
        <v>3</v>
      </c>
    </row>
    <row r="9" spans="1:12">
      <c r="A9" s="150" t="s">
        <v>38</v>
      </c>
      <c r="B9" s="151" t="s">
        <v>37</v>
      </c>
      <c r="C9" s="152">
        <v>1</v>
      </c>
    </row>
    <row r="10" spans="1:12" ht="14.4" thickBot="1">
      <c r="A10" s="147" t="s">
        <v>36</v>
      </c>
      <c r="B10" s="148" t="s">
        <v>35</v>
      </c>
      <c r="C10" s="149">
        <v>2</v>
      </c>
    </row>
    <row r="11" spans="1:12" ht="14.4" thickBot="1"/>
    <row r="12" spans="1:12" ht="27.6">
      <c r="A12" s="39" t="s">
        <v>47</v>
      </c>
      <c r="B12" s="38" t="s">
        <v>46</v>
      </c>
      <c r="C12" s="37" t="s">
        <v>45</v>
      </c>
      <c r="D12" s="37" t="s">
        <v>119</v>
      </c>
      <c r="E12" s="37" t="s">
        <v>120</v>
      </c>
      <c r="F12" s="37" t="s">
        <v>124</v>
      </c>
      <c r="G12" s="37" t="s">
        <v>125</v>
      </c>
      <c r="I12" s="89" t="s">
        <v>167</v>
      </c>
      <c r="J12" s="89" t="s">
        <v>168</v>
      </c>
      <c r="K12" s="57" t="s">
        <v>127</v>
      </c>
      <c r="L12" s="1">
        <v>6</v>
      </c>
    </row>
    <row r="13" spans="1:12">
      <c r="A13" s="36" t="s">
        <v>44</v>
      </c>
      <c r="B13" s="154" t="s">
        <v>39</v>
      </c>
      <c r="C13" s="153">
        <v>1</v>
      </c>
      <c r="D13" s="34">
        <f>AVERAGEA(I13:I14)</f>
        <v>1.5</v>
      </c>
      <c r="E13" s="34">
        <f>AVERAGEA(J13:J14)</f>
        <v>1.5</v>
      </c>
      <c r="F13" s="34">
        <f>D13-E13</f>
        <v>0</v>
      </c>
      <c r="G13" s="34">
        <f>F13^2</f>
        <v>0</v>
      </c>
      <c r="I13" s="103">
        <v>1</v>
      </c>
      <c r="J13" s="110">
        <v>1</v>
      </c>
      <c r="K13" s="57" t="s">
        <v>126</v>
      </c>
      <c r="L13" s="1">
        <v>11</v>
      </c>
    </row>
    <row r="14" spans="1:12">
      <c r="A14" s="36" t="s">
        <v>38</v>
      </c>
      <c r="B14" s="35" t="s">
        <v>37</v>
      </c>
      <c r="C14" s="153">
        <v>1</v>
      </c>
      <c r="D14" s="34">
        <v>1.5</v>
      </c>
      <c r="E14" s="34">
        <v>3</v>
      </c>
      <c r="F14" s="34">
        <f t="shared" ref="F14:F18" si="0">D14-E14</f>
        <v>-1.5</v>
      </c>
      <c r="G14" s="34">
        <f t="shared" ref="G14:G18" si="1">F14^2</f>
        <v>2.25</v>
      </c>
      <c r="I14" s="103">
        <v>2</v>
      </c>
      <c r="J14" s="110">
        <v>2</v>
      </c>
    </row>
    <row r="15" spans="1:12" ht="14.4" thickBot="1">
      <c r="A15" s="33" t="s">
        <v>36</v>
      </c>
      <c r="B15" s="155" t="s">
        <v>35</v>
      </c>
      <c r="C15" s="32">
        <v>2</v>
      </c>
      <c r="D15" s="32">
        <v>3</v>
      </c>
      <c r="E15" s="32">
        <f>AVERAGEA(J16:J17)</f>
        <v>4.5</v>
      </c>
      <c r="F15" s="32">
        <f t="shared" si="0"/>
        <v>-1.5</v>
      </c>
      <c r="G15" s="32">
        <f t="shared" si="1"/>
        <v>2.25</v>
      </c>
      <c r="I15" s="1">
        <v>3</v>
      </c>
      <c r="J15" s="1">
        <v>3</v>
      </c>
      <c r="K15" s="57" t="s">
        <v>128</v>
      </c>
      <c r="L15" s="1">
        <f>(1.5^3-2)/12</f>
        <v>0.11458333333333333</v>
      </c>
    </row>
    <row r="16" spans="1:12">
      <c r="A16" s="36" t="s">
        <v>40</v>
      </c>
      <c r="B16" s="154" t="s">
        <v>39</v>
      </c>
      <c r="C16" s="34">
        <v>3</v>
      </c>
      <c r="D16" s="34">
        <v>4</v>
      </c>
      <c r="E16" s="34">
        <v>1.5</v>
      </c>
      <c r="F16" s="34">
        <f t="shared" si="0"/>
        <v>2.5</v>
      </c>
      <c r="G16" s="34">
        <f t="shared" si="1"/>
        <v>6.25</v>
      </c>
      <c r="I16" s="1">
        <v>4</v>
      </c>
      <c r="J16" s="111">
        <v>4</v>
      </c>
      <c r="K16" s="57" t="s">
        <v>131</v>
      </c>
      <c r="L16" s="1">
        <f>((1.5^3-2)+(4.5^3-2))/12</f>
        <v>7.541666666666667</v>
      </c>
    </row>
    <row r="17" spans="1:12">
      <c r="A17" s="36" t="s">
        <v>41</v>
      </c>
      <c r="B17" s="156" t="s">
        <v>35</v>
      </c>
      <c r="C17" s="34">
        <v>4</v>
      </c>
      <c r="D17" s="34">
        <v>5</v>
      </c>
      <c r="E17" s="34">
        <v>4.5</v>
      </c>
      <c r="F17" s="34">
        <f t="shared" si="0"/>
        <v>0.5</v>
      </c>
      <c r="G17" s="34">
        <f t="shared" si="1"/>
        <v>0.25</v>
      </c>
      <c r="I17" s="1">
        <v>5</v>
      </c>
      <c r="J17" s="111">
        <v>5</v>
      </c>
    </row>
    <row r="18" spans="1:12">
      <c r="A18" s="36" t="s">
        <v>43</v>
      </c>
      <c r="B18" s="35" t="s">
        <v>42</v>
      </c>
      <c r="C18" s="34">
        <v>5</v>
      </c>
      <c r="D18" s="34">
        <v>6</v>
      </c>
      <c r="E18" s="34">
        <v>6</v>
      </c>
      <c r="F18" s="34">
        <f t="shared" si="0"/>
        <v>0</v>
      </c>
      <c r="G18" s="34">
        <f t="shared" si="1"/>
        <v>0</v>
      </c>
      <c r="I18" s="1">
        <v>6</v>
      </c>
      <c r="J18" s="1">
        <v>6</v>
      </c>
      <c r="K18" s="57" t="s">
        <v>129</v>
      </c>
      <c r="L18" s="1">
        <f>(L12^3-L12)/6-L15-L16-L13</f>
        <v>16.343749999999996</v>
      </c>
    </row>
    <row r="19" spans="1:12">
      <c r="G19" s="115">
        <f>SUM(G13:G18)</f>
        <v>11</v>
      </c>
      <c r="K19" s="57" t="s">
        <v>130</v>
      </c>
      <c r="L19" s="1">
        <f>SQRT(((L12^3-L12)/6-2*L15)*(L12^3-L12)/6-2*L16)</f>
        <v>34.668369349211297</v>
      </c>
    </row>
    <row r="20" spans="1:12">
      <c r="K20" s="57" t="s">
        <v>132</v>
      </c>
      <c r="L20" s="157">
        <f>L18/L19</f>
        <v>0.47143117218381131</v>
      </c>
    </row>
    <row r="22" spans="1:12">
      <c r="K22" s="57" t="s">
        <v>135</v>
      </c>
    </row>
    <row r="24" spans="1:12">
      <c r="H24" s="57" t="s">
        <v>169</v>
      </c>
    </row>
    <row r="25" spans="1:12">
      <c r="H25" s="57" t="s">
        <v>170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"/>
  <sheetViews>
    <sheetView topLeftCell="A7" zoomScaleNormal="100" workbookViewId="0">
      <selection activeCell="M32" sqref="M32"/>
    </sheetView>
  </sheetViews>
  <sheetFormatPr defaultColWidth="9.109375" defaultRowHeight="13.8"/>
  <cols>
    <col min="1" max="1" width="13.6640625" style="1" customWidth="1"/>
    <col min="2" max="2" width="20.6640625" style="1" customWidth="1"/>
    <col min="3" max="3" width="13.6640625" style="1" customWidth="1"/>
    <col min="4" max="9" width="9.109375" style="1"/>
    <col min="10" max="10" width="10.6640625" style="1" customWidth="1"/>
    <col min="11" max="11" width="10.88671875" style="1" customWidth="1"/>
    <col min="12" max="12" width="9.109375" style="1"/>
    <col min="13" max="13" width="12" style="1" customWidth="1"/>
    <col min="14" max="16384" width="9.109375" style="1"/>
  </cols>
  <sheetData>
    <row r="1" spans="1:11">
      <c r="A1" s="1" t="s">
        <v>54</v>
      </c>
    </row>
    <row r="2" spans="1:11" ht="14.4" thickBot="1">
      <c r="A2" s="57" t="s">
        <v>85</v>
      </c>
    </row>
    <row r="3" spans="1:11" ht="30" customHeight="1" thickBot="1">
      <c r="A3" s="42" t="s">
        <v>53</v>
      </c>
      <c r="B3" s="41" t="s">
        <v>52</v>
      </c>
      <c r="C3" s="40" t="s">
        <v>51</v>
      </c>
      <c r="F3" s="55"/>
      <c r="G3" s="55"/>
      <c r="H3" s="55"/>
    </row>
    <row r="4" spans="1:11">
      <c r="A4" s="97">
        <v>1</v>
      </c>
      <c r="B4" s="98" t="s">
        <v>35</v>
      </c>
      <c r="C4" s="99">
        <v>8</v>
      </c>
      <c r="G4" s="56"/>
    </row>
    <row r="5" spans="1:11">
      <c r="A5" s="91">
        <v>2</v>
      </c>
      <c r="B5" s="92" t="s">
        <v>50</v>
      </c>
      <c r="C5" s="93">
        <v>2</v>
      </c>
      <c r="G5" s="56"/>
    </row>
    <row r="6" spans="1:11">
      <c r="A6" s="91">
        <v>3</v>
      </c>
      <c r="B6" s="92" t="s">
        <v>35</v>
      </c>
      <c r="C6" s="93">
        <v>4</v>
      </c>
      <c r="G6" s="56"/>
    </row>
    <row r="7" spans="1:11">
      <c r="A7" s="91">
        <v>4</v>
      </c>
      <c r="B7" s="92" t="s">
        <v>35</v>
      </c>
      <c r="C7" s="93">
        <v>6</v>
      </c>
      <c r="G7" s="56"/>
    </row>
    <row r="8" spans="1:11">
      <c r="A8" s="91">
        <v>5</v>
      </c>
      <c r="B8" s="92" t="s">
        <v>49</v>
      </c>
      <c r="C8" s="93">
        <v>2</v>
      </c>
      <c r="G8" s="56"/>
    </row>
    <row r="9" spans="1:11">
      <c r="A9" s="91">
        <v>6</v>
      </c>
      <c r="B9" s="92" t="s">
        <v>50</v>
      </c>
      <c r="C9" s="93">
        <v>1</v>
      </c>
      <c r="G9" s="56"/>
    </row>
    <row r="10" spans="1:11">
      <c r="A10" s="91">
        <v>7</v>
      </c>
      <c r="B10" s="92" t="s">
        <v>49</v>
      </c>
      <c r="C10" s="93">
        <v>5</v>
      </c>
      <c r="G10" s="56"/>
    </row>
    <row r="11" spans="1:11">
      <c r="A11" s="91">
        <v>8</v>
      </c>
      <c r="B11" s="92" t="s">
        <v>35</v>
      </c>
      <c r="C11" s="93">
        <v>4</v>
      </c>
      <c r="G11" s="56"/>
    </row>
    <row r="12" spans="1:11">
      <c r="A12" s="91">
        <v>9</v>
      </c>
      <c r="B12" s="92" t="s">
        <v>49</v>
      </c>
      <c r="C12" s="93">
        <v>3</v>
      </c>
      <c r="G12" s="56"/>
    </row>
    <row r="13" spans="1:11" ht="14.4" thickBot="1">
      <c r="A13" s="94">
        <v>10</v>
      </c>
      <c r="B13" s="95" t="s">
        <v>35</v>
      </c>
      <c r="C13" s="96">
        <v>2</v>
      </c>
      <c r="G13" s="56"/>
    </row>
    <row r="15" spans="1:11" ht="14.4" thickBot="1">
      <c r="B15" s="57" t="s">
        <v>118</v>
      </c>
      <c r="C15" s="57" t="s">
        <v>117</v>
      </c>
    </row>
    <row r="16" spans="1:11" ht="28.2" thickBot="1">
      <c r="A16" s="42" t="s">
        <v>53</v>
      </c>
      <c r="B16" s="41" t="s">
        <v>52</v>
      </c>
      <c r="C16" s="40" t="s">
        <v>51</v>
      </c>
      <c r="D16" s="41" t="s">
        <v>119</v>
      </c>
      <c r="E16" s="40" t="s">
        <v>120</v>
      </c>
      <c r="F16" s="41" t="s">
        <v>124</v>
      </c>
      <c r="G16" s="40" t="s">
        <v>125</v>
      </c>
      <c r="J16" s="89" t="s">
        <v>122</v>
      </c>
      <c r="K16" s="89" t="s">
        <v>123</v>
      </c>
    </row>
    <row r="17" spans="1:16">
      <c r="A17" s="62">
        <v>6</v>
      </c>
      <c r="B17" s="104" t="s">
        <v>50</v>
      </c>
      <c r="C17" s="64">
        <v>1</v>
      </c>
      <c r="D17" s="90">
        <v>1</v>
      </c>
      <c r="E17" s="64">
        <f>AVERAGEA(K17:K18)</f>
        <v>1.5</v>
      </c>
      <c r="F17" s="90">
        <f>D17-E17</f>
        <v>-0.5</v>
      </c>
      <c r="G17" s="64">
        <f>F17^2</f>
        <v>0.25</v>
      </c>
      <c r="J17" s="100">
        <v>1</v>
      </c>
      <c r="K17" s="110">
        <v>1</v>
      </c>
    </row>
    <row r="18" spans="1:16">
      <c r="A18" s="65">
        <v>2</v>
      </c>
      <c r="B18" s="105" t="s">
        <v>50</v>
      </c>
      <c r="C18" s="101">
        <v>2</v>
      </c>
      <c r="D18" s="66">
        <f>AVERAGEA(J18:J20)</f>
        <v>3</v>
      </c>
      <c r="E18" s="67">
        <v>1.5</v>
      </c>
      <c r="F18" s="90">
        <f t="shared" ref="F18:F26" si="0">D18-E18</f>
        <v>1.5</v>
      </c>
      <c r="G18" s="64">
        <f t="shared" ref="G18:G26" si="1">F18^2</f>
        <v>2.25</v>
      </c>
      <c r="J18" s="103">
        <v>2</v>
      </c>
      <c r="K18" s="110">
        <v>2</v>
      </c>
    </row>
    <row r="19" spans="1:16">
      <c r="A19" s="65">
        <v>5</v>
      </c>
      <c r="B19" s="109" t="s">
        <v>49</v>
      </c>
      <c r="C19" s="101">
        <v>2</v>
      </c>
      <c r="D19" s="66">
        <v>3</v>
      </c>
      <c r="E19" s="67">
        <v>9</v>
      </c>
      <c r="F19" s="90">
        <f t="shared" si="0"/>
        <v>-6</v>
      </c>
      <c r="G19" s="64">
        <f t="shared" si="1"/>
        <v>36</v>
      </c>
      <c r="J19" s="103">
        <v>3</v>
      </c>
      <c r="K19" s="111">
        <v>3</v>
      </c>
      <c r="M19" s="57" t="s">
        <v>127</v>
      </c>
      <c r="N19" s="1">
        <v>10</v>
      </c>
    </row>
    <row r="20" spans="1:16" ht="14.4" thickBot="1">
      <c r="A20" s="68">
        <v>10</v>
      </c>
      <c r="B20" s="106" t="s">
        <v>35</v>
      </c>
      <c r="C20" s="102">
        <v>2</v>
      </c>
      <c r="D20" s="69">
        <v>3</v>
      </c>
      <c r="E20" s="70">
        <f>AVERAGEA(K19:K23)</f>
        <v>5</v>
      </c>
      <c r="F20" s="90">
        <f t="shared" si="0"/>
        <v>-2</v>
      </c>
      <c r="G20" s="64">
        <f t="shared" si="1"/>
        <v>4</v>
      </c>
      <c r="J20" s="103">
        <v>4</v>
      </c>
      <c r="K20" s="111">
        <v>4</v>
      </c>
      <c r="M20" s="57" t="s">
        <v>126</v>
      </c>
      <c r="N20" s="1">
        <v>105</v>
      </c>
    </row>
    <row r="21" spans="1:16">
      <c r="A21" s="65">
        <v>9</v>
      </c>
      <c r="B21" s="109" t="s">
        <v>49</v>
      </c>
      <c r="C21" s="67">
        <v>3</v>
      </c>
      <c r="D21" s="66">
        <v>5</v>
      </c>
      <c r="E21" s="67">
        <v>9</v>
      </c>
      <c r="F21" s="90">
        <f t="shared" si="0"/>
        <v>-4</v>
      </c>
      <c r="G21" s="64">
        <f t="shared" si="1"/>
        <v>16</v>
      </c>
      <c r="J21" s="1">
        <v>5</v>
      </c>
      <c r="K21" s="111">
        <v>5</v>
      </c>
    </row>
    <row r="22" spans="1:16">
      <c r="A22" s="65">
        <v>3</v>
      </c>
      <c r="B22" s="107" t="s">
        <v>35</v>
      </c>
      <c r="C22" s="101">
        <v>4</v>
      </c>
      <c r="D22" s="66">
        <f>AVERAGEA(J22:J23)</f>
        <v>6.5</v>
      </c>
      <c r="E22" s="67">
        <v>5</v>
      </c>
      <c r="F22" s="90">
        <f t="shared" si="0"/>
        <v>1.5</v>
      </c>
      <c r="G22" s="64">
        <f t="shared" si="1"/>
        <v>2.25</v>
      </c>
      <c r="J22" s="103">
        <v>6</v>
      </c>
      <c r="K22" s="111">
        <v>6</v>
      </c>
      <c r="M22" s="57" t="s">
        <v>128</v>
      </c>
      <c r="N22" s="1">
        <f>((3^3-3)+(2^3-2))/12</f>
        <v>2.5</v>
      </c>
    </row>
    <row r="23" spans="1:16">
      <c r="A23" s="65">
        <v>8</v>
      </c>
      <c r="B23" s="107" t="s">
        <v>35</v>
      </c>
      <c r="C23" s="101">
        <v>4</v>
      </c>
      <c r="D23" s="66">
        <v>6.5</v>
      </c>
      <c r="E23" s="67">
        <v>5</v>
      </c>
      <c r="F23" s="90">
        <f t="shared" si="0"/>
        <v>1.5</v>
      </c>
      <c r="G23" s="64">
        <f t="shared" si="1"/>
        <v>2.25</v>
      </c>
      <c r="J23" s="103">
        <v>7</v>
      </c>
      <c r="K23" s="111">
        <v>7</v>
      </c>
      <c r="M23" s="57" t="s">
        <v>131</v>
      </c>
      <c r="N23" s="1">
        <f>((2^3-2)+(5^3-5)+(3^3-3))/12</f>
        <v>12.5</v>
      </c>
    </row>
    <row r="24" spans="1:16">
      <c r="A24" s="65">
        <v>7</v>
      </c>
      <c r="B24" s="109" t="s">
        <v>49</v>
      </c>
      <c r="C24" s="67">
        <v>5</v>
      </c>
      <c r="D24" s="66">
        <v>8</v>
      </c>
      <c r="E24" s="67">
        <f>AVERAGEA(K24:K26)</f>
        <v>9</v>
      </c>
      <c r="F24" s="90">
        <f t="shared" si="0"/>
        <v>-1</v>
      </c>
      <c r="G24" s="64">
        <f t="shared" si="1"/>
        <v>1</v>
      </c>
      <c r="J24" s="1">
        <v>8</v>
      </c>
      <c r="K24" s="112">
        <v>8</v>
      </c>
    </row>
    <row r="25" spans="1:16">
      <c r="A25" s="65">
        <v>4</v>
      </c>
      <c r="B25" s="107" t="s">
        <v>35</v>
      </c>
      <c r="C25" s="67">
        <v>6</v>
      </c>
      <c r="D25" s="66">
        <v>9</v>
      </c>
      <c r="E25" s="67">
        <v>5</v>
      </c>
      <c r="F25" s="90">
        <f t="shared" si="0"/>
        <v>4</v>
      </c>
      <c r="G25" s="64">
        <f t="shared" si="1"/>
        <v>16</v>
      </c>
      <c r="J25" s="1">
        <v>9</v>
      </c>
      <c r="K25" s="112">
        <v>9</v>
      </c>
      <c r="M25" s="57" t="s">
        <v>129</v>
      </c>
      <c r="N25" s="1">
        <f>((N19^3-N19)/6-N22-N23-N20)</f>
        <v>45</v>
      </c>
    </row>
    <row r="26" spans="1:16">
      <c r="A26" s="62">
        <v>1</v>
      </c>
      <c r="B26" s="108" t="s">
        <v>35</v>
      </c>
      <c r="C26" s="64">
        <v>8</v>
      </c>
      <c r="D26" s="63">
        <v>10</v>
      </c>
      <c r="E26" s="64">
        <v>5</v>
      </c>
      <c r="F26" s="90">
        <f t="shared" si="0"/>
        <v>5</v>
      </c>
      <c r="G26" s="64">
        <f t="shared" si="1"/>
        <v>25</v>
      </c>
      <c r="J26" s="1">
        <v>10</v>
      </c>
      <c r="K26" s="112">
        <v>10</v>
      </c>
      <c r="M26" s="57" t="s">
        <v>130</v>
      </c>
      <c r="N26" s="1">
        <f>SQRT(((N19^3-N19)/6-2*N22)*(N19^3-N19)/6-2*N23)</f>
        <v>162.40381768911715</v>
      </c>
      <c r="O26" s="118" t="s">
        <v>134</v>
      </c>
      <c r="P26" s="119"/>
    </row>
    <row r="27" spans="1:16">
      <c r="G27" s="115">
        <f>SUM(G17:G26)</f>
        <v>105</v>
      </c>
      <c r="M27" s="57" t="s">
        <v>132</v>
      </c>
      <c r="N27" s="116">
        <f>N25/N26</f>
        <v>0.27708708231318568</v>
      </c>
    </row>
    <row r="28" spans="1:16">
      <c r="D28" s="57" t="s">
        <v>121</v>
      </c>
      <c r="N28" s="57" t="s">
        <v>133</v>
      </c>
    </row>
    <row r="30" spans="1:16">
      <c r="M30" s="57" t="s">
        <v>135</v>
      </c>
    </row>
    <row r="31" spans="1:16">
      <c r="M31" s="57" t="s">
        <v>136</v>
      </c>
    </row>
    <row r="32" spans="1:16">
      <c r="M32" s="57" t="s">
        <v>137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170" zoomScaleNormal="170" workbookViewId="0">
      <selection activeCell="A18" sqref="A18"/>
    </sheetView>
  </sheetViews>
  <sheetFormatPr defaultRowHeight="14.4"/>
  <sheetData>
    <row r="1" spans="1:3">
      <c r="A1" t="s">
        <v>78</v>
      </c>
    </row>
    <row r="2" spans="1:3">
      <c r="A2" t="s">
        <v>79</v>
      </c>
    </row>
    <row r="15" spans="1:3">
      <c r="A15" t="s">
        <v>138</v>
      </c>
    </row>
    <row r="16" spans="1:3">
      <c r="A16" t="s">
        <v>139</v>
      </c>
      <c r="B16">
        <v>0.69299999999999995</v>
      </c>
      <c r="C16" t="s">
        <v>140</v>
      </c>
    </row>
    <row r="17" spans="1:1">
      <c r="A17" t="s">
        <v>141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8"/>
  <sheetViews>
    <sheetView workbookViewId="0">
      <selection activeCell="J13" sqref="A1:XFD1048576"/>
    </sheetView>
  </sheetViews>
  <sheetFormatPr defaultColWidth="9.109375" defaultRowHeight="13.8"/>
  <cols>
    <col min="1" max="1" width="9.109375" style="1"/>
    <col min="2" max="2" width="14.6640625" style="1" customWidth="1"/>
    <col min="3" max="3" width="11.33203125" style="1" customWidth="1"/>
    <col min="4" max="4" width="9.109375" style="1"/>
    <col min="5" max="5" width="13" style="1" customWidth="1"/>
    <col min="6" max="6" width="14.77734375" style="1" customWidth="1"/>
    <col min="7" max="7" width="14.5546875" style="1" customWidth="1"/>
    <col min="8" max="16384" width="9.109375" style="1"/>
  </cols>
  <sheetData>
    <row r="1" spans="1:10">
      <c r="A1" s="1" t="s">
        <v>34</v>
      </c>
    </row>
    <row r="2" spans="1:10" ht="14.4" thickBot="1"/>
    <row r="3" spans="1:10">
      <c r="B3" s="132" t="s">
        <v>33</v>
      </c>
      <c r="C3" s="129" t="s">
        <v>32</v>
      </c>
      <c r="D3" s="130"/>
      <c r="E3" s="131"/>
    </row>
    <row r="4" spans="1:10" ht="14.4" thickBot="1">
      <c r="B4" s="133"/>
      <c r="C4" s="31" t="s">
        <v>31</v>
      </c>
      <c r="D4" s="30" t="s">
        <v>30</v>
      </c>
      <c r="E4" s="29" t="s">
        <v>29</v>
      </c>
      <c r="F4" s="159" t="s">
        <v>142</v>
      </c>
    </row>
    <row r="5" spans="1:10">
      <c r="B5" s="28" t="s">
        <v>28</v>
      </c>
      <c r="C5" s="23">
        <v>2</v>
      </c>
      <c r="D5" s="22">
        <v>24</v>
      </c>
      <c r="E5" s="21">
        <v>45</v>
      </c>
      <c r="F5" s="160">
        <f>SUM(C5:E5)</f>
        <v>71</v>
      </c>
    </row>
    <row r="6" spans="1:10">
      <c r="B6" s="27" t="s">
        <v>27</v>
      </c>
      <c r="C6" s="20">
        <v>16</v>
      </c>
      <c r="D6" s="19">
        <v>28</v>
      </c>
      <c r="E6" s="18">
        <v>30</v>
      </c>
      <c r="F6" s="160">
        <f>SUM(C6:E6)</f>
        <v>74</v>
      </c>
      <c r="I6" s="57" t="s">
        <v>163</v>
      </c>
      <c r="J6" s="1">
        <v>4</v>
      </c>
    </row>
    <row r="7" spans="1:10">
      <c r="B7" s="27" t="s">
        <v>26</v>
      </c>
      <c r="C7" s="20">
        <v>18</v>
      </c>
      <c r="D7" s="19">
        <v>15</v>
      </c>
      <c r="E7" s="18">
        <v>5</v>
      </c>
      <c r="F7" s="160">
        <f>SUM(C7:E7)</f>
        <v>38</v>
      </c>
      <c r="I7" s="57" t="s">
        <v>164</v>
      </c>
      <c r="J7" s="1">
        <v>3</v>
      </c>
    </row>
    <row r="8" spans="1:10" ht="14.4" thickBot="1">
      <c r="B8" s="26" t="s">
        <v>25</v>
      </c>
      <c r="C8" s="17">
        <v>5</v>
      </c>
      <c r="D8" s="16">
        <v>2</v>
      </c>
      <c r="E8" s="15">
        <v>0</v>
      </c>
      <c r="F8" s="160">
        <f>SUM(C8:E8)</f>
        <v>7</v>
      </c>
    </row>
    <row r="9" spans="1:10">
      <c r="B9" s="158" t="s">
        <v>142</v>
      </c>
      <c r="C9" s="115">
        <f>SUM(C5:C8)</f>
        <v>41</v>
      </c>
      <c r="D9" s="115">
        <f>SUM(D5:D8)</f>
        <v>69</v>
      </c>
      <c r="E9" s="115">
        <f>SUM(E5:E8)</f>
        <v>80</v>
      </c>
      <c r="F9" s="161">
        <f>SUM(C9:E9)</f>
        <v>190</v>
      </c>
      <c r="I9" s="57" t="s">
        <v>174</v>
      </c>
    </row>
    <row r="10" spans="1:10">
      <c r="A10" s="43" t="s">
        <v>62</v>
      </c>
      <c r="I10" s="57" t="s">
        <v>161</v>
      </c>
      <c r="J10" s="1">
        <f>SQRT(G28/(G28+190))</f>
        <v>0.45618733557562496</v>
      </c>
    </row>
    <row r="11" spans="1:10">
      <c r="A11" s="57" t="s">
        <v>69</v>
      </c>
      <c r="I11" s="57" t="s">
        <v>175</v>
      </c>
      <c r="J11" s="1">
        <f>(SQRT((J6-1)/J6)+SQRT((J7-1)/J7))/2</f>
        <v>0.84126099235608232</v>
      </c>
    </row>
    <row r="12" spans="1:10">
      <c r="A12" s="57" t="s">
        <v>77</v>
      </c>
      <c r="I12" s="57" t="s">
        <v>176</v>
      </c>
      <c r="J12" s="1">
        <f>J10/J11</f>
        <v>0.54226612159682019</v>
      </c>
    </row>
    <row r="15" spans="1:10">
      <c r="B15" s="123" t="s">
        <v>144</v>
      </c>
      <c r="C15" s="123" t="s">
        <v>146</v>
      </c>
      <c r="D15" s="123" t="s">
        <v>155</v>
      </c>
      <c r="E15" s="123" t="s">
        <v>156</v>
      </c>
      <c r="F15" s="123" t="s">
        <v>157</v>
      </c>
      <c r="G15" s="123" t="s">
        <v>158</v>
      </c>
    </row>
    <row r="16" spans="1:10">
      <c r="B16" s="162" t="s">
        <v>145</v>
      </c>
      <c r="C16" s="19">
        <v>2</v>
      </c>
      <c r="D16" s="19">
        <f>C9*F5/F9</f>
        <v>15.321052631578947</v>
      </c>
      <c r="E16" s="19">
        <f>C16-D16</f>
        <v>-13.321052631578947</v>
      </c>
      <c r="F16" s="19">
        <f>E16^2</f>
        <v>177.45044321329641</v>
      </c>
      <c r="G16" s="19">
        <f>F16/D16</f>
        <v>11.582131298703647</v>
      </c>
    </row>
    <row r="17" spans="2:7">
      <c r="B17" s="162" t="s">
        <v>147</v>
      </c>
      <c r="C17" s="19">
        <v>24</v>
      </c>
      <c r="D17" s="19">
        <f>D9*F5/F9</f>
        <v>25.784210526315789</v>
      </c>
      <c r="E17" s="19">
        <f t="shared" ref="E17:E27" si="0">C17-D17</f>
        <v>-1.784210526315789</v>
      </c>
      <c r="F17" s="19">
        <f t="shared" ref="F17:F27" si="1">E17^2</f>
        <v>3.1834072022160651</v>
      </c>
      <c r="G17" s="19">
        <f t="shared" ref="G17:G27" si="2">F17/D17</f>
        <v>0.12346343507267858</v>
      </c>
    </row>
    <row r="18" spans="2:7">
      <c r="B18" s="162" t="s">
        <v>148</v>
      </c>
      <c r="C18" s="19">
        <v>45</v>
      </c>
      <c r="D18" s="19">
        <f>E9*F5/F9</f>
        <v>29.894736842105264</v>
      </c>
      <c r="E18" s="19">
        <f t="shared" si="0"/>
        <v>15.105263157894736</v>
      </c>
      <c r="F18" s="19">
        <f t="shared" si="1"/>
        <v>228.16897506925207</v>
      </c>
      <c r="G18" s="19">
        <f t="shared" si="2"/>
        <v>7.6324128984432908</v>
      </c>
    </row>
    <row r="19" spans="2:7">
      <c r="B19" s="162" t="s">
        <v>149</v>
      </c>
      <c r="C19" s="19">
        <v>16</v>
      </c>
      <c r="D19" s="19">
        <f>C9*F6/F9</f>
        <v>15.968421052631578</v>
      </c>
      <c r="E19" s="19">
        <f t="shared" si="0"/>
        <v>3.1578947368421595E-2</v>
      </c>
      <c r="F19" s="19">
        <f t="shared" si="1"/>
        <v>9.9722991689754127E-4</v>
      </c>
      <c r="G19" s="19">
        <f t="shared" si="2"/>
        <v>6.2450126634981161E-5</v>
      </c>
    </row>
    <row r="20" spans="2:7">
      <c r="B20" s="162" t="s">
        <v>150</v>
      </c>
      <c r="C20" s="19">
        <v>28</v>
      </c>
      <c r="D20" s="19">
        <f>D9*F6/F9</f>
        <v>26.873684210526317</v>
      </c>
      <c r="E20" s="19">
        <f t="shared" si="0"/>
        <v>1.1263157894736828</v>
      </c>
      <c r="F20" s="19">
        <f t="shared" si="1"/>
        <v>1.2685872576177255</v>
      </c>
      <c r="G20" s="19">
        <f t="shared" si="2"/>
        <v>4.7205557960706586E-2</v>
      </c>
    </row>
    <row r="21" spans="2:7">
      <c r="B21" s="162" t="s">
        <v>151</v>
      </c>
      <c r="C21" s="19">
        <v>30</v>
      </c>
      <c r="D21" s="19">
        <f>E9*F6/F9</f>
        <v>31.157894736842106</v>
      </c>
      <c r="E21" s="19">
        <f t="shared" si="0"/>
        <v>-1.1578947368421062</v>
      </c>
      <c r="F21" s="19">
        <f t="shared" si="1"/>
        <v>1.3407202216066503</v>
      </c>
      <c r="G21" s="19">
        <f t="shared" si="2"/>
        <v>4.3029871977240466E-2</v>
      </c>
    </row>
    <row r="22" spans="2:7">
      <c r="B22" s="162" t="s">
        <v>152</v>
      </c>
      <c r="C22" s="19">
        <v>18</v>
      </c>
      <c r="D22" s="19">
        <f>C9*F7/F9</f>
        <v>8.1999999999999993</v>
      </c>
      <c r="E22" s="19">
        <f t="shared" si="0"/>
        <v>9.8000000000000007</v>
      </c>
      <c r="F22" s="19">
        <f t="shared" si="1"/>
        <v>96.04000000000002</v>
      </c>
      <c r="G22" s="19">
        <f t="shared" si="2"/>
        <v>11.712195121951224</v>
      </c>
    </row>
    <row r="23" spans="2:7">
      <c r="B23" s="162" t="s">
        <v>153</v>
      </c>
      <c r="C23" s="19">
        <v>15</v>
      </c>
      <c r="D23" s="19">
        <f>D9*F7/F9</f>
        <v>13.8</v>
      </c>
      <c r="E23" s="19">
        <f t="shared" si="0"/>
        <v>1.1999999999999993</v>
      </c>
      <c r="F23" s="19">
        <f t="shared" si="1"/>
        <v>1.4399999999999984</v>
      </c>
      <c r="G23" s="19">
        <f t="shared" si="2"/>
        <v>0.10434782608695641</v>
      </c>
    </row>
    <row r="24" spans="2:7">
      <c r="B24" s="162" t="s">
        <v>154</v>
      </c>
      <c r="C24" s="19">
        <v>5</v>
      </c>
      <c r="D24" s="19">
        <f>E9*F7/F9</f>
        <v>16</v>
      </c>
      <c r="E24" s="19">
        <f t="shared" si="0"/>
        <v>-11</v>
      </c>
      <c r="F24" s="19">
        <f t="shared" si="1"/>
        <v>121</v>
      </c>
      <c r="G24" s="19">
        <f t="shared" si="2"/>
        <v>7.5625</v>
      </c>
    </row>
    <row r="25" spans="2:7">
      <c r="B25" s="162" t="s">
        <v>171</v>
      </c>
      <c r="C25" s="19">
        <v>5</v>
      </c>
      <c r="D25" s="19">
        <f>C9*F8/F9</f>
        <v>1.5105263157894737</v>
      </c>
      <c r="E25" s="19">
        <f t="shared" si="0"/>
        <v>3.4894736842105263</v>
      </c>
      <c r="F25" s="19">
        <f t="shared" si="1"/>
        <v>12.176426592797783</v>
      </c>
      <c r="G25" s="19">
        <f t="shared" si="2"/>
        <v>8.0610489638730964</v>
      </c>
    </row>
    <row r="26" spans="2:7">
      <c r="B26" s="162" t="s">
        <v>172</v>
      </c>
      <c r="C26" s="19">
        <v>2</v>
      </c>
      <c r="D26" s="19">
        <f>D9*F8/F9</f>
        <v>2.5421052631578949</v>
      </c>
      <c r="E26" s="19">
        <f t="shared" si="0"/>
        <v>-0.54210526315789487</v>
      </c>
      <c r="F26" s="19">
        <f t="shared" si="1"/>
        <v>0.29387811634349043</v>
      </c>
      <c r="G26" s="19">
        <f t="shared" si="2"/>
        <v>0.11560422796120741</v>
      </c>
    </row>
    <row r="27" spans="2:7">
      <c r="B27" s="162" t="s">
        <v>173</v>
      </c>
      <c r="C27" s="19">
        <v>0</v>
      </c>
      <c r="D27" s="19">
        <f>E9*F8/F9</f>
        <v>2.9473684210526314</v>
      </c>
      <c r="E27" s="19">
        <f t="shared" si="0"/>
        <v>-2.9473684210526314</v>
      </c>
      <c r="F27" s="19">
        <f t="shared" si="1"/>
        <v>8.6869806094182813</v>
      </c>
      <c r="G27" s="19">
        <f t="shared" si="2"/>
        <v>2.9473684210526314</v>
      </c>
    </row>
    <row r="28" spans="2:7">
      <c r="G28" s="115">
        <f>SUM(G16:G27)</f>
        <v>49.931370073209315</v>
      </c>
    </row>
  </sheetData>
  <mergeCells count="2">
    <mergeCell ref="C3:E3"/>
    <mergeCell ref="B3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zoomScaleNormal="100" workbookViewId="0">
      <selection activeCell="B29" sqref="B29"/>
    </sheetView>
  </sheetViews>
  <sheetFormatPr defaultColWidth="9.109375" defaultRowHeight="13.8"/>
  <cols>
    <col min="1" max="1" width="13.33203125" style="1" customWidth="1"/>
    <col min="2" max="2" width="13.44140625" style="1" customWidth="1"/>
    <col min="3" max="3" width="12.44140625" style="1" customWidth="1"/>
    <col min="4" max="4" width="9.109375" style="1"/>
    <col min="5" max="5" width="11" style="1" customWidth="1"/>
    <col min="6" max="6" width="14.109375" style="1" customWidth="1"/>
    <col min="7" max="9" width="9.109375" style="1"/>
    <col min="10" max="10" width="15" style="1" customWidth="1"/>
    <col min="11" max="16384" width="9.109375" style="1"/>
  </cols>
  <sheetData>
    <row r="1" spans="1:14">
      <c r="A1" s="139" t="s">
        <v>86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4">
      <c r="A2" s="139"/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3" spans="1:14" ht="14.4" thickBot="1"/>
    <row r="4" spans="1:14">
      <c r="B4" s="134" t="s">
        <v>17</v>
      </c>
      <c r="C4" s="136" t="s">
        <v>16</v>
      </c>
      <c r="D4" s="137"/>
      <c r="E4" s="138"/>
      <c r="F4" s="121" t="s">
        <v>76</v>
      </c>
    </row>
    <row r="5" spans="1:14" ht="14.4" thickBot="1">
      <c r="B5" s="135"/>
      <c r="C5" s="24" t="s">
        <v>15</v>
      </c>
      <c r="D5" s="16" t="s">
        <v>14</v>
      </c>
      <c r="E5" s="15" t="s">
        <v>13</v>
      </c>
      <c r="F5" s="122"/>
      <c r="I5" s="52"/>
      <c r="J5" s="52"/>
      <c r="K5" s="52"/>
      <c r="L5" s="52"/>
      <c r="M5" s="52"/>
      <c r="N5" s="52"/>
    </row>
    <row r="6" spans="1:14">
      <c r="B6" s="14" t="s">
        <v>15</v>
      </c>
      <c r="C6" s="23">
        <v>30</v>
      </c>
      <c r="D6" s="22">
        <v>15</v>
      </c>
      <c r="E6" s="21">
        <v>45</v>
      </c>
      <c r="F6" s="113">
        <f>SUM(C6:E6)</f>
        <v>90</v>
      </c>
      <c r="I6" s="52"/>
    </row>
    <row r="7" spans="1:14">
      <c r="B7" s="13" t="s">
        <v>14</v>
      </c>
      <c r="C7" s="20">
        <v>20</v>
      </c>
      <c r="D7" s="19">
        <v>40</v>
      </c>
      <c r="E7" s="18">
        <v>10</v>
      </c>
      <c r="F7" s="113">
        <f t="shared" ref="F7:F8" si="0">SUM(C7:E7)</f>
        <v>70</v>
      </c>
      <c r="I7" s="52"/>
    </row>
    <row r="8" spans="1:14" ht="14.4" thickBot="1">
      <c r="B8" s="12" t="s">
        <v>13</v>
      </c>
      <c r="C8" s="17">
        <v>10</v>
      </c>
      <c r="D8" s="16">
        <v>10</v>
      </c>
      <c r="E8" s="15">
        <v>70</v>
      </c>
      <c r="F8" s="113">
        <f t="shared" si="0"/>
        <v>90</v>
      </c>
      <c r="I8" s="52"/>
    </row>
    <row r="9" spans="1:14">
      <c r="B9" s="120" t="s">
        <v>142</v>
      </c>
      <c r="C9" s="114">
        <f>SUM(C6:C8)</f>
        <v>60</v>
      </c>
      <c r="D9" s="114">
        <f>SUM(D6:D8)</f>
        <v>65</v>
      </c>
      <c r="E9" s="114">
        <f>SUM(E6:E8)</f>
        <v>125</v>
      </c>
      <c r="F9" s="115">
        <f>SUM(C9:E9)</f>
        <v>250</v>
      </c>
      <c r="I9" s="52"/>
    </row>
    <row r="10" spans="1:14">
      <c r="F10" s="57" t="s">
        <v>143</v>
      </c>
      <c r="I10" s="52"/>
    </row>
    <row r="11" spans="1:14">
      <c r="I11" s="52"/>
    </row>
    <row r="12" spans="1:14">
      <c r="A12" s="123" t="s">
        <v>144</v>
      </c>
      <c r="B12" s="123" t="s">
        <v>146</v>
      </c>
      <c r="C12" s="123" t="s">
        <v>155</v>
      </c>
      <c r="D12" s="123" t="s">
        <v>156</v>
      </c>
      <c r="E12" s="123" t="s">
        <v>157</v>
      </c>
      <c r="F12" s="123" t="s">
        <v>158</v>
      </c>
      <c r="G12" s="53"/>
      <c r="I12" s="52"/>
    </row>
    <row r="13" spans="1:14">
      <c r="A13" s="123" t="s">
        <v>145</v>
      </c>
      <c r="B13" s="124">
        <v>30</v>
      </c>
      <c r="C13" s="124">
        <f>F6*C9/F9</f>
        <v>21.6</v>
      </c>
      <c r="D13" s="124">
        <f>B13-C13</f>
        <v>8.3999999999999986</v>
      </c>
      <c r="E13" s="124">
        <f>D13^2</f>
        <v>70.559999999999974</v>
      </c>
      <c r="F13" s="124">
        <f>E13/C13</f>
        <v>3.2666666666666653</v>
      </c>
      <c r="I13" s="52"/>
      <c r="J13" s="53"/>
    </row>
    <row r="14" spans="1:14">
      <c r="A14" s="123" t="s">
        <v>147</v>
      </c>
      <c r="B14" s="124">
        <v>15</v>
      </c>
      <c r="C14" s="124">
        <f>F6*D9/F9</f>
        <v>23.4</v>
      </c>
      <c r="D14" s="124">
        <f t="shared" ref="D14:D21" si="1">B14-C14</f>
        <v>-8.3999999999999986</v>
      </c>
      <c r="E14" s="124">
        <f t="shared" ref="E14:E21" si="2">D14^2</f>
        <v>70.559999999999974</v>
      </c>
      <c r="F14" s="124">
        <f t="shared" ref="F14:F21" si="3">E14/C14</f>
        <v>3.0153846153846144</v>
      </c>
      <c r="I14" s="52"/>
    </row>
    <row r="15" spans="1:14">
      <c r="A15" s="123" t="s">
        <v>148</v>
      </c>
      <c r="B15" s="124">
        <v>45</v>
      </c>
      <c r="C15" s="124">
        <f>F6*E9/F9</f>
        <v>45</v>
      </c>
      <c r="D15" s="124">
        <f t="shared" si="1"/>
        <v>0</v>
      </c>
      <c r="E15" s="124">
        <f t="shared" si="2"/>
        <v>0</v>
      </c>
      <c r="F15" s="124">
        <f t="shared" si="3"/>
        <v>0</v>
      </c>
    </row>
    <row r="16" spans="1:14">
      <c r="A16" s="123" t="s">
        <v>149</v>
      </c>
      <c r="B16" s="124">
        <v>20</v>
      </c>
      <c r="C16" s="124">
        <f>F7*C9/F9</f>
        <v>16.8</v>
      </c>
      <c r="D16" s="124">
        <f t="shared" si="1"/>
        <v>3.1999999999999993</v>
      </c>
      <c r="E16" s="124">
        <f t="shared" si="2"/>
        <v>10.239999999999995</v>
      </c>
      <c r="F16" s="124">
        <f t="shared" si="3"/>
        <v>0.60952380952380925</v>
      </c>
      <c r="J16" s="53"/>
    </row>
    <row r="17" spans="1:12">
      <c r="A17" s="123" t="s">
        <v>150</v>
      </c>
      <c r="B17" s="124">
        <v>40</v>
      </c>
      <c r="C17" s="124">
        <f>F7*D9/F9</f>
        <v>18.2</v>
      </c>
      <c r="D17" s="124">
        <f t="shared" si="1"/>
        <v>21.8</v>
      </c>
      <c r="E17" s="124">
        <f t="shared" si="2"/>
        <v>475.24</v>
      </c>
      <c r="F17" s="124">
        <f t="shared" si="3"/>
        <v>26.112087912087915</v>
      </c>
      <c r="J17" s="53"/>
    </row>
    <row r="18" spans="1:12">
      <c r="A18" s="123" t="s">
        <v>151</v>
      </c>
      <c r="B18" s="124">
        <v>10</v>
      </c>
      <c r="C18" s="124">
        <f>F7*E9/F9</f>
        <v>35</v>
      </c>
      <c r="D18" s="124">
        <f t="shared" si="1"/>
        <v>-25</v>
      </c>
      <c r="E18" s="124">
        <f t="shared" si="2"/>
        <v>625</v>
      </c>
      <c r="F18" s="124">
        <f t="shared" si="3"/>
        <v>17.857142857142858</v>
      </c>
      <c r="L18" s="52"/>
    </row>
    <row r="19" spans="1:12">
      <c r="A19" s="123" t="s">
        <v>152</v>
      </c>
      <c r="B19" s="124">
        <v>10</v>
      </c>
      <c r="C19" s="124">
        <f>F8*C9/F9</f>
        <v>21.6</v>
      </c>
      <c r="D19" s="124">
        <f t="shared" si="1"/>
        <v>-11.600000000000001</v>
      </c>
      <c r="E19" s="124">
        <f t="shared" si="2"/>
        <v>134.56000000000003</v>
      </c>
      <c r="F19" s="124">
        <f t="shared" si="3"/>
        <v>6.2296296296296303</v>
      </c>
    </row>
    <row r="20" spans="1:12">
      <c r="A20" s="123" t="s">
        <v>153</v>
      </c>
      <c r="B20" s="124">
        <v>10</v>
      </c>
      <c r="C20" s="124">
        <f>F8*D9/F9</f>
        <v>23.4</v>
      </c>
      <c r="D20" s="124">
        <f t="shared" si="1"/>
        <v>-13.399999999999999</v>
      </c>
      <c r="E20" s="124">
        <f t="shared" si="2"/>
        <v>179.55999999999997</v>
      </c>
      <c r="F20" s="124">
        <f t="shared" si="3"/>
        <v>7.6735042735042729</v>
      </c>
      <c r="J20" s="53"/>
    </row>
    <row r="21" spans="1:12">
      <c r="A21" s="123" t="s">
        <v>154</v>
      </c>
      <c r="B21" s="124">
        <v>70</v>
      </c>
      <c r="C21" s="124">
        <f>F8*E9/F9</f>
        <v>45</v>
      </c>
      <c r="D21" s="124">
        <f t="shared" si="1"/>
        <v>25</v>
      </c>
      <c r="E21" s="124">
        <f t="shared" si="2"/>
        <v>625</v>
      </c>
      <c r="F21" s="124">
        <f t="shared" si="3"/>
        <v>13.888888888888889</v>
      </c>
      <c r="J21" s="53"/>
    </row>
    <row r="22" spans="1:12">
      <c r="E22" s="52"/>
      <c r="F22" s="125">
        <f>SUM(F13:F21)</f>
        <v>78.65282865282866</v>
      </c>
      <c r="G22" s="54"/>
      <c r="H22" s="57" t="s">
        <v>159</v>
      </c>
    </row>
    <row r="23" spans="1:12">
      <c r="E23" s="52"/>
      <c r="J23" s="53"/>
    </row>
    <row r="24" spans="1:12">
      <c r="J24" s="53"/>
    </row>
    <row r="25" spans="1:12">
      <c r="A25" s="57" t="s">
        <v>160</v>
      </c>
      <c r="D25" s="57" t="s">
        <v>163</v>
      </c>
      <c r="E25" s="1">
        <v>3</v>
      </c>
    </row>
    <row r="26" spans="1:12">
      <c r="A26" s="57" t="s">
        <v>161</v>
      </c>
      <c r="B26" s="1">
        <f>SQRT(F22/(F22+250))</f>
        <v>0.48920229501599483</v>
      </c>
      <c r="D26" s="57" t="s">
        <v>164</v>
      </c>
      <c r="E26" s="1">
        <v>3</v>
      </c>
      <c r="J26" s="53"/>
    </row>
    <row r="27" spans="1:12">
      <c r="B27" s="126"/>
      <c r="C27" s="127"/>
      <c r="J27" s="53"/>
    </row>
    <row r="28" spans="1:12">
      <c r="A28" s="57" t="s">
        <v>162</v>
      </c>
      <c r="B28" s="1">
        <f>(SQRT((E25-1)/E25)+SQRT((E26-1)/E26))/2</f>
        <v>0.81649658092772603</v>
      </c>
    </row>
    <row r="29" spans="1:12">
      <c r="A29" s="57" t="s">
        <v>165</v>
      </c>
      <c r="B29" s="117">
        <f>0.48/B28</f>
        <v>0.58787753826796274</v>
      </c>
    </row>
    <row r="31" spans="1:12">
      <c r="B31" s="57" t="s">
        <v>166</v>
      </c>
    </row>
  </sheetData>
  <mergeCells count="3">
    <mergeCell ref="B4:B5"/>
    <mergeCell ref="C4:E4"/>
    <mergeCell ref="A1:L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3"/>
  <sheetViews>
    <sheetView zoomScale="150" zoomScaleNormal="150" workbookViewId="0">
      <selection activeCell="C11" sqref="C11"/>
    </sheetView>
  </sheetViews>
  <sheetFormatPr defaultRowHeight="14.4"/>
  <sheetData>
    <row r="1" spans="1:1">
      <c r="A1" t="s">
        <v>80</v>
      </c>
    </row>
    <row r="2" spans="1:1">
      <c r="A2" t="s">
        <v>87</v>
      </c>
    </row>
    <row r="3" spans="1:1">
      <c r="A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zad 1</vt:lpstr>
      <vt:lpstr>zad 2</vt:lpstr>
      <vt:lpstr>Zad3 - SPSS</vt:lpstr>
      <vt:lpstr>zad 4</vt:lpstr>
      <vt:lpstr>zad 5</vt:lpstr>
      <vt:lpstr>zad 6 - SPSS</vt:lpstr>
      <vt:lpstr>zad 7</vt:lpstr>
      <vt:lpstr>zad 8</vt:lpstr>
      <vt:lpstr>zad 9 -SPSS</vt:lpstr>
      <vt:lpstr>zad 10</vt:lpstr>
      <vt:lpstr>zad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2024-12-15T20:48:27Z</dcterms:modified>
</cp:coreProperties>
</file>