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ube\Documents\IBI\Flagship course\IBI - 2017 Revised  Curriculum\(4-5) Financial Modeling\Model for the Class\"/>
    </mc:Choice>
  </mc:AlternateContent>
  <xr:revisionPtr revIDLastSave="0" documentId="13_ncr:1_{DC69267C-D0AD-49E7-BAB3-9DA38B66D8A0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Instructions" sheetId="3" r:id="rId1"/>
    <sheet name="Assumptions" sheetId="2" r:id="rId2"/>
    <sheet name="Model" sheetId="1" r:id="rId3"/>
    <sheet name="Assumptions - Complete" sheetId="4" r:id="rId4"/>
    <sheet name="Model - Complete" sheetId="5" r:id="rId5"/>
  </sheets>
  <externalReferences>
    <externalReference r:id="rId6"/>
  </externalReferences>
  <definedNames>
    <definedName name="_xlnm.Print_Area" localSheetId="1">Assumptions!$A$2:$L$47</definedName>
    <definedName name="_xlnm.Print_Area" localSheetId="2">Model!$A$6:$K$137</definedName>
    <definedName name="_xlnm.Print_Titles" localSheetId="1">Assumptions!$1:$1</definedName>
    <definedName name="_xlnm.Print_Titles" localSheetId="2">Model!$1:$5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2" i="5" l="1"/>
  <c r="J132" i="5"/>
  <c r="I132" i="5"/>
  <c r="H132" i="5"/>
  <c r="G132" i="5"/>
  <c r="K130" i="5"/>
  <c r="J130" i="5"/>
  <c r="I130" i="5"/>
  <c r="H130" i="5"/>
  <c r="G130" i="5"/>
  <c r="C129" i="5"/>
  <c r="C131" i="5" s="1"/>
  <c r="C126" i="5"/>
  <c r="K125" i="5"/>
  <c r="J125" i="5"/>
  <c r="I125" i="5"/>
  <c r="H125" i="5"/>
  <c r="G125" i="5"/>
  <c r="C124" i="5"/>
  <c r="D122" i="5" s="1"/>
  <c r="D124" i="5" s="1"/>
  <c r="E122" i="5" s="1"/>
  <c r="E124" i="5" s="1"/>
  <c r="K123" i="5"/>
  <c r="J123" i="5"/>
  <c r="I123" i="5"/>
  <c r="H123" i="5"/>
  <c r="G123" i="5"/>
  <c r="C122" i="5"/>
  <c r="K118" i="5"/>
  <c r="J118" i="5"/>
  <c r="I118" i="5"/>
  <c r="H118" i="5"/>
  <c r="G118" i="5"/>
  <c r="W116" i="5"/>
  <c r="C115" i="5"/>
  <c r="C108" i="5"/>
  <c r="F103" i="5"/>
  <c r="E103" i="5"/>
  <c r="D103" i="5"/>
  <c r="C103" i="5"/>
  <c r="F102" i="5"/>
  <c r="E102" i="5"/>
  <c r="D102" i="5"/>
  <c r="C102" i="5"/>
  <c r="K98" i="5"/>
  <c r="G98" i="5"/>
  <c r="F98" i="5"/>
  <c r="E98" i="5"/>
  <c r="D98" i="5"/>
  <c r="C98" i="5"/>
  <c r="K97" i="5"/>
  <c r="J97" i="5"/>
  <c r="I97" i="5"/>
  <c r="H97" i="5"/>
  <c r="H98" i="5" s="1"/>
  <c r="G97" i="5"/>
  <c r="K96" i="5"/>
  <c r="J96" i="5"/>
  <c r="J98" i="5" s="1"/>
  <c r="I96" i="5"/>
  <c r="I98" i="5" s="1"/>
  <c r="H96" i="5"/>
  <c r="G96" i="5"/>
  <c r="H92" i="5"/>
  <c r="F92" i="5"/>
  <c r="E92" i="5"/>
  <c r="D92" i="5"/>
  <c r="C92" i="5"/>
  <c r="F91" i="5"/>
  <c r="E91" i="5"/>
  <c r="D91" i="5"/>
  <c r="C91" i="5"/>
  <c r="K90" i="5"/>
  <c r="J90" i="5"/>
  <c r="I90" i="5"/>
  <c r="F90" i="5"/>
  <c r="E90" i="5"/>
  <c r="D90" i="5"/>
  <c r="C90" i="5"/>
  <c r="J89" i="5"/>
  <c r="F89" i="5"/>
  <c r="E89" i="5"/>
  <c r="D89" i="5"/>
  <c r="C89" i="5"/>
  <c r="F88" i="5"/>
  <c r="E88" i="5"/>
  <c r="D88" i="5"/>
  <c r="C88" i="5"/>
  <c r="F87" i="5"/>
  <c r="E87" i="5"/>
  <c r="D87" i="5"/>
  <c r="C87" i="5"/>
  <c r="G86" i="5"/>
  <c r="F86" i="5"/>
  <c r="E86" i="5"/>
  <c r="D86" i="5"/>
  <c r="C86" i="5"/>
  <c r="G84" i="5"/>
  <c r="F84" i="5"/>
  <c r="E84" i="5"/>
  <c r="D84" i="5"/>
  <c r="C84" i="5"/>
  <c r="K75" i="5"/>
  <c r="J75" i="5"/>
  <c r="I75" i="5"/>
  <c r="H75" i="5"/>
  <c r="G75" i="5"/>
  <c r="B71" i="5"/>
  <c r="K70" i="5"/>
  <c r="K92" i="5" s="1"/>
  <c r="J70" i="5"/>
  <c r="J92" i="5" s="1"/>
  <c r="I70" i="5"/>
  <c r="I92" i="5" s="1"/>
  <c r="H70" i="5"/>
  <c r="G70" i="5"/>
  <c r="G92" i="5" s="1"/>
  <c r="F65" i="5"/>
  <c r="E65" i="5"/>
  <c r="D65" i="5"/>
  <c r="C65" i="5"/>
  <c r="B65" i="5"/>
  <c r="K63" i="5"/>
  <c r="J63" i="5"/>
  <c r="I63" i="5"/>
  <c r="H63" i="5"/>
  <c r="H90" i="5" s="1"/>
  <c r="G63" i="5"/>
  <c r="G90" i="5" s="1"/>
  <c r="K62" i="5"/>
  <c r="J62" i="5"/>
  <c r="I62" i="5"/>
  <c r="I89" i="5" s="1"/>
  <c r="H62" i="5"/>
  <c r="H89" i="5" s="1"/>
  <c r="G62" i="5"/>
  <c r="G89" i="5" s="1"/>
  <c r="J58" i="5"/>
  <c r="K58" i="5" s="1"/>
  <c r="G58" i="5"/>
  <c r="H58" i="5" s="1"/>
  <c r="I58" i="5" s="1"/>
  <c r="K57" i="5"/>
  <c r="J57" i="5"/>
  <c r="I57" i="5"/>
  <c r="H57" i="5"/>
  <c r="G57" i="5"/>
  <c r="D55" i="5"/>
  <c r="B55" i="5"/>
  <c r="F54" i="5"/>
  <c r="G54" i="5" s="1"/>
  <c r="H54" i="5" s="1"/>
  <c r="I54" i="5" s="1"/>
  <c r="J54" i="5" s="1"/>
  <c r="K54" i="5" s="1"/>
  <c r="C54" i="5"/>
  <c r="D54" i="5" s="1"/>
  <c r="E54" i="5" s="1"/>
  <c r="G53" i="5"/>
  <c r="H53" i="5" s="1"/>
  <c r="D53" i="5"/>
  <c r="E53" i="5" s="1"/>
  <c r="F53" i="5" s="1"/>
  <c r="F55" i="5" s="1"/>
  <c r="C53" i="5"/>
  <c r="C55" i="5" s="1"/>
  <c r="B51" i="5"/>
  <c r="B59" i="5" s="1"/>
  <c r="K50" i="5"/>
  <c r="J50" i="5"/>
  <c r="K88" i="5" s="1"/>
  <c r="I50" i="5"/>
  <c r="J88" i="5" s="1"/>
  <c r="H50" i="5"/>
  <c r="I88" i="5" s="1"/>
  <c r="G50" i="5"/>
  <c r="H88" i="5" s="1"/>
  <c r="K49" i="5"/>
  <c r="J49" i="5"/>
  <c r="K87" i="5" s="1"/>
  <c r="I49" i="5"/>
  <c r="J87" i="5" s="1"/>
  <c r="H49" i="5"/>
  <c r="I87" i="5" s="1"/>
  <c r="G49" i="5"/>
  <c r="K48" i="5"/>
  <c r="J48" i="5"/>
  <c r="K86" i="5" s="1"/>
  <c r="I48" i="5"/>
  <c r="J86" i="5" s="1"/>
  <c r="H48" i="5"/>
  <c r="I86" i="5" s="1"/>
  <c r="G48" i="5"/>
  <c r="H86" i="5" s="1"/>
  <c r="K33" i="5"/>
  <c r="J33" i="5"/>
  <c r="I33" i="5"/>
  <c r="H33" i="5"/>
  <c r="G33" i="5"/>
  <c r="B31" i="5"/>
  <c r="F22" i="5"/>
  <c r="D20" i="5"/>
  <c r="K19" i="5"/>
  <c r="J19" i="5"/>
  <c r="I19" i="5"/>
  <c r="H19" i="5"/>
  <c r="G19" i="5"/>
  <c r="F19" i="5"/>
  <c r="F20" i="5" s="1"/>
  <c r="E19" i="5"/>
  <c r="E20" i="5" s="1"/>
  <c r="D19" i="5"/>
  <c r="C19" i="5"/>
  <c r="C20" i="5" s="1"/>
  <c r="B19" i="5"/>
  <c r="B20" i="5" s="1"/>
  <c r="K17" i="5"/>
  <c r="J17" i="5"/>
  <c r="I17" i="5"/>
  <c r="H17" i="5"/>
  <c r="G17" i="5"/>
  <c r="K16" i="5"/>
  <c r="J16" i="5"/>
  <c r="J84" i="5" s="1"/>
  <c r="I16" i="5"/>
  <c r="I84" i="5" s="1"/>
  <c r="H16" i="5"/>
  <c r="H84" i="5" s="1"/>
  <c r="G16" i="5"/>
  <c r="F11" i="5"/>
  <c r="B11" i="5"/>
  <c r="F10" i="5"/>
  <c r="F13" i="5" s="1"/>
  <c r="F14" i="5" s="1"/>
  <c r="E10" i="5"/>
  <c r="D10" i="5"/>
  <c r="C10" i="5"/>
  <c r="C13" i="5" s="1"/>
  <c r="B10" i="5"/>
  <c r="B13" i="5" s="1"/>
  <c r="F8" i="5"/>
  <c r="E8" i="5"/>
  <c r="D8" i="5"/>
  <c r="C8" i="5"/>
  <c r="G7" i="5"/>
  <c r="G10" i="5" s="1"/>
  <c r="D5" i="5"/>
  <c r="E5" i="5" s="1"/>
  <c r="F5" i="5" s="1"/>
  <c r="G5" i="5" s="1"/>
  <c r="H5" i="5" s="1"/>
  <c r="I5" i="5" s="1"/>
  <c r="J5" i="5" s="1"/>
  <c r="K5" i="5" s="1"/>
  <c r="C5" i="5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G34" i="4"/>
  <c r="F34" i="4"/>
  <c r="E34" i="4"/>
  <c r="D34" i="4"/>
  <c r="C34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G28" i="4"/>
  <c r="F28" i="4"/>
  <c r="E28" i="4"/>
  <c r="D28" i="4"/>
  <c r="C28" i="4"/>
  <c r="G27" i="4"/>
  <c r="F27" i="4"/>
  <c r="E27" i="4"/>
  <c r="D27" i="4"/>
  <c r="G24" i="4"/>
  <c r="F24" i="4"/>
  <c r="E24" i="4"/>
  <c r="D24" i="4"/>
  <c r="C24" i="4"/>
  <c r="G23" i="4"/>
  <c r="F23" i="4"/>
  <c r="E23" i="4"/>
  <c r="D23" i="4"/>
  <c r="G22" i="4"/>
  <c r="F22" i="4"/>
  <c r="E22" i="4"/>
  <c r="D22" i="4"/>
  <c r="C19" i="4"/>
  <c r="G17" i="4"/>
  <c r="F17" i="4"/>
  <c r="E17" i="4"/>
  <c r="D17" i="4"/>
  <c r="C17" i="4"/>
  <c r="G15" i="4"/>
  <c r="F15" i="4"/>
  <c r="E15" i="4"/>
  <c r="D15" i="4"/>
  <c r="C15" i="4"/>
  <c r="G12" i="4"/>
  <c r="F12" i="4"/>
  <c r="E12" i="4"/>
  <c r="D12" i="4"/>
  <c r="C12" i="4"/>
  <c r="G10" i="4"/>
  <c r="F10" i="4"/>
  <c r="E10" i="4"/>
  <c r="D10" i="4"/>
  <c r="C10" i="4"/>
  <c r="G8" i="4"/>
  <c r="F8" i="4"/>
  <c r="E8" i="4"/>
  <c r="D8" i="4"/>
  <c r="C8" i="4"/>
  <c r="D6" i="4"/>
  <c r="E6" i="4" s="1"/>
  <c r="F6" i="4" s="1"/>
  <c r="G6" i="4" s="1"/>
  <c r="H6" i="4" s="1"/>
  <c r="I6" i="4" s="1"/>
  <c r="J6" i="4" s="1"/>
  <c r="K6" i="4" s="1"/>
  <c r="L6" i="4" s="1"/>
  <c r="I53" i="5" l="1"/>
  <c r="H55" i="5"/>
  <c r="H7" i="5"/>
  <c r="D13" i="5"/>
  <c r="D11" i="5"/>
  <c r="E55" i="5"/>
  <c r="D126" i="5"/>
  <c r="H87" i="5"/>
  <c r="G87" i="5"/>
  <c r="C133" i="5"/>
  <c r="D129" i="5"/>
  <c r="D131" i="5" s="1"/>
  <c r="F122" i="5"/>
  <c r="F124" i="5" s="1"/>
  <c r="E126" i="5"/>
  <c r="G13" i="5"/>
  <c r="G65" i="5"/>
  <c r="K89" i="5"/>
  <c r="C22" i="5"/>
  <c r="C14" i="5"/>
  <c r="F25" i="5"/>
  <c r="F23" i="5"/>
  <c r="G55" i="5"/>
  <c r="K84" i="5"/>
  <c r="C11" i="5"/>
  <c r="G20" i="5"/>
  <c r="G64" i="5"/>
  <c r="G91" i="5" s="1"/>
  <c r="G11" i="5"/>
  <c r="E13" i="5"/>
  <c r="E11" i="5"/>
  <c r="G8" i="5"/>
  <c r="B22" i="5"/>
  <c r="B14" i="5"/>
  <c r="G88" i="5"/>
  <c r="D133" i="5" l="1"/>
  <c r="E129" i="5"/>
  <c r="E131" i="5" s="1"/>
  <c r="H10" i="5"/>
  <c r="H8" i="5"/>
  <c r="I7" i="5"/>
  <c r="H20" i="5"/>
  <c r="H13" i="5"/>
  <c r="F26" i="5"/>
  <c r="B35" i="5"/>
  <c r="B23" i="5"/>
  <c r="B25" i="5"/>
  <c r="B26" i="5" s="1"/>
  <c r="F126" i="5"/>
  <c r="G122" i="5"/>
  <c r="C23" i="5"/>
  <c r="C25" i="5"/>
  <c r="D22" i="5"/>
  <c r="D14" i="5"/>
  <c r="E14" i="5"/>
  <c r="E22" i="5"/>
  <c r="G22" i="5"/>
  <c r="G14" i="5"/>
  <c r="I55" i="5"/>
  <c r="J53" i="5"/>
  <c r="G25" i="5" l="1"/>
  <c r="G23" i="5"/>
  <c r="G124" i="5"/>
  <c r="G126" i="5"/>
  <c r="E25" i="5"/>
  <c r="E23" i="5"/>
  <c r="I10" i="5"/>
  <c r="I13" i="5" s="1"/>
  <c r="I8" i="5"/>
  <c r="J7" i="5"/>
  <c r="I20" i="5"/>
  <c r="H22" i="5"/>
  <c r="H14" i="5"/>
  <c r="J55" i="5"/>
  <c r="K53" i="5"/>
  <c r="K55" i="5" s="1"/>
  <c r="H64" i="5"/>
  <c r="H11" i="5"/>
  <c r="D25" i="5"/>
  <c r="D23" i="5"/>
  <c r="B37" i="5"/>
  <c r="B38" i="5" s="1"/>
  <c r="E133" i="5"/>
  <c r="F129" i="5"/>
  <c r="F131" i="5" s="1"/>
  <c r="C27" i="5"/>
  <c r="C26" i="5"/>
  <c r="I22" i="5" l="1"/>
  <c r="I14" i="5"/>
  <c r="H25" i="5"/>
  <c r="H23" i="5"/>
  <c r="E27" i="5"/>
  <c r="E26" i="5"/>
  <c r="F27" i="5"/>
  <c r="D27" i="5"/>
  <c r="D26" i="5"/>
  <c r="G68" i="5"/>
  <c r="G102" i="5" s="1"/>
  <c r="H122" i="5"/>
  <c r="B40" i="5"/>
  <c r="J10" i="5"/>
  <c r="K7" i="5"/>
  <c r="J8" i="5"/>
  <c r="J20" i="5"/>
  <c r="G129" i="5"/>
  <c r="F133" i="5"/>
  <c r="H65" i="5"/>
  <c r="H91" i="5"/>
  <c r="I64" i="5"/>
  <c r="I11" i="5"/>
  <c r="G26" i="5"/>
  <c r="G27" i="5"/>
  <c r="K8" i="5" l="1"/>
  <c r="K10" i="5"/>
  <c r="K20" i="5"/>
  <c r="B74" i="5"/>
  <c r="B41" i="5"/>
  <c r="J64" i="5"/>
  <c r="J11" i="5"/>
  <c r="G131" i="5"/>
  <c r="G133" i="5"/>
  <c r="H27" i="5"/>
  <c r="H26" i="5"/>
  <c r="I65" i="5"/>
  <c r="I91" i="5"/>
  <c r="H124" i="5"/>
  <c r="J13" i="5"/>
  <c r="I23" i="5"/>
  <c r="I25" i="5"/>
  <c r="I27" i="5" l="1"/>
  <c r="I26" i="5"/>
  <c r="H68" i="5"/>
  <c r="H102" i="5" s="1"/>
  <c r="I122" i="5"/>
  <c r="B76" i="5"/>
  <c r="B78" i="5" s="1"/>
  <c r="B79" i="5" s="1"/>
  <c r="J91" i="5"/>
  <c r="J65" i="5"/>
  <c r="K64" i="5"/>
  <c r="K11" i="5"/>
  <c r="K13" i="5"/>
  <c r="J14" i="5"/>
  <c r="J22" i="5"/>
  <c r="H129" i="5"/>
  <c r="G69" i="5"/>
  <c r="G103" i="5" s="1"/>
  <c r="H126" i="5"/>
  <c r="J23" i="5" l="1"/>
  <c r="J25" i="5"/>
  <c r="I124" i="5"/>
  <c r="I126" i="5"/>
  <c r="H131" i="5"/>
  <c r="H133" i="5"/>
  <c r="K22" i="5"/>
  <c r="K14" i="5"/>
  <c r="K91" i="5"/>
  <c r="K65" i="5"/>
  <c r="J122" i="5" l="1"/>
  <c r="I68" i="5"/>
  <c r="I102" i="5" s="1"/>
  <c r="K23" i="5"/>
  <c r="K25" i="5"/>
  <c r="J27" i="5"/>
  <c r="J26" i="5"/>
  <c r="I129" i="5"/>
  <c r="H69" i="5"/>
  <c r="H103" i="5" s="1"/>
  <c r="J124" i="5" l="1"/>
  <c r="I131" i="5"/>
  <c r="I133" i="5"/>
  <c r="K27" i="5"/>
  <c r="K26" i="5"/>
  <c r="K122" i="5" l="1"/>
  <c r="J68" i="5"/>
  <c r="J102" i="5" s="1"/>
  <c r="I69" i="5"/>
  <c r="I103" i="5" s="1"/>
  <c r="J129" i="5"/>
  <c r="J126" i="5"/>
  <c r="J131" i="5" l="1"/>
  <c r="J133" i="5" s="1"/>
  <c r="K124" i="5"/>
  <c r="K68" i="5" s="1"/>
  <c r="K102" i="5" s="1"/>
  <c r="K126" i="5"/>
  <c r="J69" i="5" l="1"/>
  <c r="J103" i="5" s="1"/>
  <c r="K129" i="5"/>
  <c r="K131" i="5" l="1"/>
  <c r="K69" i="5" s="1"/>
  <c r="K103" i="5" s="1"/>
  <c r="K133" i="5"/>
  <c r="G118" i="1" l="1"/>
  <c r="G131" i="1"/>
  <c r="G133" i="1" s="1"/>
  <c r="G129" i="1"/>
  <c r="G122" i="1"/>
  <c r="G124" i="1" s="1"/>
  <c r="L42" i="2"/>
  <c r="K42" i="2"/>
  <c r="J42" i="2"/>
  <c r="I42" i="2"/>
  <c r="I41" i="2"/>
  <c r="I38" i="2"/>
  <c r="J38" i="2" s="1"/>
  <c r="K38" i="2" s="1"/>
  <c r="L38" i="2" s="1"/>
  <c r="I37" i="2"/>
  <c r="J37" i="2" s="1"/>
  <c r="H42" i="2"/>
  <c r="H41" i="2"/>
  <c r="H40" i="2"/>
  <c r="H38" i="2"/>
  <c r="H37" i="2"/>
  <c r="G126" i="1" l="1"/>
  <c r="H122" i="1"/>
  <c r="H124" i="1" s="1"/>
  <c r="H129" i="1"/>
  <c r="H131" i="1" s="1"/>
  <c r="K37" i="2"/>
  <c r="J40" i="2"/>
  <c r="J41" i="2"/>
  <c r="I40" i="2"/>
  <c r="D10" i="1"/>
  <c r="E29" i="2" s="1"/>
  <c r="E10" i="1"/>
  <c r="F30" i="2" s="1"/>
  <c r="F10" i="1"/>
  <c r="G29" i="2" s="1"/>
  <c r="C10" i="1"/>
  <c r="E23" i="2"/>
  <c r="E22" i="2"/>
  <c r="F22" i="2"/>
  <c r="G22" i="2"/>
  <c r="D22" i="2"/>
  <c r="B10" i="1"/>
  <c r="F19" i="1"/>
  <c r="F20" i="1" s="1"/>
  <c r="G15" i="2" s="1"/>
  <c r="E19" i="1"/>
  <c r="D19" i="1"/>
  <c r="D20" i="1" s="1"/>
  <c r="E15" i="2" s="1"/>
  <c r="C19" i="1"/>
  <c r="C20" i="1" s="1"/>
  <c r="D15" i="2" s="1"/>
  <c r="B19" i="1"/>
  <c r="B20" i="1"/>
  <c r="C15" i="2" s="1"/>
  <c r="C53" i="1"/>
  <c r="C8" i="1"/>
  <c r="D8" i="2"/>
  <c r="D8" i="1"/>
  <c r="E8" i="2" s="1"/>
  <c r="E8" i="1"/>
  <c r="F8" i="2" s="1"/>
  <c r="F8" i="1"/>
  <c r="G8" i="2" s="1"/>
  <c r="D11" i="1"/>
  <c r="E10" i="2"/>
  <c r="D13" i="1"/>
  <c r="D14" i="1"/>
  <c r="E20" i="1"/>
  <c r="F15" i="2" s="1"/>
  <c r="B31" i="1"/>
  <c r="B51" i="1"/>
  <c r="C54" i="1"/>
  <c r="D54" i="1" s="1"/>
  <c r="E54" i="1" s="1"/>
  <c r="F54" i="1" s="1"/>
  <c r="B55" i="1"/>
  <c r="B59" i="1" s="1"/>
  <c r="B65" i="1"/>
  <c r="B71" i="1" s="1"/>
  <c r="C65" i="1"/>
  <c r="D65" i="1"/>
  <c r="E65" i="1"/>
  <c r="F65" i="1"/>
  <c r="C84" i="1"/>
  <c r="D84" i="1"/>
  <c r="E84" i="1"/>
  <c r="F84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8" i="1"/>
  <c r="D98" i="1"/>
  <c r="E98" i="1"/>
  <c r="F98" i="1"/>
  <c r="C102" i="1"/>
  <c r="D102" i="1"/>
  <c r="E102" i="1"/>
  <c r="F102" i="1"/>
  <c r="C103" i="1"/>
  <c r="D103" i="1"/>
  <c r="E103" i="1"/>
  <c r="F103" i="1"/>
  <c r="C108" i="1"/>
  <c r="C115" i="1"/>
  <c r="C122" i="1"/>
  <c r="C124" i="1" s="1"/>
  <c r="C129" i="1"/>
  <c r="C131" i="1" s="1"/>
  <c r="C12" i="2"/>
  <c r="G31" i="2"/>
  <c r="E31" i="2"/>
  <c r="G34" i="2"/>
  <c r="F34" i="2"/>
  <c r="E34" i="2"/>
  <c r="D34" i="2"/>
  <c r="C34" i="2"/>
  <c r="G42" i="2"/>
  <c r="F42" i="2"/>
  <c r="E42" i="2"/>
  <c r="D42" i="2"/>
  <c r="C42" i="2"/>
  <c r="G32" i="2"/>
  <c r="F32" i="2"/>
  <c r="E32" i="2"/>
  <c r="D32" i="2"/>
  <c r="C32" i="2"/>
  <c r="D6" i="2"/>
  <c r="E6" i="2"/>
  <c r="F6" i="2"/>
  <c r="G6" i="2"/>
  <c r="H6" i="2" s="1"/>
  <c r="I6" i="2" s="1"/>
  <c r="J6" i="2" s="1"/>
  <c r="K6" i="2" s="1"/>
  <c r="L6" i="2" s="1"/>
  <c r="W116" i="1"/>
  <c r="G27" i="2"/>
  <c r="F27" i="2"/>
  <c r="E27" i="2"/>
  <c r="D27" i="2"/>
  <c r="G41" i="2"/>
  <c r="G30" i="2"/>
  <c r="E30" i="2"/>
  <c r="C30" i="2"/>
  <c r="G40" i="2"/>
  <c r="F41" i="2"/>
  <c r="E41" i="2"/>
  <c r="D41" i="2"/>
  <c r="C41" i="2"/>
  <c r="F40" i="2"/>
  <c r="E40" i="2"/>
  <c r="D40" i="2"/>
  <c r="C40" i="2"/>
  <c r="G28" i="2"/>
  <c r="F28" i="2"/>
  <c r="E28" i="2"/>
  <c r="D28" i="2"/>
  <c r="C28" i="2"/>
  <c r="G24" i="2"/>
  <c r="F24" i="2"/>
  <c r="E24" i="2"/>
  <c r="D24" i="2"/>
  <c r="C24" i="2"/>
  <c r="G17" i="2"/>
  <c r="F17" i="2"/>
  <c r="E17" i="2"/>
  <c r="D17" i="2"/>
  <c r="C17" i="2"/>
  <c r="C8" i="2"/>
  <c r="C5" i="1"/>
  <c r="D5" i="1" s="1"/>
  <c r="E5" i="1" s="1"/>
  <c r="F5" i="1" s="1"/>
  <c r="G5" i="1" s="1"/>
  <c r="H5" i="1" s="1"/>
  <c r="I5" i="1" s="1"/>
  <c r="J5" i="1" s="1"/>
  <c r="K5" i="1" s="1"/>
  <c r="D22" i="1"/>
  <c r="D25" i="1" s="1"/>
  <c r="D26" i="1" s="1"/>
  <c r="B11" i="1"/>
  <c r="C10" i="2" s="1"/>
  <c r="I122" i="1" l="1"/>
  <c r="I124" i="1" s="1"/>
  <c r="H126" i="1"/>
  <c r="H133" i="1"/>
  <c r="I129" i="1"/>
  <c r="I131" i="1" s="1"/>
  <c r="L37" i="2"/>
  <c r="K40" i="2"/>
  <c r="K41" i="2"/>
  <c r="C126" i="1"/>
  <c r="D122" i="1"/>
  <c r="D124" i="1" s="1"/>
  <c r="F11" i="1"/>
  <c r="G10" i="2" s="1"/>
  <c r="G23" i="2"/>
  <c r="F13" i="1"/>
  <c r="D23" i="1"/>
  <c r="C133" i="1"/>
  <c r="D129" i="1"/>
  <c r="D131" i="1" s="1"/>
  <c r="B13" i="1"/>
  <c r="C31" i="2"/>
  <c r="D31" i="2"/>
  <c r="D23" i="2"/>
  <c r="C11" i="1"/>
  <c r="D10" i="2" s="1"/>
  <c r="C13" i="1"/>
  <c r="D29" i="2"/>
  <c r="D30" i="2"/>
  <c r="F29" i="2"/>
  <c r="E11" i="1"/>
  <c r="F10" i="2" s="1"/>
  <c r="E13" i="1"/>
  <c r="F31" i="2"/>
  <c r="F23" i="2"/>
  <c r="D53" i="1"/>
  <c r="D12" i="2"/>
  <c r="C55" i="1"/>
  <c r="J129" i="1" l="1"/>
  <c r="J131" i="1" s="1"/>
  <c r="I133" i="1"/>
  <c r="I126" i="1"/>
  <c r="J122" i="1"/>
  <c r="J124" i="1" s="1"/>
  <c r="L40" i="2"/>
  <c r="L41" i="2"/>
  <c r="F22" i="1"/>
  <c r="F14" i="1"/>
  <c r="D126" i="1"/>
  <c r="E122" i="1"/>
  <c r="E124" i="1" s="1"/>
  <c r="D133" i="1"/>
  <c r="E129" i="1"/>
  <c r="E131" i="1" s="1"/>
  <c r="B14" i="1"/>
  <c r="B22" i="1"/>
  <c r="D55" i="1"/>
  <c r="E12" i="2"/>
  <c r="E53" i="1"/>
  <c r="C14" i="1"/>
  <c r="C22" i="1"/>
  <c r="E22" i="1"/>
  <c r="E14" i="1"/>
  <c r="J126" i="1" l="1"/>
  <c r="K122" i="1"/>
  <c r="K124" i="1" s="1"/>
  <c r="K126" i="1" s="1"/>
  <c r="J133" i="1"/>
  <c r="K129" i="1"/>
  <c r="K131" i="1" s="1"/>
  <c r="K133" i="1" s="1"/>
  <c r="F122" i="1"/>
  <c r="F124" i="1" s="1"/>
  <c r="F126" i="1" s="1"/>
  <c r="E126" i="1"/>
  <c r="F25" i="1"/>
  <c r="F26" i="1" s="1"/>
  <c r="F23" i="1"/>
  <c r="B35" i="1"/>
  <c r="B25" i="1"/>
  <c r="B26" i="1" s="1"/>
  <c r="B23" i="1"/>
  <c r="C25" i="1"/>
  <c r="C23" i="1"/>
  <c r="E133" i="1"/>
  <c r="F129" i="1"/>
  <c r="F131" i="1" s="1"/>
  <c r="E55" i="1"/>
  <c r="F12" i="2"/>
  <c r="F53" i="1"/>
  <c r="E23" i="1"/>
  <c r="E25" i="1"/>
  <c r="E26" i="1" l="1"/>
  <c r="F27" i="1"/>
  <c r="E27" i="1"/>
  <c r="F133" i="1"/>
  <c r="B37" i="1"/>
  <c r="B38" i="1" s="1"/>
  <c r="C19" i="2" s="1"/>
  <c r="B40" i="1"/>
  <c r="F55" i="1"/>
  <c r="G12" i="2"/>
  <c r="C27" i="1"/>
  <c r="C26" i="1"/>
  <c r="D27" i="1"/>
  <c r="B74" i="1" l="1"/>
  <c r="B41" i="1"/>
  <c r="B76" i="1" l="1"/>
  <c r="B78" i="1" s="1"/>
  <c r="B79" i="1" s="1"/>
  <c r="H119" i="1" l="1"/>
  <c r="H135" i="1" s="1"/>
  <c r="G117" i="1"/>
  <c r="H115" i="1" s="1"/>
  <c r="H117" i="1" s="1"/>
  <c r="I115" i="1" s="1"/>
  <c r="I117" i="1" s="1"/>
  <c r="J115" i="1" l="1"/>
  <c r="J117" i="1" s="1"/>
  <c r="I119" i="1"/>
  <c r="I135" i="1" s="1"/>
  <c r="G119" i="1"/>
  <c r="G135" i="1" s="1"/>
  <c r="K115" i="1" l="1"/>
  <c r="K117" i="1" s="1"/>
  <c r="K119" i="1" s="1"/>
  <c r="K135" i="1" s="1"/>
  <c r="J119" i="1"/>
  <c r="J135" i="1" s="1"/>
  <c r="I38" i="5"/>
  <c r="I37" i="5"/>
  <c r="F79" i="5"/>
  <c r="F59" i="5"/>
  <c r="F51" i="5"/>
  <c r="F47" i="5"/>
  <c r="C78" i="1"/>
  <c r="C76" i="1"/>
  <c r="E116" i="5"/>
  <c r="D101" i="1"/>
  <c r="D104" i="1"/>
  <c r="D106" i="1"/>
  <c r="D109" i="1"/>
  <c r="C78" i="5"/>
  <c r="C76" i="5"/>
  <c r="E78" i="1"/>
  <c r="E76" i="1"/>
  <c r="E71" i="5"/>
  <c r="D30" i="5"/>
  <c r="D137" i="5"/>
  <c r="G38" i="5"/>
  <c r="G37" i="5"/>
  <c r="F112" i="1"/>
  <c r="F93" i="1"/>
  <c r="F82" i="1"/>
  <c r="G109" i="5"/>
  <c r="G106" i="5"/>
  <c r="H109" i="5"/>
  <c r="H106" i="5"/>
  <c r="D82" i="1"/>
  <c r="D93" i="1"/>
  <c r="D112" i="1"/>
  <c r="F82" i="5"/>
  <c r="F93" i="5"/>
  <c r="F112" i="5"/>
  <c r="D78" i="1"/>
  <c r="D76" i="1"/>
  <c r="C74" i="1"/>
  <c r="D74" i="1"/>
  <c r="E74" i="1"/>
  <c r="F74" i="1"/>
  <c r="F76" i="1"/>
  <c r="F78" i="1"/>
  <c r="F116" i="1"/>
  <c r="K112" i="5"/>
  <c r="G78" i="5"/>
  <c r="G71" i="5"/>
  <c r="F79" i="1"/>
  <c r="F59" i="1"/>
  <c r="F51" i="1"/>
  <c r="F47" i="1"/>
  <c r="F110" i="1"/>
  <c r="F108" i="1"/>
  <c r="J42" i="5"/>
  <c r="J41" i="5"/>
  <c r="E109" i="5"/>
  <c r="E67" i="5"/>
  <c r="E101" i="5"/>
  <c r="E104" i="5"/>
  <c r="E106" i="5"/>
  <c r="C71" i="5"/>
  <c r="E38" i="5"/>
  <c r="E37" i="5"/>
  <c r="D109" i="5"/>
  <c r="D106" i="5"/>
  <c r="D104" i="5"/>
  <c r="D101" i="5"/>
  <c r="G19" i="2"/>
  <c r="F38" i="1"/>
  <c r="F37" i="1"/>
  <c r="J137" i="5"/>
  <c r="J30" i="5"/>
  <c r="G116" i="5"/>
  <c r="E137" i="5"/>
  <c r="E30" i="5"/>
  <c r="F41" i="5"/>
  <c r="F40" i="5"/>
  <c r="F42" i="5"/>
  <c r="I30" i="5"/>
  <c r="I137" i="5"/>
  <c r="C51" i="5"/>
  <c r="C59" i="5"/>
  <c r="C79" i="5"/>
  <c r="I112" i="5"/>
  <c r="C42" i="1"/>
  <c r="C41" i="1"/>
  <c r="H76" i="5"/>
  <c r="K116" i="5"/>
  <c r="K38" i="5"/>
  <c r="K37" i="5"/>
  <c r="F38" i="5"/>
  <c r="F119" i="5"/>
  <c r="F135" i="5"/>
  <c r="F29" i="5"/>
  <c r="F31" i="5"/>
  <c r="F35" i="5"/>
  <c r="F37" i="5"/>
  <c r="H78" i="5"/>
  <c r="H71" i="5"/>
  <c r="F71" i="5"/>
  <c r="D37" i="5"/>
  <c r="D38" i="5"/>
  <c r="I82" i="5"/>
  <c r="I93" i="5"/>
  <c r="I106" i="5"/>
  <c r="I109" i="5"/>
  <c r="G137" i="5"/>
  <c r="G30" i="5"/>
  <c r="H137" i="5"/>
  <c r="H30" i="5"/>
  <c r="E116" i="1"/>
  <c r="H104" i="5"/>
  <c r="H67" i="5"/>
  <c r="H101" i="5"/>
  <c r="D116" i="1"/>
  <c r="E109" i="1"/>
  <c r="E106" i="1"/>
  <c r="E104" i="1"/>
  <c r="E101" i="1"/>
  <c r="E82" i="1"/>
  <c r="E93" i="1"/>
  <c r="E112" i="1"/>
  <c r="F30" i="5"/>
  <c r="F137" i="5"/>
  <c r="D76" i="5"/>
  <c r="D78" i="5"/>
  <c r="J79" i="5"/>
  <c r="J59" i="5"/>
  <c r="J51" i="5"/>
  <c r="J47" i="5"/>
  <c r="D42" i="5"/>
  <c r="D41" i="5"/>
  <c r="F41" i="1"/>
  <c r="F119" i="1"/>
  <c r="F135" i="1"/>
  <c r="F29" i="1"/>
  <c r="F31" i="1"/>
  <c r="F35" i="1"/>
  <c r="F40" i="1"/>
  <c r="F42" i="1"/>
  <c r="E30" i="1"/>
  <c r="E137" i="1"/>
  <c r="C42" i="5"/>
  <c r="C41" i="5"/>
  <c r="I41" i="5"/>
  <c r="I119" i="5"/>
  <c r="I135" i="5"/>
  <c r="I29" i="5"/>
  <c r="I31" i="5"/>
  <c r="I35" i="5"/>
  <c r="I40" i="5"/>
  <c r="I42" i="5"/>
  <c r="G42" i="5"/>
  <c r="G41" i="5"/>
  <c r="H79" i="5"/>
  <c r="H59" i="5"/>
  <c r="H51" i="5"/>
  <c r="H47" i="5"/>
  <c r="E37" i="1"/>
  <c r="E38" i="1"/>
  <c r="F19" i="2"/>
  <c r="E51" i="1"/>
  <c r="E59" i="1"/>
  <c r="E79" i="1"/>
  <c r="C51" i="1"/>
  <c r="C59" i="1"/>
  <c r="C79" i="1"/>
  <c r="E82" i="5"/>
  <c r="E93" i="5"/>
  <c r="E112" i="5"/>
  <c r="J76" i="5"/>
  <c r="E41" i="1"/>
  <c r="E119" i="1"/>
  <c r="E135" i="1"/>
  <c r="E29" i="1"/>
  <c r="E31" i="1"/>
  <c r="E35" i="1"/>
  <c r="E40" i="1"/>
  <c r="E42" i="1"/>
  <c r="I78" i="5"/>
  <c r="I71" i="5"/>
  <c r="G19" i="4"/>
  <c r="D19" i="4"/>
  <c r="G79" i="5"/>
  <c r="G59" i="5"/>
  <c r="G47" i="5"/>
  <c r="G51" i="5"/>
  <c r="I104" i="5"/>
  <c r="I67" i="5"/>
  <c r="I101" i="5"/>
  <c r="E41" i="5"/>
  <c r="E119" i="5"/>
  <c r="E135" i="5"/>
  <c r="E29" i="5"/>
  <c r="E31" i="5"/>
  <c r="E35" i="5"/>
  <c r="E40" i="5"/>
  <c r="E42" i="5"/>
  <c r="I116" i="5"/>
  <c r="H82" i="5"/>
  <c r="H93" i="5"/>
  <c r="H112" i="5"/>
  <c r="K137" i="5"/>
  <c r="K30" i="5"/>
  <c r="K42" i="5"/>
  <c r="K41" i="5"/>
  <c r="F101" i="1"/>
  <c r="F104" i="1"/>
  <c r="F106" i="1"/>
  <c r="F109" i="1"/>
  <c r="J112" i="5"/>
  <c r="D119" i="5"/>
  <c r="D135" i="5"/>
  <c r="D29" i="5"/>
  <c r="D31" i="5"/>
  <c r="D35" i="5"/>
  <c r="D40" i="5"/>
  <c r="D82" i="5"/>
  <c r="D93" i="5"/>
  <c r="D112" i="5"/>
  <c r="F78" i="5"/>
  <c r="F76" i="5"/>
  <c r="J74" i="5"/>
  <c r="K74" i="5"/>
  <c r="K76" i="5"/>
  <c r="J116" i="5"/>
  <c r="K79" i="5"/>
  <c r="J108" i="5"/>
  <c r="J110" i="5"/>
  <c r="K108" i="5"/>
  <c r="K110" i="5"/>
  <c r="K47" i="5"/>
  <c r="K51" i="5"/>
  <c r="K59" i="5"/>
  <c r="G76" i="5"/>
  <c r="C71" i="1"/>
  <c r="E67" i="1"/>
  <c r="E71" i="1"/>
  <c r="H42" i="5"/>
  <c r="H40" i="5"/>
  <c r="H41" i="5"/>
  <c r="E115" i="1"/>
  <c r="E117" i="1"/>
  <c r="F115" i="1"/>
  <c r="F117" i="1"/>
  <c r="F67" i="1"/>
  <c r="F71" i="1"/>
  <c r="H38" i="5"/>
  <c r="H119" i="5"/>
  <c r="H135" i="5"/>
  <c r="H29" i="5"/>
  <c r="H31" i="5"/>
  <c r="H35" i="5"/>
  <c r="H37" i="5"/>
  <c r="E19" i="4"/>
  <c r="J78" i="5"/>
  <c r="J71" i="5"/>
  <c r="G119" i="5"/>
  <c r="G135" i="5"/>
  <c r="G29" i="5"/>
  <c r="G31" i="5"/>
  <c r="G35" i="5"/>
  <c r="G40" i="5"/>
  <c r="G82" i="5"/>
  <c r="G93" i="5"/>
  <c r="G112" i="5"/>
  <c r="E78" i="5"/>
  <c r="E76" i="5"/>
  <c r="C137" i="5"/>
  <c r="C30" i="5"/>
  <c r="D116" i="5"/>
  <c r="C74" i="5"/>
  <c r="D74" i="5"/>
  <c r="E74" i="5"/>
  <c r="F74" i="5"/>
  <c r="G74" i="5"/>
  <c r="H74" i="5"/>
  <c r="I74" i="5"/>
  <c r="I76" i="5"/>
  <c r="D67" i="5"/>
  <c r="D71" i="5"/>
  <c r="J40" i="5"/>
  <c r="J82" i="5"/>
  <c r="J93" i="5"/>
  <c r="J106" i="5"/>
  <c r="J109" i="5"/>
  <c r="D137" i="1"/>
  <c r="D30" i="1"/>
  <c r="D67" i="1"/>
  <c r="D71" i="1"/>
  <c r="C37" i="5"/>
  <c r="C38" i="5"/>
  <c r="K101" i="5"/>
  <c r="K104" i="5"/>
  <c r="H116" i="5"/>
  <c r="F108" i="5"/>
  <c r="F110" i="5"/>
  <c r="G108" i="5"/>
  <c r="G110" i="5"/>
  <c r="H108" i="5"/>
  <c r="H110" i="5"/>
  <c r="I108" i="5"/>
  <c r="I110" i="5"/>
  <c r="I47" i="5"/>
  <c r="I51" i="5"/>
  <c r="I59" i="5"/>
  <c r="I79" i="5"/>
  <c r="F116" i="5"/>
  <c r="C137" i="1"/>
  <c r="C30" i="1"/>
  <c r="K117" i="5"/>
  <c r="K67" i="5"/>
  <c r="K71" i="5"/>
  <c r="K78" i="5"/>
  <c r="K115" i="5"/>
  <c r="K119" i="5"/>
  <c r="K135" i="5"/>
  <c r="K29" i="5"/>
  <c r="K31" i="5"/>
  <c r="K35" i="5"/>
  <c r="K40" i="5"/>
  <c r="K82" i="5"/>
  <c r="K93" i="5"/>
  <c r="K106" i="5"/>
  <c r="K109" i="5"/>
  <c r="D51" i="1"/>
  <c r="D59" i="1"/>
  <c r="D79" i="1"/>
  <c r="F19" i="4"/>
  <c r="D42" i="1"/>
  <c r="D40" i="1"/>
  <c r="D41" i="1"/>
  <c r="D115" i="1"/>
  <c r="D117" i="1"/>
  <c r="D119" i="1"/>
  <c r="D135" i="1"/>
  <c r="D29" i="1"/>
  <c r="D31" i="1"/>
  <c r="D35" i="1"/>
  <c r="D37" i="1"/>
  <c r="D38" i="1"/>
  <c r="E19" i="2"/>
  <c r="D51" i="5"/>
  <c r="D59" i="5"/>
  <c r="D79" i="5"/>
  <c r="F67" i="5"/>
  <c r="F101" i="5"/>
  <c r="F104" i="5"/>
  <c r="F106" i="5"/>
  <c r="F109" i="5"/>
  <c r="C67" i="5"/>
  <c r="C101" i="5"/>
  <c r="C104" i="5"/>
  <c r="C106" i="5"/>
  <c r="C109" i="5"/>
  <c r="C110" i="5"/>
  <c r="C47" i="5"/>
  <c r="D108" i="5"/>
  <c r="D110" i="5"/>
  <c r="D47" i="5"/>
  <c r="E108" i="5"/>
  <c r="E110" i="5"/>
  <c r="E47" i="5"/>
  <c r="E51" i="5"/>
  <c r="E59" i="5"/>
  <c r="E79" i="5"/>
  <c r="J117" i="5"/>
  <c r="J67" i="5"/>
  <c r="J101" i="5"/>
  <c r="J104" i="5"/>
  <c r="H115" i="5"/>
  <c r="H117" i="5"/>
  <c r="I115" i="5"/>
  <c r="I117" i="5"/>
  <c r="J115" i="5"/>
  <c r="J119" i="5"/>
  <c r="J135" i="5"/>
  <c r="J29" i="5"/>
  <c r="J31" i="5"/>
  <c r="J35" i="5"/>
  <c r="J37" i="5"/>
  <c r="J38" i="5"/>
  <c r="C67" i="1"/>
  <c r="C101" i="1"/>
  <c r="C104" i="1"/>
  <c r="C106" i="1"/>
  <c r="C109" i="1"/>
  <c r="C110" i="1"/>
  <c r="C47" i="1"/>
  <c r="D108" i="1"/>
  <c r="D110" i="1"/>
  <c r="D47" i="1"/>
  <c r="E108" i="1"/>
  <c r="E110" i="1"/>
  <c r="E47" i="1"/>
  <c r="F137" i="1"/>
  <c r="F30" i="1"/>
  <c r="C119" i="5"/>
  <c r="C135" i="5"/>
  <c r="C29" i="5"/>
  <c r="C31" i="5"/>
  <c r="C35" i="5"/>
  <c r="C40" i="5"/>
  <c r="C82" i="5"/>
  <c r="C93" i="5"/>
  <c r="C112" i="5"/>
  <c r="C116" i="5"/>
  <c r="C117" i="5"/>
  <c r="D115" i="5"/>
  <c r="D117" i="5"/>
  <c r="E115" i="5"/>
  <c r="E117" i="5"/>
  <c r="F115" i="5"/>
  <c r="F117" i="5"/>
  <c r="G115" i="5"/>
  <c r="G117" i="5"/>
  <c r="G67" i="5"/>
  <c r="G101" i="5"/>
  <c r="G104" i="5"/>
  <c r="C40" i="1"/>
  <c r="C82" i="1"/>
  <c r="C93" i="1"/>
  <c r="C112" i="1"/>
  <c r="C116" i="1"/>
  <c r="C117" i="1"/>
  <c r="C119" i="1"/>
  <c r="C135" i="1"/>
  <c r="C29" i="1"/>
  <c r="C31" i="1"/>
  <c r="C35" i="1"/>
  <c r="C37" i="1"/>
  <c r="C38" i="1"/>
  <c r="D19" i="2"/>
</calcChain>
</file>

<file path=xl/sharedStrings.xml><?xml version="1.0" encoding="utf-8"?>
<sst xmlns="http://schemas.openxmlformats.org/spreadsheetml/2006/main" count="421" uniqueCount="189">
  <si>
    <t>Revenue</t>
  </si>
  <si>
    <t>Fiscal Year Ending December 31,</t>
  </si>
  <si>
    <t>($ in millions)</t>
  </si>
  <si>
    <t xml:space="preserve">    % Growth</t>
  </si>
  <si>
    <t>na</t>
  </si>
  <si>
    <t>Revenue Growth Rate</t>
  </si>
  <si>
    <t>(1) Excludes depreciation and amortization</t>
  </si>
  <si>
    <t xml:space="preserve">     COGS as % of Revenue</t>
  </si>
  <si>
    <t>COGS as % of Revenue</t>
  </si>
  <si>
    <t>Depreciation</t>
  </si>
  <si>
    <t>Amortization</t>
  </si>
  <si>
    <t>Gross Profit</t>
  </si>
  <si>
    <t>SG&amp;A Expenses</t>
  </si>
  <si>
    <t xml:space="preserve">     SG&amp;A as % of Revenue</t>
  </si>
  <si>
    <t>SG&amp;A as % of Sales</t>
  </si>
  <si>
    <t>Operating Income / EBIT</t>
  </si>
  <si>
    <t>Interest Expense</t>
  </si>
  <si>
    <t>Interest Income</t>
  </si>
  <si>
    <t xml:space="preserve">    Net Interest Expense</t>
  </si>
  <si>
    <t>Other Income / (Expense)</t>
  </si>
  <si>
    <t>Pretax Income</t>
  </si>
  <si>
    <t>Taxes</t>
  </si>
  <si>
    <t>Tax Rate</t>
  </si>
  <si>
    <t xml:space="preserve">     Tax Rate</t>
  </si>
  <si>
    <t>Net Income</t>
  </si>
  <si>
    <t xml:space="preserve">     Net Income Growth</t>
  </si>
  <si>
    <t>EBITDA</t>
  </si>
  <si>
    <t>Balance Sheet</t>
  </si>
  <si>
    <t>Cash</t>
  </si>
  <si>
    <t>Accounts Receivable</t>
  </si>
  <si>
    <t>Inventory</t>
  </si>
  <si>
    <t>Other Current Assets</t>
  </si>
  <si>
    <t>Accounts Payable</t>
  </si>
  <si>
    <t>Accrued Liabilities</t>
  </si>
  <si>
    <t>Other Current Liabilities</t>
  </si>
  <si>
    <t>Other Liabilities</t>
  </si>
  <si>
    <t>Assets</t>
  </si>
  <si>
    <t xml:space="preserve">    Total Current Assets</t>
  </si>
  <si>
    <t>Gross PP&amp;E</t>
  </si>
  <si>
    <t>Net PP&amp;E</t>
  </si>
  <si>
    <t>Liabilities</t>
  </si>
  <si>
    <t xml:space="preserve">    Total Current Liabilities</t>
  </si>
  <si>
    <t>Unsecured Debt</t>
  </si>
  <si>
    <t>Shareholders Equity</t>
  </si>
  <si>
    <t>Capital Expenditures</t>
  </si>
  <si>
    <t>Revolving Credit Facility</t>
  </si>
  <si>
    <t>Term Loan</t>
  </si>
  <si>
    <t xml:space="preserve">    Total Liabilities</t>
  </si>
  <si>
    <t>Cash Flow</t>
  </si>
  <si>
    <t>Plus / (minus):</t>
  </si>
  <si>
    <t xml:space="preserve">    Accounts Receivable</t>
  </si>
  <si>
    <t xml:space="preserve">    Inventory</t>
  </si>
  <si>
    <t xml:space="preserve">    Other Current Assets</t>
  </si>
  <si>
    <t xml:space="preserve">    Accounts Payable</t>
  </si>
  <si>
    <t xml:space="preserve">    Accrued Liabilities</t>
  </si>
  <si>
    <t>Balance Sheet Drivers / Assumptions</t>
  </si>
  <si>
    <t>Income Statement Drivers / Assumptions</t>
  </si>
  <si>
    <t>Days Accounts Receivable</t>
  </si>
  <si>
    <t>Days Inventory</t>
  </si>
  <si>
    <t>Capex as % of Sales</t>
  </si>
  <si>
    <t>Asset Disposition</t>
  </si>
  <si>
    <t>Cash Flows from Financing</t>
  </si>
  <si>
    <t>Change in Revolver</t>
  </si>
  <si>
    <t>Change in Term Loan</t>
  </si>
  <si>
    <t>Change in Unsecured Debt</t>
  </si>
  <si>
    <t>Beginning Cash Position</t>
  </si>
  <si>
    <t>Change in Cash Position</t>
  </si>
  <si>
    <t>Ending Cash Position</t>
  </si>
  <si>
    <t xml:space="preserve">Revolver </t>
  </si>
  <si>
    <t>Beginning Revolver Balance</t>
  </si>
  <si>
    <t>Ending Revolver Balance</t>
  </si>
  <si>
    <t>Interest Rate</t>
  </si>
  <si>
    <t>Revolver</t>
  </si>
  <si>
    <t>LIBOR</t>
  </si>
  <si>
    <t>Term Loan Beginning Balance</t>
  </si>
  <si>
    <t>(Paydown) / Drawdown</t>
  </si>
  <si>
    <t>Term Loan Ending Balance</t>
  </si>
  <si>
    <t>Unsecured Debt Beginning Balance</t>
  </si>
  <si>
    <t>Unsecured Debt Ending Balance</t>
  </si>
  <si>
    <t>Total Interest Expense</t>
  </si>
  <si>
    <t>Interest earned on cash</t>
  </si>
  <si>
    <t>Debt and Interest Schedule</t>
  </si>
  <si>
    <t>Interest Earned on Cash</t>
  </si>
  <si>
    <t>Days Payable</t>
  </si>
  <si>
    <t>Accrued Liabilities as % of COGS</t>
  </si>
  <si>
    <t xml:space="preserve">    Check</t>
  </si>
  <si>
    <t xml:space="preserve">    Total Shareholders Equity</t>
  </si>
  <si>
    <t xml:space="preserve">     EBITDA Growth</t>
  </si>
  <si>
    <t>Goodwill</t>
  </si>
  <si>
    <t xml:space="preserve">    Other Current Liabilities</t>
  </si>
  <si>
    <t>Income Statement</t>
  </si>
  <si>
    <t>Depreciation as % of Gross PP&amp;E</t>
  </si>
  <si>
    <t>Term Loan Amortization</t>
  </si>
  <si>
    <t>Interest Rate Assumptions</t>
  </si>
  <si>
    <t>Unsecured Debt Amortization</t>
  </si>
  <si>
    <t>Retained Earnings</t>
  </si>
  <si>
    <t>Asset Dispositions</t>
  </si>
  <si>
    <t>Common Stock</t>
  </si>
  <si>
    <t>Other Current Liabilities as % of COGS</t>
  </si>
  <si>
    <t xml:space="preserve">    Gross Profit Margin %</t>
  </si>
  <si>
    <t xml:space="preserve">    Operating Income / EBIT Margin %</t>
  </si>
  <si>
    <t xml:space="preserve">     EBITDA Margin %</t>
  </si>
  <si>
    <t xml:space="preserve">     Net Margin %</t>
  </si>
  <si>
    <t>Accumulated Depreciation</t>
  </si>
  <si>
    <t>Cash Flow Before Revolver</t>
  </si>
  <si>
    <t>Other Assets</t>
  </si>
  <si>
    <t xml:space="preserve">    Total Liabilities and Equity</t>
  </si>
  <si>
    <t xml:space="preserve">    Total Assets</t>
  </si>
  <si>
    <t>Cash Flow from Operations</t>
  </si>
  <si>
    <t>Depreciation and Amortization</t>
  </si>
  <si>
    <t>Changes in Working Capital:</t>
  </si>
  <si>
    <t>Change in Other Liabilities</t>
  </si>
  <si>
    <t>Cash Flow from Investing</t>
  </si>
  <si>
    <t>Cash Flow from Financing</t>
  </si>
  <si>
    <t>Net Cash Flow</t>
  </si>
  <si>
    <r>
      <t xml:space="preserve">Cost of Goods Sold </t>
    </r>
    <r>
      <rPr>
        <vertAlign val="superscript"/>
        <sz val="10"/>
        <rFont val="Arial"/>
        <family val="2"/>
      </rPr>
      <t>(1)</t>
    </r>
  </si>
  <si>
    <t>Historical Variables and Assumptions for Projections</t>
  </si>
  <si>
    <t>Historical Variables and Drivers</t>
  </si>
  <si>
    <t>Assumptions for Projections</t>
  </si>
  <si>
    <t>Historical Financial Statements</t>
  </si>
  <si>
    <t>Projected Financial Statements</t>
  </si>
  <si>
    <t>Frozen Food Co. - Financial Model - Working Version</t>
  </si>
  <si>
    <t>Financial Modeling Instructions</t>
  </si>
  <si>
    <t>Assumptions</t>
  </si>
  <si>
    <r>
      <t>Revenue</t>
    </r>
    <r>
      <rPr>
        <sz val="10"/>
        <rFont val="Arial"/>
        <family val="2"/>
      </rPr>
      <t xml:space="preserve">  - Assume 5% growth rate in each year of the forecast period.</t>
    </r>
  </si>
  <si>
    <r>
      <t>COGS as % of Sales</t>
    </r>
    <r>
      <rPr>
        <sz val="10"/>
        <rFont val="Arial"/>
        <family val="2"/>
      </rPr>
      <t xml:space="preserve"> - Assume 40% for each year of the forecast period.</t>
    </r>
  </si>
  <si>
    <r>
      <t>Depreciation % as of Gross P,P&amp;E</t>
    </r>
    <r>
      <rPr>
        <sz val="10"/>
        <rFont val="Arial"/>
        <family val="2"/>
      </rPr>
      <t xml:space="preserve"> - Assume 2% for each year of the forecast period.  NOTE that Gross PP&amp;E will</t>
    </r>
  </si>
  <si>
    <t>initially be $0, but Depreciation will automatically calculate once Gross PP&amp;E is filled in later.</t>
  </si>
  <si>
    <r>
      <t>Amortization</t>
    </r>
    <r>
      <rPr>
        <sz val="10"/>
        <rFont val="Arial"/>
        <family val="2"/>
      </rPr>
      <t xml:space="preserve"> - No Amortization (enter $0 for each year).</t>
    </r>
  </si>
  <si>
    <r>
      <t>SG&amp;A as % of Sales</t>
    </r>
    <r>
      <rPr>
        <sz val="10"/>
        <rFont val="Arial"/>
        <family val="2"/>
      </rPr>
      <t xml:space="preserve"> - Assume 30% for each year of the forecast period.</t>
    </r>
  </si>
  <si>
    <r>
      <t>Other Income (Expenses)</t>
    </r>
    <r>
      <rPr>
        <sz val="10"/>
        <rFont val="Arial"/>
        <family val="2"/>
      </rPr>
      <t xml:space="preserve"> - Assume $0 million for each year of the forecast period.</t>
    </r>
  </si>
  <si>
    <r>
      <t>Tax Rate</t>
    </r>
    <r>
      <rPr>
        <sz val="10"/>
        <rFont val="Arial"/>
        <family val="2"/>
      </rPr>
      <t xml:space="preserve"> - Assume 40% for each year of the forecast period.</t>
    </r>
  </si>
  <si>
    <r>
      <t>Days Accounts Receivable</t>
    </r>
    <r>
      <rPr>
        <sz val="10"/>
        <rFont val="Arial"/>
        <family val="2"/>
      </rPr>
      <t xml:space="preserve"> - Assume 30 days for each year of the forecast period.</t>
    </r>
  </si>
  <si>
    <r>
      <t>Days Inventory</t>
    </r>
    <r>
      <rPr>
        <sz val="10"/>
        <rFont val="Arial"/>
        <family val="2"/>
      </rPr>
      <t xml:space="preserve"> - Assume 45 days for each year of the forecast period.</t>
    </r>
  </si>
  <si>
    <r>
      <t>Other Current Assets</t>
    </r>
    <r>
      <rPr>
        <sz val="10"/>
        <rFont val="Arial"/>
        <family val="2"/>
      </rPr>
      <t xml:space="preserve"> - Assume $1.0 million for each year of the forecast period.</t>
    </r>
  </si>
  <si>
    <r>
      <t>Amortization of Goodwill</t>
    </r>
    <r>
      <rPr>
        <sz val="10"/>
        <rFont val="Arial"/>
        <family val="2"/>
      </rPr>
      <t xml:space="preserve"> - Assume $0 million for each year of the forecast period.</t>
    </r>
  </si>
  <si>
    <r>
      <t>Capex as % of Sales</t>
    </r>
    <r>
      <rPr>
        <sz val="10"/>
        <rFont val="Arial"/>
        <family val="2"/>
      </rPr>
      <t xml:space="preserve"> - Assume 5% for each year of the forecast period.</t>
    </r>
  </si>
  <si>
    <r>
      <t>Asset Disposition</t>
    </r>
    <r>
      <rPr>
        <sz val="10"/>
        <rFont val="Arial"/>
        <family val="2"/>
      </rPr>
      <t xml:space="preserve"> - Assume $0 for each year of the forecast period.</t>
    </r>
  </si>
  <si>
    <r>
      <t>Days Payable</t>
    </r>
    <r>
      <rPr>
        <sz val="10"/>
        <rFont val="Arial"/>
        <family val="2"/>
      </rPr>
      <t xml:space="preserve"> - Assume 50 Days for each year of the forecast period.</t>
    </r>
  </si>
  <si>
    <r>
      <t>Accrued Liabilities as % of COGS</t>
    </r>
    <r>
      <rPr>
        <sz val="10"/>
        <rFont val="Arial"/>
        <family val="2"/>
      </rPr>
      <t xml:space="preserve"> - Assume 3% for each year of the forecast period.</t>
    </r>
  </si>
  <si>
    <r>
      <t>Other Current Liabilities as a % of COGS</t>
    </r>
    <r>
      <rPr>
        <sz val="10"/>
        <rFont val="Arial"/>
        <family val="2"/>
      </rPr>
      <t xml:space="preserve"> - Assume 2% for each year of the forecast period.</t>
    </r>
  </si>
  <si>
    <r>
      <t>Other Liabilities</t>
    </r>
    <r>
      <rPr>
        <sz val="10"/>
        <rFont val="Arial"/>
        <family val="2"/>
      </rPr>
      <t xml:space="preserve"> - Assume $2 million for each year of the forecast period.</t>
    </r>
  </si>
  <si>
    <r>
      <t>Common Stock</t>
    </r>
    <r>
      <rPr>
        <sz val="10"/>
        <rFont val="Arial"/>
        <family val="2"/>
      </rPr>
      <t xml:space="preserve"> - Assume $10 million for each year of the forecast period.</t>
    </r>
  </si>
  <si>
    <r>
      <t>LIBOR %</t>
    </r>
    <r>
      <rPr>
        <sz val="10"/>
        <rFont val="Arial"/>
        <family val="2"/>
      </rPr>
      <t xml:space="preserve"> (</t>
    </r>
    <r>
      <rPr>
        <u/>
        <sz val="10"/>
        <rFont val="Arial"/>
        <family val="2"/>
      </rPr>
      <t>L</t>
    </r>
    <r>
      <rPr>
        <sz val="10"/>
        <rFont val="Arial"/>
        <family val="2"/>
      </rPr>
      <t xml:space="preserve">ondon </t>
    </r>
    <r>
      <rPr>
        <u/>
        <sz val="10"/>
        <rFont val="Arial"/>
        <family val="2"/>
      </rPr>
      <t>I</t>
    </r>
    <r>
      <rPr>
        <sz val="10"/>
        <rFont val="Arial"/>
        <family val="2"/>
      </rPr>
      <t>nter</t>
    </r>
    <r>
      <rPr>
        <u/>
        <sz val="10"/>
        <rFont val="Arial"/>
        <family val="2"/>
      </rPr>
      <t>B</t>
    </r>
    <r>
      <rPr>
        <sz val="10"/>
        <rFont val="Arial"/>
        <family val="2"/>
      </rPr>
      <t xml:space="preserve">ank </t>
    </r>
    <r>
      <rPr>
        <u/>
        <sz val="10"/>
        <rFont val="Arial"/>
        <family val="2"/>
      </rPr>
      <t>O</t>
    </r>
    <r>
      <rPr>
        <sz val="10"/>
        <rFont val="Arial"/>
        <family val="2"/>
      </rPr>
      <t xml:space="preserve">ffered </t>
    </r>
    <r>
      <rPr>
        <u/>
        <sz val="10"/>
        <rFont val="Arial"/>
        <family val="2"/>
      </rPr>
      <t>R</t>
    </r>
    <r>
      <rPr>
        <sz val="10"/>
        <rFont val="Arial"/>
        <family val="2"/>
      </rPr>
      <t>ate) - It will increase 25 basis points (0.25%) every year after 2016.</t>
    </r>
  </si>
  <si>
    <r>
      <t>Interest Earned on Cash</t>
    </r>
    <r>
      <rPr>
        <sz val="10"/>
        <rFont val="Arial"/>
        <family val="2"/>
      </rPr>
      <t xml:space="preserve"> - It will increase 25 basis points every year after 2016.</t>
    </r>
  </si>
  <si>
    <r>
      <t>Revolver Interest Rate</t>
    </r>
    <r>
      <rPr>
        <sz val="10"/>
        <rFont val="Arial"/>
        <family val="2"/>
      </rPr>
      <t xml:space="preserve"> - Assume Libor + 2.0%</t>
    </r>
  </si>
  <si>
    <r>
      <t>Term Loan Interest Rate</t>
    </r>
    <r>
      <rPr>
        <sz val="10"/>
        <rFont val="Arial"/>
        <family val="2"/>
      </rPr>
      <t xml:space="preserve"> - Assume Libor + 2.5%</t>
    </r>
  </si>
  <si>
    <r>
      <rPr>
        <u/>
        <sz val="10"/>
        <rFont val="Arial"/>
        <family val="2"/>
      </rPr>
      <t>Unsecured Debt Interest Rate</t>
    </r>
    <r>
      <rPr>
        <sz val="10"/>
        <rFont val="Arial"/>
        <family val="2"/>
      </rPr>
      <t xml:space="preserve"> - Assume 12.0% Interest Rate</t>
    </r>
  </si>
  <si>
    <r>
      <t>Term Loan Amortization</t>
    </r>
    <r>
      <rPr>
        <sz val="10"/>
        <rFont val="Arial"/>
        <family val="2"/>
      </rPr>
      <t xml:space="preserve"> - Assume $20 million principal paydown (amortization) per year during the forecast period.</t>
    </r>
  </si>
  <si>
    <r>
      <t>Unsecured Debt Amortization</t>
    </r>
    <r>
      <rPr>
        <sz val="10"/>
        <rFont val="Arial"/>
        <family val="2"/>
      </rPr>
      <t xml:space="preserve"> - Assume no paydown in principal during any year of the forecast period.</t>
    </r>
  </si>
  <si>
    <t>Integrated Financial Projections (Follow the Assumptions Page to Determine How to Calculate These Figures)</t>
  </si>
  <si>
    <t>Calculate the relevant data and margins for each line item, using the relevant assumptions from the Assumptions page.</t>
  </si>
  <si>
    <t xml:space="preserve">Link the Interest Expense and Interest Income line items to the corresponding line items at the bottom of the debt schedule.  </t>
  </si>
  <si>
    <r>
      <t xml:space="preserve">  NOTE: Until the entire model is complete, the </t>
    </r>
    <r>
      <rPr>
        <b/>
        <i/>
        <u/>
        <sz val="10"/>
        <rFont val="Arial"/>
        <family val="2"/>
      </rPr>
      <t>values</t>
    </r>
    <r>
      <rPr>
        <b/>
        <i/>
        <sz val="10"/>
        <rFont val="Arial"/>
        <family val="2"/>
      </rPr>
      <t xml:space="preserve"> in these cells will be incorrect, but the </t>
    </r>
    <r>
      <rPr>
        <b/>
        <i/>
        <u/>
        <sz val="10"/>
        <rFont val="Arial"/>
        <family val="2"/>
      </rPr>
      <t>links</t>
    </r>
    <r>
      <rPr>
        <b/>
        <i/>
        <sz val="10"/>
        <rFont val="Arial"/>
        <family val="2"/>
      </rPr>
      <t xml:space="preserve"> will be correct (we need to </t>
    </r>
  </si>
  <si>
    <t xml:space="preserve">  calculate the debt amounts and create a "circular" model).</t>
  </si>
  <si>
    <t>Link Cash to the 'Ending Cash' line item at the bottom of the Cash Flow Statement.  As with the Interest Expense and Interest Income line items,</t>
  </si>
  <si>
    <t xml:space="preserve">  the value in the Cash cell will be incorrect until the model is complete, but the link will be correct.</t>
  </si>
  <si>
    <t xml:space="preserve">For AR, Inventory, and AP, you'll need to use the respective turnover days assumptions and formulas to back in to each figure.  </t>
  </si>
  <si>
    <t xml:space="preserve">  For example, the formula for AR days = AR/Sales * 360,  If you have values only for sales and AR days, you can use algebra to calculate what AR </t>
  </si>
  <si>
    <t xml:space="preserve">  would be [AR = (AR Days * Sales)/360].</t>
  </si>
  <si>
    <t>For Other Current Assets, Other Current Liabilities, and Other Liabilities, simply link back to the corresponding assumptions on the Assumptions page.</t>
  </si>
  <si>
    <t>Gross PP&amp;E is calculated by adding this year's Capex (from the Cash Flow Statement) to the prior year's Gross PP&amp;E figure, and deducting asset dispositions.</t>
  </si>
  <si>
    <t xml:space="preserve">  As with Interest Expense, Interest Income, and Cash, the value in the Gross PP&amp;E cell will be incorrect until capex is calculated in the CF statement, </t>
  </si>
  <si>
    <t xml:space="preserve">  but the link will be correct.</t>
  </si>
  <si>
    <t>Accumulated Depreciation is calculated by adding the current year's depreciation expense to the prior year's Accumulated Depreciation figure.</t>
  </si>
  <si>
    <t>Goodwill will remain unchanged throughout the forecast period (there will be no deductions or additions to goodwill in any year), per the Assumptions page.</t>
  </si>
  <si>
    <t xml:space="preserve">Link all the debt balances to the respecting ending balances on the Debt and Interest Schedule (e.g. for Revolving Credit Facility, you'll link to the 'Ending Revolver </t>
  </si>
  <si>
    <t xml:space="preserve">  Balance' line in the Debt Schedule).  These cell values will be incorrect until the Debt Schedule has been completed, but the links will be correct.</t>
  </si>
  <si>
    <t>Retained Earnings is calculated by adding this year's Net Income to the prior year's Retained Earnings ending balance, and subtracting any dividends (none in this model).</t>
  </si>
  <si>
    <t>Common Stock will remain unchanged throughout the forecast period.</t>
  </si>
  <si>
    <t>Net Income and Depreciation Expense should be sourced from the Income Statement.</t>
  </si>
  <si>
    <t xml:space="preserve">Working Capital - Remember that year-over-year increases in asset accounts (i.e. AR, Inventory) are represented as uses (i.e. negative values) of cash on the cash flow </t>
  </si>
  <si>
    <t xml:space="preserve">  statement, and vice versa for liabilities.</t>
  </si>
  <si>
    <t>Capex and Asset Dispositions calculated using the appropriate assumption per the Assumptions page.</t>
  </si>
  <si>
    <t>For changes in items listed in the Financing section (Revolver, Term Loan, etc.), link to changes in these accounts on the Balance Sheet.</t>
  </si>
  <si>
    <t>Change in Cash is equal to the sum of Cash from Operations, Cash from Investing, and Cash from Financing.</t>
  </si>
  <si>
    <t>Beginning Cash Position is equal to the prior year's Ending Cash Position.</t>
  </si>
  <si>
    <t>Change in Cash Position is equal to the Total Cash Flow line, above.</t>
  </si>
  <si>
    <t>Beginning Revolver Balance is equal to the prior year's Ending Revolver Balance.</t>
  </si>
  <si>
    <t>Fill in all the sections except for "(Paydown) / Drawdown."  We will do this line together (refer to lecture slides for more details on how this is done).</t>
  </si>
  <si>
    <t>Interest Rates should be linked to the Assumptions page (not hard-coded).</t>
  </si>
  <si>
    <t>Interest Expense should be based on the average balance method (i.e. =average(beginning balance cell,ending balance cell)*interest rate).</t>
  </si>
  <si>
    <t>Beginning Term Loan Balance is equal to the prior year's Ending Term Loan Balance.</t>
  </si>
  <si>
    <t>Paydown will be based on (i.e. linked to) the amortization assumption from the Assumptions page.</t>
  </si>
  <si>
    <t>Beginning Unsecured Debt Balance is equal to the prior year's Ending Unsecured Debt Balance.</t>
  </si>
  <si>
    <t>Interest Expense is the sum of interest on all pieces of debt (revolver, term loan, unsecured debt).</t>
  </si>
  <si>
    <t>Interest Income on Cash is calculated using the average balance method (i.e. =average(beginning balance cell,ending balance cell)*interest rate).</t>
  </si>
  <si>
    <t>If your model has been constructed properly, it should "balance" - the check figures in each year at the bottom of your balance sheet should be "0".</t>
  </si>
  <si>
    <t>Please go to "Tools", "Options", "Calculation".  In the "Calculation" tab, please set it to "manual" calculation and "iteration" of 1,000.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</si>
</sst>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\A"/>
    <numFmt numFmtId="165" formatCode="0000\P"/>
    <numFmt numFmtId="166" formatCode="&quot;$&quot;#,##0"/>
    <numFmt numFmtId="167" formatCode="0.0%"/>
    <numFmt numFmtId="168" formatCode="&quot;$&quot;#,##0.0_);\(&quot;$&quot;#,##0.0\)"/>
    <numFmt numFmtId="169" formatCode="&quot;$&quot;#,##0.0"/>
    <numFmt numFmtId="170" formatCode="_(&quot;$&quot;* #,##0.0_);_(&quot;$&quot;* \(#,##0.0\);_(&quot;$&quot;* &quot;-&quot;??_);_(@_)"/>
    <numFmt numFmtId="171" formatCode="&quot;LIBOR +&quot;\ 0.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5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7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2" xfId="0" applyFont="1" applyBorder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9" fontId="4" fillId="0" borderId="0" xfId="3" applyFont="1" applyFill="1" applyAlignment="1">
      <alignment horizontal="center"/>
    </xf>
    <xf numFmtId="167" fontId="1" fillId="0" borderId="0" xfId="3" applyNumberFormat="1" applyFont="1" applyAlignment="1">
      <alignment horizontal="center"/>
    </xf>
    <xf numFmtId="167" fontId="1" fillId="0" borderId="3" xfId="3" applyNumberFormat="1" applyFont="1" applyBorder="1" applyAlignment="1">
      <alignment horizontal="center"/>
    </xf>
    <xf numFmtId="167" fontId="8" fillId="0" borderId="0" xfId="3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1" fillId="0" borderId="3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3" xfId="0" applyNumberFormat="1" applyFont="1" applyFill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6" fontId="1" fillId="0" borderId="0" xfId="0" applyNumberFormat="1" applyFont="1"/>
    <xf numFmtId="0" fontId="8" fillId="0" borderId="0" xfId="0" applyFont="1"/>
    <xf numFmtId="37" fontId="1" fillId="0" borderId="0" xfId="1" applyNumberFormat="1" applyFont="1" applyAlignment="1">
      <alignment horizontal="center"/>
    </xf>
    <xf numFmtId="37" fontId="1" fillId="0" borderId="3" xfId="1" applyNumberFormat="1" applyFont="1" applyBorder="1" applyAlignment="1">
      <alignment horizontal="center"/>
    </xf>
    <xf numFmtId="37" fontId="8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167" fontId="1" fillId="0" borderId="0" xfId="3" applyNumberFormat="1" applyFont="1" applyFill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8" fillId="0" borderId="0" xfId="0" applyNumberFormat="1" applyFont="1" applyAlignment="1">
      <alignment horizontal="center"/>
    </xf>
    <xf numFmtId="0" fontId="1" fillId="0" borderId="3" xfId="0" applyFont="1" applyBorder="1" applyAlignment="1"/>
    <xf numFmtId="0" fontId="9" fillId="0" borderId="0" xfId="0" applyFont="1"/>
    <xf numFmtId="9" fontId="1" fillId="0" borderId="0" xfId="0" applyNumberFormat="1" applyFont="1" applyAlignment="1"/>
    <xf numFmtId="0" fontId="8" fillId="0" borderId="0" xfId="0" applyFont="1" applyFill="1"/>
    <xf numFmtId="10" fontId="8" fillId="0" borderId="0" xfId="0" applyNumberFormat="1" applyFont="1" applyFill="1" applyAlignment="1"/>
    <xf numFmtId="10" fontId="8" fillId="0" borderId="3" xfId="0" applyNumberFormat="1" applyFont="1" applyFill="1" applyBorder="1" applyAlignment="1"/>
    <xf numFmtId="10" fontId="10" fillId="0" borderId="0" xfId="0" applyNumberFormat="1" applyFont="1" applyFill="1"/>
    <xf numFmtId="10" fontId="1" fillId="0" borderId="0" xfId="0" applyNumberFormat="1" applyFont="1" applyFill="1" applyAlignment="1"/>
    <xf numFmtId="10" fontId="1" fillId="0" borderId="3" xfId="0" applyNumberFormat="1" applyFont="1" applyFill="1" applyBorder="1" applyAlignment="1"/>
    <xf numFmtId="10" fontId="1" fillId="0" borderId="0" xfId="0" applyNumberFormat="1" applyFont="1" applyAlignment="1"/>
    <xf numFmtId="10" fontId="1" fillId="0" borderId="3" xfId="0" applyNumberFormat="1" applyFont="1" applyBorder="1" applyAlignment="1"/>
    <xf numFmtId="10" fontId="10" fillId="0" borderId="0" xfId="0" applyNumberFormat="1" applyFont="1"/>
    <xf numFmtId="9" fontId="10" fillId="0" borderId="0" xfId="0" applyNumberFormat="1" applyFont="1"/>
    <xf numFmtId="170" fontId="1" fillId="0" borderId="0" xfId="2" applyNumberFormat="1" applyFont="1" applyAlignment="1"/>
    <xf numFmtId="170" fontId="1" fillId="0" borderId="3" xfId="2" applyNumberFormat="1" applyFont="1" applyBorder="1" applyAlignment="1"/>
    <xf numFmtId="170" fontId="8" fillId="0" borderId="0" xfId="2" applyNumberFormat="1" applyFont="1" applyAlignment="1"/>
    <xf numFmtId="0" fontId="1" fillId="0" borderId="5" xfId="0" applyFont="1" applyBorder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1" fillId="0" borderId="0" xfId="0" applyFont="1"/>
    <xf numFmtId="0" fontId="1" fillId="0" borderId="0" xfId="0" applyFont="1" applyBorder="1"/>
    <xf numFmtId="0" fontId="12" fillId="0" borderId="0" xfId="0" applyFont="1"/>
    <xf numFmtId="0" fontId="1" fillId="0" borderId="1" xfId="0" applyFont="1" applyBorder="1"/>
    <xf numFmtId="164" fontId="7" fillId="0" borderId="6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7" fontId="4" fillId="0" borderId="0" xfId="3" applyNumberFormat="1" applyFont="1" applyAlignment="1">
      <alignment horizontal="center"/>
    </xf>
    <xf numFmtId="167" fontId="4" fillId="0" borderId="6" xfId="3" applyNumberFormat="1" applyFont="1" applyBorder="1" applyAlignment="1">
      <alignment horizontal="center"/>
    </xf>
    <xf numFmtId="168" fontId="1" fillId="0" borderId="6" xfId="0" applyNumberFormat="1" applyFont="1" applyFill="1" applyBorder="1" applyAlignment="1">
      <alignment horizontal="center"/>
    </xf>
    <xf numFmtId="0" fontId="4" fillId="0" borderId="2" xfId="0" applyFont="1" applyBorder="1"/>
    <xf numFmtId="168" fontId="4" fillId="0" borderId="2" xfId="3" applyNumberFormat="1" applyFont="1" applyBorder="1" applyAlignment="1">
      <alignment horizontal="center"/>
    </xf>
    <xf numFmtId="168" fontId="4" fillId="0" borderId="7" xfId="3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 applyBorder="1"/>
    <xf numFmtId="167" fontId="4" fillId="0" borderId="0" xfId="3" applyNumberFormat="1" applyFont="1" applyBorder="1" applyAlignment="1">
      <alignment horizontal="center"/>
    </xf>
    <xf numFmtId="167" fontId="4" fillId="0" borderId="2" xfId="3" applyNumberFormat="1" applyFont="1" applyBorder="1" applyAlignment="1">
      <alignment horizontal="center"/>
    </xf>
    <xf numFmtId="167" fontId="4" fillId="0" borderId="7" xfId="3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14" fillId="0" borderId="0" xfId="0" applyFont="1"/>
    <xf numFmtId="168" fontId="9" fillId="0" borderId="0" xfId="0" applyNumberFormat="1" applyFont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0" fontId="15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 applyFill="1" applyBorder="1"/>
    <xf numFmtId="168" fontId="1" fillId="0" borderId="2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5" fontId="1" fillId="0" borderId="0" xfId="0" applyNumberFormat="1" applyFont="1" applyAlignment="1">
      <alignment horizontal="center"/>
    </xf>
    <xf numFmtId="0" fontId="5" fillId="0" borderId="0" xfId="0" applyFont="1" applyBorder="1"/>
    <xf numFmtId="168" fontId="1" fillId="0" borderId="10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5" fontId="1" fillId="0" borderId="6" xfId="0" applyNumberFormat="1" applyFont="1" applyBorder="1" applyAlignment="1">
      <alignment horizontal="center"/>
    </xf>
    <xf numFmtId="0" fontId="5" fillId="0" borderId="0" xfId="0" applyFont="1" applyFill="1" applyBorder="1"/>
    <xf numFmtId="0" fontId="7" fillId="0" borderId="0" xfId="0" applyFont="1" applyFill="1" applyBorder="1"/>
    <xf numFmtId="168" fontId="1" fillId="0" borderId="2" xfId="0" applyNumberFormat="1" applyFont="1" applyFill="1" applyBorder="1" applyAlignment="1">
      <alignment horizontal="center"/>
    </xf>
    <xf numFmtId="168" fontId="1" fillId="0" borderId="7" xfId="0" applyNumberFormat="1" applyFont="1" applyFill="1" applyBorder="1" applyAlignment="1">
      <alignment horizontal="center"/>
    </xf>
    <xf numFmtId="0" fontId="4" fillId="0" borderId="2" xfId="0" applyFont="1" applyFill="1" applyBorder="1"/>
    <xf numFmtId="168" fontId="4" fillId="0" borderId="2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0" fontId="4" fillId="0" borderId="0" xfId="0" applyFont="1" applyFill="1"/>
    <xf numFmtId="168" fontId="4" fillId="0" borderId="0" xfId="0" applyNumberFormat="1" applyFont="1" applyAlignment="1">
      <alignment horizontal="center"/>
    </xf>
    <xf numFmtId="168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6" xfId="0" applyFont="1" applyBorder="1"/>
    <xf numFmtId="168" fontId="1" fillId="0" borderId="0" xfId="0" applyNumberFormat="1" applyFont="1"/>
    <xf numFmtId="5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1" fillId="0" borderId="2" xfId="0" applyFont="1" applyFill="1" applyBorder="1"/>
    <xf numFmtId="168" fontId="4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167" fontId="1" fillId="0" borderId="6" xfId="3" applyNumberFormat="1" applyFont="1" applyBorder="1" applyAlignment="1">
      <alignment horizontal="center"/>
    </xf>
    <xf numFmtId="10" fontId="1" fillId="0" borderId="0" xfId="3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6" xfId="0" applyNumberFormat="1" applyFont="1" applyBorder="1" applyAlignment="1">
      <alignment horizontal="center"/>
    </xf>
    <xf numFmtId="9" fontId="1" fillId="0" borderId="0" xfId="3" applyFont="1" applyAlignment="1">
      <alignment horizontal="center"/>
    </xf>
    <xf numFmtId="9" fontId="1" fillId="0" borderId="6" xfId="3" applyFont="1" applyBorder="1" applyAlignment="1">
      <alignment horizontal="center"/>
    </xf>
    <xf numFmtId="168" fontId="1" fillId="0" borderId="6" xfId="0" applyNumberFormat="1" applyFont="1" applyBorder="1"/>
    <xf numFmtId="168" fontId="1" fillId="0" borderId="5" xfId="0" applyNumberFormat="1" applyFont="1" applyBorder="1" applyAlignment="1">
      <alignment horizontal="center"/>
    </xf>
    <xf numFmtId="168" fontId="1" fillId="0" borderId="9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4" fontId="16" fillId="2" borderId="2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Continuous"/>
    </xf>
    <xf numFmtId="0" fontId="16" fillId="2" borderId="12" xfId="0" applyFont="1" applyFill="1" applyBorder="1" applyAlignment="1">
      <alignment horizontal="centerContinuous"/>
    </xf>
    <xf numFmtId="165" fontId="16" fillId="2" borderId="15" xfId="0" applyNumberFormat="1" applyFont="1" applyFill="1" applyBorder="1" applyAlignment="1">
      <alignment horizontal="center"/>
    </xf>
    <xf numFmtId="165" fontId="16" fillId="2" borderId="16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Continuous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centerContinuous"/>
    </xf>
    <xf numFmtId="171" fontId="10" fillId="0" borderId="0" xfId="0" applyNumberFormat="1" applyFont="1" applyAlignment="1">
      <alignment horizontal="right"/>
    </xf>
    <xf numFmtId="0" fontId="19" fillId="0" borderId="5" xfId="0" applyFont="1" applyBorder="1"/>
    <xf numFmtId="0" fontId="0" fillId="0" borderId="5" xfId="0" applyBorder="1"/>
    <xf numFmtId="0" fontId="20" fillId="0" borderId="0" xfId="0" applyFont="1"/>
    <xf numFmtId="0" fontId="19" fillId="0" borderId="0" xfId="0" applyFont="1"/>
    <xf numFmtId="0" fontId="1" fillId="0" borderId="3" xfId="0" applyFont="1" applyBorder="1"/>
    <xf numFmtId="9" fontId="1" fillId="0" borderId="0" xfId="0" applyNumberFormat="1" applyFont="1"/>
    <xf numFmtId="10" fontId="8" fillId="0" borderId="0" xfId="0" applyNumberFormat="1" applyFont="1"/>
    <xf numFmtId="10" fontId="8" fillId="0" borderId="3" xfId="0" applyNumberFormat="1" applyFont="1" applyBorder="1"/>
    <xf numFmtId="10" fontId="1" fillId="0" borderId="0" xfId="0" applyNumberFormat="1" applyFont="1"/>
    <xf numFmtId="10" fontId="1" fillId="0" borderId="3" xfId="0" applyNumberFormat="1" applyFont="1" applyBorder="1"/>
    <xf numFmtId="0" fontId="1" fillId="0" borderId="4" xfId="0" applyFont="1" applyBorder="1"/>
  </cellXfs>
  <cellStyles count="2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ube/Documents/IBI/Flagship%20two%20weekend/RA%20Materials/Financial%20Model%20(Solution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Model"/>
    </sheetNames>
    <sheetDataSet>
      <sheetData sheetId="0">
        <row r="8">
          <cell r="H8">
            <v>0.05</v>
          </cell>
          <cell r="I8">
            <v>0.05</v>
          </cell>
          <cell r="J8">
            <v>0.05</v>
          </cell>
          <cell r="K8">
            <v>0.05</v>
          </cell>
          <cell r="L8">
            <v>0.05</v>
          </cell>
        </row>
        <row r="10">
          <cell r="H10">
            <v>0.4</v>
          </cell>
          <cell r="I10">
            <v>0.4</v>
          </cell>
          <cell r="J10">
            <v>0.4</v>
          </cell>
          <cell r="K10">
            <v>0.4</v>
          </cell>
          <cell r="L10">
            <v>0.4</v>
          </cell>
        </row>
        <row r="12">
          <cell r="H12">
            <v>0.02</v>
          </cell>
          <cell r="I12">
            <v>0.02</v>
          </cell>
          <cell r="J12">
            <v>0.02</v>
          </cell>
          <cell r="K12">
            <v>0.02</v>
          </cell>
          <cell r="L12">
            <v>0.02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5">
          <cell r="H15">
            <v>0.3</v>
          </cell>
          <cell r="I15">
            <v>0.3</v>
          </cell>
          <cell r="J15">
            <v>0.3</v>
          </cell>
          <cell r="K15">
            <v>0.3</v>
          </cell>
          <cell r="L15">
            <v>0.3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9">
          <cell r="H19">
            <v>0.4</v>
          </cell>
          <cell r="I19">
            <v>0.4</v>
          </cell>
          <cell r="J19">
            <v>0.4</v>
          </cell>
          <cell r="K19">
            <v>0.4</v>
          </cell>
          <cell r="L19">
            <v>0.4</v>
          </cell>
        </row>
        <row r="22">
          <cell r="H22">
            <v>30</v>
          </cell>
          <cell r="I22">
            <v>30</v>
          </cell>
          <cell r="J22">
            <v>30</v>
          </cell>
          <cell r="K22">
            <v>30</v>
          </cell>
          <cell r="L22">
            <v>30</v>
          </cell>
        </row>
        <row r="23">
          <cell r="H23">
            <v>45</v>
          </cell>
          <cell r="I23">
            <v>45</v>
          </cell>
          <cell r="J23">
            <v>45</v>
          </cell>
          <cell r="K23">
            <v>45</v>
          </cell>
          <cell r="L23">
            <v>45</v>
          </cell>
        </row>
        <row r="24"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7">
          <cell r="H27">
            <v>0.05</v>
          </cell>
          <cell r="I27">
            <v>0.05</v>
          </cell>
          <cell r="J27">
            <v>0.05</v>
          </cell>
          <cell r="K27">
            <v>0.05</v>
          </cell>
          <cell r="L27">
            <v>0.05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</row>
        <row r="30"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</row>
        <row r="31">
          <cell r="H31">
            <v>0.02</v>
          </cell>
          <cell r="I31">
            <v>0.02</v>
          </cell>
          <cell r="J31">
            <v>0.02</v>
          </cell>
          <cell r="K31">
            <v>0.02</v>
          </cell>
          <cell r="L31">
            <v>0.02</v>
          </cell>
        </row>
        <row r="32">
          <cell r="H32">
            <v>2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</row>
        <row r="34">
          <cell r="H34">
            <v>10</v>
          </cell>
          <cell r="I34">
            <v>10</v>
          </cell>
          <cell r="J34">
            <v>10</v>
          </cell>
          <cell r="K34">
            <v>10</v>
          </cell>
          <cell r="L34">
            <v>10</v>
          </cell>
        </row>
        <row r="38">
          <cell r="C38">
            <v>2.5000000000000001E-3</v>
          </cell>
          <cell r="D38">
            <v>1.25E-3</v>
          </cell>
          <cell r="E38">
            <v>1.25E-3</v>
          </cell>
          <cell r="F38">
            <v>2.5000000000000001E-3</v>
          </cell>
          <cell r="H38">
            <v>7.4999999999999997E-3</v>
          </cell>
          <cell r="I38">
            <v>0.01</v>
          </cell>
          <cell r="J38">
            <v>1.2500000000000001E-2</v>
          </cell>
          <cell r="K38">
            <v>1.4999999999999999E-2</v>
          </cell>
          <cell r="L38">
            <v>1.7500000000000002E-2</v>
          </cell>
        </row>
        <row r="40">
          <cell r="H40">
            <v>3.2500000000000001E-2</v>
          </cell>
          <cell r="I40">
            <v>0.04</v>
          </cell>
          <cell r="J40">
            <v>4.4999999999999998E-2</v>
          </cell>
          <cell r="K40">
            <v>0.05</v>
          </cell>
          <cell r="L40">
            <v>5.5000000000000007E-2</v>
          </cell>
        </row>
        <row r="41">
          <cell r="H41">
            <v>3.7500000000000006E-2</v>
          </cell>
          <cell r="I41">
            <v>4.4999999999999998E-2</v>
          </cell>
          <cell r="J41">
            <v>0.05</v>
          </cell>
          <cell r="K41">
            <v>5.5E-2</v>
          </cell>
          <cell r="L41">
            <v>6.0000000000000005E-2</v>
          </cell>
        </row>
        <row r="42">
          <cell r="H42">
            <v>0.12</v>
          </cell>
          <cell r="I42">
            <v>0.12</v>
          </cell>
          <cell r="J42">
            <v>0.12</v>
          </cell>
          <cell r="K42">
            <v>0.12</v>
          </cell>
          <cell r="L42">
            <v>0.12</v>
          </cell>
        </row>
        <row r="44">
          <cell r="H44">
            <v>20</v>
          </cell>
          <cell r="I44">
            <v>20</v>
          </cell>
          <cell r="J44">
            <v>20</v>
          </cell>
          <cell r="K44">
            <v>20</v>
          </cell>
          <cell r="L44">
            <v>20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</sheetData>
      <sheetData sheetId="1">
        <row r="7">
          <cell r="C7">
            <v>170</v>
          </cell>
          <cell r="D7">
            <v>180</v>
          </cell>
          <cell r="E7">
            <v>190</v>
          </cell>
          <cell r="F7">
            <v>200</v>
          </cell>
          <cell r="G7">
            <v>210</v>
          </cell>
          <cell r="H7">
            <v>220.5</v>
          </cell>
          <cell r="I7">
            <v>231.52500000000001</v>
          </cell>
          <cell r="J7">
            <v>243.10125000000002</v>
          </cell>
          <cell r="K7">
            <v>255.25631250000004</v>
          </cell>
        </row>
        <row r="8">
          <cell r="B8" t="str">
            <v>na</v>
          </cell>
          <cell r="C8">
            <v>6.25E-2</v>
          </cell>
          <cell r="D8">
            <v>5.8823529411764719E-2</v>
          </cell>
          <cell r="E8">
            <v>5.555555555555558E-2</v>
          </cell>
          <cell r="F8">
            <v>5.2631578947368363E-2</v>
          </cell>
        </row>
        <row r="10">
          <cell r="B10">
            <v>67.2</v>
          </cell>
          <cell r="C10">
            <v>70.55</v>
          </cell>
          <cell r="D10">
            <v>73.8</v>
          </cell>
          <cell r="E10">
            <v>77.899999999999991</v>
          </cell>
          <cell r="F10">
            <v>80</v>
          </cell>
          <cell r="G10">
            <v>84</v>
          </cell>
          <cell r="H10">
            <v>88.2</v>
          </cell>
          <cell r="I10">
            <v>92.610000000000014</v>
          </cell>
          <cell r="J10">
            <v>97.240500000000011</v>
          </cell>
          <cell r="K10">
            <v>102.10252500000001</v>
          </cell>
        </row>
        <row r="11">
          <cell r="B11">
            <v>0.42000000000000004</v>
          </cell>
          <cell r="C11">
            <v>0.41499999999999998</v>
          </cell>
          <cell r="D11">
            <v>0.41</v>
          </cell>
          <cell r="E11">
            <v>0.41</v>
          </cell>
          <cell r="F11">
            <v>0.4</v>
          </cell>
        </row>
        <row r="16">
          <cell r="B16">
            <v>5</v>
          </cell>
          <cell r="C16">
            <v>5</v>
          </cell>
          <cell r="D16">
            <v>5</v>
          </cell>
          <cell r="E16">
            <v>5</v>
          </cell>
          <cell r="F16">
            <v>5</v>
          </cell>
        </row>
        <row r="20">
          <cell r="B20">
            <v>0.3</v>
          </cell>
          <cell r="C20">
            <v>0.3</v>
          </cell>
          <cell r="D20">
            <v>0.3</v>
          </cell>
          <cell r="E20">
            <v>0.3</v>
          </cell>
          <cell r="F20">
            <v>0.3</v>
          </cell>
        </row>
        <row r="33">
          <cell r="B33">
            <v>2</v>
          </cell>
          <cell r="C33">
            <v>0</v>
          </cell>
          <cell r="D33">
            <v>-2</v>
          </cell>
          <cell r="E33">
            <v>1</v>
          </cell>
          <cell r="F33">
            <v>0</v>
          </cell>
        </row>
        <row r="38">
          <cell r="B38">
            <v>0.4</v>
          </cell>
          <cell r="C38">
            <v>0.4</v>
          </cell>
          <cell r="D38">
            <v>0.4</v>
          </cell>
          <cell r="E38">
            <v>0.4</v>
          </cell>
          <cell r="F38">
            <v>0.4</v>
          </cell>
        </row>
        <row r="48">
          <cell r="B48">
            <v>12</v>
          </cell>
          <cell r="C48">
            <v>13</v>
          </cell>
          <cell r="D48">
            <v>14</v>
          </cell>
          <cell r="E48">
            <v>15</v>
          </cell>
          <cell r="F48">
            <v>16</v>
          </cell>
        </row>
        <row r="49">
          <cell r="B49">
            <v>8</v>
          </cell>
          <cell r="C49">
            <v>8.5</v>
          </cell>
          <cell r="D49">
            <v>9</v>
          </cell>
          <cell r="E49">
            <v>9.5</v>
          </cell>
          <cell r="F49">
            <v>10</v>
          </cell>
        </row>
        <row r="50"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</row>
        <row r="53">
          <cell r="B53">
            <v>277.2</v>
          </cell>
          <cell r="C53">
            <v>287.2</v>
          </cell>
          <cell r="D53">
            <v>298.2</v>
          </cell>
          <cell r="E53">
            <v>310.2</v>
          </cell>
          <cell r="F53">
            <v>323.2</v>
          </cell>
          <cell r="G53">
            <v>333.7</v>
          </cell>
          <cell r="H53">
            <v>344.72499999999997</v>
          </cell>
          <cell r="I53">
            <v>356.30124999999998</v>
          </cell>
          <cell r="J53">
            <v>368.45631249999997</v>
          </cell>
          <cell r="K53">
            <v>381.219128125</v>
          </cell>
        </row>
        <row r="62">
          <cell r="B62">
            <v>8.5</v>
          </cell>
          <cell r="C62">
            <v>9</v>
          </cell>
          <cell r="D62">
            <v>9.5</v>
          </cell>
          <cell r="E62">
            <v>10</v>
          </cell>
          <cell r="F62">
            <v>11</v>
          </cell>
        </row>
        <row r="63">
          <cell r="B63">
            <v>2</v>
          </cell>
          <cell r="C63">
            <v>2.1</v>
          </cell>
          <cell r="D63">
            <v>2.2000000000000002</v>
          </cell>
          <cell r="E63">
            <v>2.2999999999999998</v>
          </cell>
          <cell r="F63">
            <v>2.4</v>
          </cell>
        </row>
        <row r="64">
          <cell r="B64">
            <v>1</v>
          </cell>
          <cell r="C64">
            <v>0</v>
          </cell>
          <cell r="D64">
            <v>2</v>
          </cell>
          <cell r="E64">
            <v>1</v>
          </cell>
          <cell r="F64">
            <v>0</v>
          </cell>
        </row>
        <row r="70">
          <cell r="B70">
            <v>1</v>
          </cell>
          <cell r="C70">
            <v>2</v>
          </cell>
          <cell r="D70">
            <v>1</v>
          </cell>
          <cell r="E70">
            <v>0</v>
          </cell>
          <cell r="F70">
            <v>2</v>
          </cell>
        </row>
        <row r="75">
          <cell r="B75">
            <v>10</v>
          </cell>
          <cell r="C75">
            <v>10</v>
          </cell>
          <cell r="D75">
            <v>10</v>
          </cell>
          <cell r="E75">
            <v>10</v>
          </cell>
          <cell r="F75">
            <v>10</v>
          </cell>
        </row>
        <row r="96">
          <cell r="C96">
            <v>-10</v>
          </cell>
          <cell r="D96">
            <v>-11</v>
          </cell>
          <cell r="E96">
            <v>-12</v>
          </cell>
          <cell r="F96">
            <v>-13</v>
          </cell>
        </row>
        <row r="97">
          <cell r="B97" t="str">
            <v>na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A464-7C89-46AC-BF66-602959116ED4}">
  <dimension ref="A1:O100"/>
  <sheetViews>
    <sheetView workbookViewId="0"/>
  </sheetViews>
  <sheetFormatPr defaultRowHeight="12.75" x14ac:dyDescent="0.35"/>
  <cols>
    <col min="1" max="1" width="2.73046875" customWidth="1"/>
    <col min="257" max="257" width="2.73046875" customWidth="1"/>
    <col min="513" max="513" width="2.73046875" customWidth="1"/>
    <col min="769" max="769" width="2.73046875" customWidth="1"/>
    <col min="1025" max="1025" width="2.73046875" customWidth="1"/>
    <col min="1281" max="1281" width="2.73046875" customWidth="1"/>
    <col min="1537" max="1537" width="2.73046875" customWidth="1"/>
    <col min="1793" max="1793" width="2.73046875" customWidth="1"/>
    <col min="2049" max="2049" width="2.73046875" customWidth="1"/>
    <col min="2305" max="2305" width="2.73046875" customWidth="1"/>
    <col min="2561" max="2561" width="2.73046875" customWidth="1"/>
    <col min="2817" max="2817" width="2.73046875" customWidth="1"/>
    <col min="3073" max="3073" width="2.73046875" customWidth="1"/>
    <col min="3329" max="3329" width="2.73046875" customWidth="1"/>
    <col min="3585" max="3585" width="2.73046875" customWidth="1"/>
    <col min="3841" max="3841" width="2.73046875" customWidth="1"/>
    <col min="4097" max="4097" width="2.73046875" customWidth="1"/>
    <col min="4353" max="4353" width="2.73046875" customWidth="1"/>
    <col min="4609" max="4609" width="2.73046875" customWidth="1"/>
    <col min="4865" max="4865" width="2.73046875" customWidth="1"/>
    <col min="5121" max="5121" width="2.73046875" customWidth="1"/>
    <col min="5377" max="5377" width="2.73046875" customWidth="1"/>
    <col min="5633" max="5633" width="2.73046875" customWidth="1"/>
    <col min="5889" max="5889" width="2.73046875" customWidth="1"/>
    <col min="6145" max="6145" width="2.73046875" customWidth="1"/>
    <col min="6401" max="6401" width="2.73046875" customWidth="1"/>
    <col min="6657" max="6657" width="2.73046875" customWidth="1"/>
    <col min="6913" max="6913" width="2.73046875" customWidth="1"/>
    <col min="7169" max="7169" width="2.73046875" customWidth="1"/>
    <col min="7425" max="7425" width="2.73046875" customWidth="1"/>
    <col min="7681" max="7681" width="2.73046875" customWidth="1"/>
    <col min="7937" max="7937" width="2.73046875" customWidth="1"/>
    <col min="8193" max="8193" width="2.73046875" customWidth="1"/>
    <col min="8449" max="8449" width="2.73046875" customWidth="1"/>
    <col min="8705" max="8705" width="2.73046875" customWidth="1"/>
    <col min="8961" max="8961" width="2.73046875" customWidth="1"/>
    <col min="9217" max="9217" width="2.73046875" customWidth="1"/>
    <col min="9473" max="9473" width="2.73046875" customWidth="1"/>
    <col min="9729" max="9729" width="2.73046875" customWidth="1"/>
    <col min="9985" max="9985" width="2.73046875" customWidth="1"/>
    <col min="10241" max="10241" width="2.73046875" customWidth="1"/>
    <col min="10497" max="10497" width="2.73046875" customWidth="1"/>
    <col min="10753" max="10753" width="2.73046875" customWidth="1"/>
    <col min="11009" max="11009" width="2.73046875" customWidth="1"/>
    <col min="11265" max="11265" width="2.73046875" customWidth="1"/>
    <col min="11521" max="11521" width="2.73046875" customWidth="1"/>
    <col min="11777" max="11777" width="2.73046875" customWidth="1"/>
    <col min="12033" max="12033" width="2.73046875" customWidth="1"/>
    <col min="12289" max="12289" width="2.73046875" customWidth="1"/>
    <col min="12545" max="12545" width="2.73046875" customWidth="1"/>
    <col min="12801" max="12801" width="2.73046875" customWidth="1"/>
    <col min="13057" max="13057" width="2.73046875" customWidth="1"/>
    <col min="13313" max="13313" width="2.73046875" customWidth="1"/>
    <col min="13569" max="13569" width="2.73046875" customWidth="1"/>
    <col min="13825" max="13825" width="2.73046875" customWidth="1"/>
    <col min="14081" max="14081" width="2.73046875" customWidth="1"/>
    <col min="14337" max="14337" width="2.73046875" customWidth="1"/>
    <col min="14593" max="14593" width="2.73046875" customWidth="1"/>
    <col min="14849" max="14849" width="2.73046875" customWidth="1"/>
    <col min="15105" max="15105" width="2.73046875" customWidth="1"/>
    <col min="15361" max="15361" width="2.73046875" customWidth="1"/>
    <col min="15617" max="15617" width="2.73046875" customWidth="1"/>
    <col min="15873" max="15873" width="2.73046875" customWidth="1"/>
    <col min="16129" max="16129" width="2.73046875" customWidth="1"/>
  </cols>
  <sheetData>
    <row r="1" spans="1:15" ht="19.149999999999999" thickBot="1" x14ac:dyDescent="0.55000000000000004">
      <c r="A1" s="133" t="s">
        <v>122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3" spans="1:15" ht="13.15" x14ac:dyDescent="0.4">
      <c r="B3" s="74" t="s">
        <v>188</v>
      </c>
    </row>
    <row r="5" spans="1:15" ht="13.15" x14ac:dyDescent="0.4">
      <c r="A5" s="74" t="s">
        <v>123</v>
      </c>
    </row>
    <row r="6" spans="1:15" ht="5.2" customHeight="1" x14ac:dyDescent="0.35"/>
    <row r="7" spans="1:15" ht="12.75" customHeight="1" x14ac:dyDescent="0.35">
      <c r="B7" s="135" t="s">
        <v>90</v>
      </c>
    </row>
    <row r="8" spans="1:15" x14ac:dyDescent="0.35">
      <c r="B8" s="43" t="s">
        <v>124</v>
      </c>
    </row>
    <row r="9" spans="1:15" x14ac:dyDescent="0.35">
      <c r="B9" s="43" t="s">
        <v>125</v>
      </c>
    </row>
    <row r="10" spans="1:15" x14ac:dyDescent="0.35">
      <c r="B10" s="43" t="s">
        <v>126</v>
      </c>
    </row>
    <row r="11" spans="1:15" x14ac:dyDescent="0.35">
      <c r="B11" s="3" t="s">
        <v>127</v>
      </c>
    </row>
    <row r="12" spans="1:15" x14ac:dyDescent="0.35">
      <c r="B12" s="43" t="s">
        <v>128</v>
      </c>
    </row>
    <row r="13" spans="1:15" x14ac:dyDescent="0.35">
      <c r="B13" s="43" t="s">
        <v>129</v>
      </c>
    </row>
    <row r="14" spans="1:15" x14ac:dyDescent="0.35">
      <c r="B14" s="43" t="s">
        <v>130</v>
      </c>
    </row>
    <row r="15" spans="1:15" x14ac:dyDescent="0.35">
      <c r="B15" s="43" t="s">
        <v>131</v>
      </c>
    </row>
    <row r="17" spans="2:2" x14ac:dyDescent="0.35">
      <c r="B17" s="135" t="s">
        <v>27</v>
      </c>
    </row>
    <row r="18" spans="2:2" x14ac:dyDescent="0.35">
      <c r="B18" s="43" t="s">
        <v>132</v>
      </c>
    </row>
    <row r="19" spans="2:2" x14ac:dyDescent="0.35">
      <c r="B19" s="43" t="s">
        <v>133</v>
      </c>
    </row>
    <row r="20" spans="2:2" x14ac:dyDescent="0.35">
      <c r="B20" s="43" t="s">
        <v>134</v>
      </c>
    </row>
    <row r="21" spans="2:2" x14ac:dyDescent="0.35">
      <c r="B21" s="43" t="s">
        <v>135</v>
      </c>
    </row>
    <row r="22" spans="2:2" x14ac:dyDescent="0.35">
      <c r="B22" s="43" t="s">
        <v>136</v>
      </c>
    </row>
    <row r="23" spans="2:2" x14ac:dyDescent="0.35">
      <c r="B23" s="43" t="s">
        <v>137</v>
      </c>
    </row>
    <row r="24" spans="2:2" x14ac:dyDescent="0.35">
      <c r="B24" s="43" t="s">
        <v>138</v>
      </c>
    </row>
    <row r="25" spans="2:2" x14ac:dyDescent="0.35">
      <c r="B25" s="43" t="s">
        <v>139</v>
      </c>
    </row>
    <row r="26" spans="2:2" x14ac:dyDescent="0.35">
      <c r="B26" s="43" t="s">
        <v>140</v>
      </c>
    </row>
    <row r="27" spans="2:2" x14ac:dyDescent="0.35">
      <c r="B27" s="43" t="s">
        <v>141</v>
      </c>
    </row>
    <row r="29" spans="2:2" x14ac:dyDescent="0.35">
      <c r="B29" s="43" t="s">
        <v>142</v>
      </c>
    </row>
    <row r="31" spans="2:2" x14ac:dyDescent="0.35">
      <c r="B31" s="43" t="s">
        <v>143</v>
      </c>
    </row>
    <row r="32" spans="2:2" x14ac:dyDescent="0.35">
      <c r="B32" s="43" t="s">
        <v>144</v>
      </c>
    </row>
    <row r="34" spans="1:2" x14ac:dyDescent="0.35">
      <c r="B34" s="43" t="s">
        <v>145</v>
      </c>
    </row>
    <row r="35" spans="1:2" x14ac:dyDescent="0.35">
      <c r="B35" s="43" t="s">
        <v>146</v>
      </c>
    </row>
    <row r="36" spans="1:2" x14ac:dyDescent="0.35">
      <c r="B36" s="3" t="s">
        <v>147</v>
      </c>
    </row>
    <row r="38" spans="1:2" x14ac:dyDescent="0.35">
      <c r="B38" s="43" t="s">
        <v>148</v>
      </c>
    </row>
    <row r="39" spans="1:2" x14ac:dyDescent="0.35">
      <c r="B39" s="43" t="s">
        <v>149</v>
      </c>
    </row>
    <row r="42" spans="1:2" ht="13.15" x14ac:dyDescent="0.4">
      <c r="A42" s="74" t="s">
        <v>150</v>
      </c>
    </row>
    <row r="43" spans="1:2" ht="5.2" customHeight="1" x14ac:dyDescent="0.35"/>
    <row r="44" spans="1:2" x14ac:dyDescent="0.35">
      <c r="B44" s="135" t="s">
        <v>90</v>
      </c>
    </row>
    <row r="45" spans="1:2" x14ac:dyDescent="0.35">
      <c r="B45" s="3" t="s">
        <v>151</v>
      </c>
    </row>
    <row r="46" spans="1:2" x14ac:dyDescent="0.35">
      <c r="B46" s="3" t="s">
        <v>152</v>
      </c>
    </row>
    <row r="47" spans="1:2" x14ac:dyDescent="0.35">
      <c r="B47" s="135" t="s">
        <v>153</v>
      </c>
    </row>
    <row r="48" spans="1:2" x14ac:dyDescent="0.35">
      <c r="B48" s="135" t="s">
        <v>154</v>
      </c>
    </row>
    <row r="50" spans="2:2" x14ac:dyDescent="0.35">
      <c r="B50" s="135" t="s">
        <v>27</v>
      </c>
    </row>
    <row r="51" spans="2:2" x14ac:dyDescent="0.35">
      <c r="B51" s="3" t="s">
        <v>155</v>
      </c>
    </row>
    <row r="52" spans="2:2" x14ac:dyDescent="0.35">
      <c r="B52" s="3" t="s">
        <v>156</v>
      </c>
    </row>
    <row r="53" spans="2:2" x14ac:dyDescent="0.35">
      <c r="B53" s="3" t="s">
        <v>157</v>
      </c>
    </row>
    <row r="54" spans="2:2" x14ac:dyDescent="0.35">
      <c r="B54" s="3" t="s">
        <v>158</v>
      </c>
    </row>
    <row r="55" spans="2:2" x14ac:dyDescent="0.35">
      <c r="B55" s="3" t="s">
        <v>159</v>
      </c>
    </row>
    <row r="56" spans="2:2" x14ac:dyDescent="0.35">
      <c r="B56" s="3" t="s">
        <v>160</v>
      </c>
    </row>
    <row r="57" spans="2:2" x14ac:dyDescent="0.35">
      <c r="B57" s="3" t="s">
        <v>161</v>
      </c>
    </row>
    <row r="58" spans="2:2" x14ac:dyDescent="0.35">
      <c r="B58" s="3" t="s">
        <v>162</v>
      </c>
    </row>
    <row r="59" spans="2:2" x14ac:dyDescent="0.35">
      <c r="B59" s="3" t="s">
        <v>163</v>
      </c>
    </row>
    <row r="60" spans="2:2" x14ac:dyDescent="0.35">
      <c r="B60" s="3" t="s">
        <v>164</v>
      </c>
    </row>
    <row r="61" spans="2:2" x14ac:dyDescent="0.35">
      <c r="B61" s="3" t="s">
        <v>165</v>
      </c>
    </row>
    <row r="62" spans="2:2" x14ac:dyDescent="0.35">
      <c r="B62" s="3" t="s">
        <v>166</v>
      </c>
    </row>
    <row r="63" spans="2:2" x14ac:dyDescent="0.35">
      <c r="B63" s="3" t="s">
        <v>167</v>
      </c>
    </row>
    <row r="64" spans="2:2" x14ac:dyDescent="0.35">
      <c r="B64" s="3" t="s">
        <v>168</v>
      </c>
    </row>
    <row r="65" spans="1:2" x14ac:dyDescent="0.35">
      <c r="B65" s="3" t="s">
        <v>169</v>
      </c>
    </row>
    <row r="67" spans="1:2" x14ac:dyDescent="0.35">
      <c r="B67" s="135" t="s">
        <v>48</v>
      </c>
    </row>
    <row r="68" spans="1:2" x14ac:dyDescent="0.35">
      <c r="B68" s="3" t="s">
        <v>170</v>
      </c>
    </row>
    <row r="69" spans="1:2" x14ac:dyDescent="0.35">
      <c r="B69" s="3" t="s">
        <v>171</v>
      </c>
    </row>
    <row r="70" spans="1:2" x14ac:dyDescent="0.35">
      <c r="B70" s="3" t="s">
        <v>172</v>
      </c>
    </row>
    <row r="71" spans="1:2" x14ac:dyDescent="0.35">
      <c r="B71" s="3" t="s">
        <v>173</v>
      </c>
    </row>
    <row r="72" spans="1:2" x14ac:dyDescent="0.35">
      <c r="B72" s="3" t="s">
        <v>174</v>
      </c>
    </row>
    <row r="73" spans="1:2" x14ac:dyDescent="0.35">
      <c r="B73" s="3" t="s">
        <v>175</v>
      </c>
    </row>
    <row r="74" spans="1:2" x14ac:dyDescent="0.35">
      <c r="B74" s="3" t="s">
        <v>176</v>
      </c>
    </row>
    <row r="75" spans="1:2" x14ac:dyDescent="0.35">
      <c r="B75" s="3" t="s">
        <v>177</v>
      </c>
    </row>
    <row r="77" spans="1:2" ht="13.15" x14ac:dyDescent="0.4">
      <c r="A77" s="74" t="s">
        <v>81</v>
      </c>
    </row>
    <row r="78" spans="1:2" ht="5.2" customHeight="1" x14ac:dyDescent="0.4">
      <c r="A78" s="74"/>
    </row>
    <row r="79" spans="1:2" x14ac:dyDescent="0.35">
      <c r="B79" s="135" t="s">
        <v>72</v>
      </c>
    </row>
    <row r="80" spans="1:2" x14ac:dyDescent="0.35">
      <c r="B80" s="3" t="s">
        <v>178</v>
      </c>
    </row>
    <row r="81" spans="2:2" x14ac:dyDescent="0.35">
      <c r="B81" s="3" t="s">
        <v>179</v>
      </c>
    </row>
    <row r="82" spans="2:2" x14ac:dyDescent="0.35">
      <c r="B82" s="3" t="s">
        <v>180</v>
      </c>
    </row>
    <row r="83" spans="2:2" x14ac:dyDescent="0.35">
      <c r="B83" s="3" t="s">
        <v>181</v>
      </c>
    </row>
    <row r="85" spans="2:2" x14ac:dyDescent="0.35">
      <c r="B85" s="135" t="s">
        <v>46</v>
      </c>
    </row>
    <row r="86" spans="2:2" x14ac:dyDescent="0.35">
      <c r="B86" s="3" t="s">
        <v>182</v>
      </c>
    </row>
    <row r="87" spans="2:2" x14ac:dyDescent="0.35">
      <c r="B87" s="3" t="s">
        <v>183</v>
      </c>
    </row>
    <row r="88" spans="2:2" x14ac:dyDescent="0.35">
      <c r="B88" s="3" t="s">
        <v>180</v>
      </c>
    </row>
    <row r="89" spans="2:2" x14ac:dyDescent="0.35">
      <c r="B89" s="3" t="s">
        <v>181</v>
      </c>
    </row>
    <row r="90" spans="2:2" x14ac:dyDescent="0.35">
      <c r="B90" s="3"/>
    </row>
    <row r="91" spans="2:2" x14ac:dyDescent="0.35">
      <c r="B91" s="135" t="s">
        <v>42</v>
      </c>
    </row>
    <row r="92" spans="2:2" x14ac:dyDescent="0.35">
      <c r="B92" s="3" t="s">
        <v>184</v>
      </c>
    </row>
    <row r="93" spans="2:2" x14ac:dyDescent="0.35">
      <c r="B93" s="3" t="s">
        <v>183</v>
      </c>
    </row>
    <row r="94" spans="2:2" x14ac:dyDescent="0.35">
      <c r="B94" s="3" t="s">
        <v>180</v>
      </c>
    </row>
    <row r="95" spans="2:2" x14ac:dyDescent="0.35">
      <c r="B95" s="3" t="s">
        <v>181</v>
      </c>
    </row>
    <row r="97" spans="1:2" ht="18.75" x14ac:dyDescent="0.5">
      <c r="A97" s="136"/>
      <c r="B97" s="3" t="s">
        <v>185</v>
      </c>
    </row>
    <row r="98" spans="1:2" x14ac:dyDescent="0.35">
      <c r="B98" s="3" t="s">
        <v>186</v>
      </c>
    </row>
    <row r="100" spans="1:2" x14ac:dyDescent="0.35">
      <c r="A100" s="13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topLeftCell="A8" zoomScaleSheetLayoutView="100" workbookViewId="0">
      <selection activeCell="H37" sqref="H37"/>
    </sheetView>
  </sheetViews>
  <sheetFormatPr defaultColWidth="9.19921875" defaultRowHeight="12.75" x14ac:dyDescent="0.35"/>
  <cols>
    <col min="1" max="1" width="33.19921875" style="3" customWidth="1"/>
    <col min="2" max="2" width="12.796875" style="3" customWidth="1"/>
    <col min="3" max="3" width="9.33203125" style="3" bestFit="1" customWidth="1"/>
    <col min="4" max="6" width="9.46484375" style="3" bestFit="1" customWidth="1"/>
    <col min="7" max="12" width="9.33203125" style="3" bestFit="1" customWidth="1"/>
    <col min="13" max="15" width="9.19921875" style="3"/>
    <col min="16" max="16" width="9.33203125" style="3" bestFit="1" customWidth="1"/>
    <col min="17" max="16384" width="9.19921875" style="3"/>
  </cols>
  <sheetData>
    <row r="1" spans="1:14" ht="15" x14ac:dyDescent="0.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5">
      <c r="A2" s="4" t="s">
        <v>116</v>
      </c>
    </row>
    <row r="3" spans="1:14" ht="6.5" customHeight="1" x14ac:dyDescent="0.4">
      <c r="N3" s="5"/>
    </row>
    <row r="4" spans="1:14" ht="15" x14ac:dyDescent="0.4">
      <c r="C4" s="6" t="s">
        <v>117</v>
      </c>
      <c r="D4" s="6"/>
      <c r="E4" s="6"/>
      <c r="F4" s="6"/>
      <c r="G4" s="131"/>
      <c r="H4" s="6" t="s">
        <v>118</v>
      </c>
      <c r="I4" s="6"/>
      <c r="J4" s="6"/>
      <c r="K4" s="6"/>
      <c r="L4" s="6"/>
      <c r="N4" s="7"/>
    </row>
    <row r="5" spans="1:14" ht="15" x14ac:dyDescent="0.4">
      <c r="A5" s="130" t="s">
        <v>2</v>
      </c>
      <c r="C5" s="125" t="s">
        <v>1</v>
      </c>
      <c r="D5" s="125"/>
      <c r="E5" s="125"/>
      <c r="F5" s="125"/>
      <c r="G5" s="126"/>
      <c r="H5" s="129" t="s">
        <v>1</v>
      </c>
      <c r="I5" s="125"/>
      <c r="J5" s="125"/>
      <c r="K5" s="125"/>
      <c r="L5" s="125"/>
      <c r="N5" s="5"/>
    </row>
    <row r="6" spans="1:14" ht="15.4" thickBot="1" x14ac:dyDescent="0.45">
      <c r="C6" s="124">
        <v>2012</v>
      </c>
      <c r="D6" s="124">
        <f t="shared" ref="D6:L6" si="0">C6+1</f>
        <v>2013</v>
      </c>
      <c r="E6" s="124">
        <f t="shared" si="0"/>
        <v>2014</v>
      </c>
      <c r="F6" s="124">
        <f t="shared" si="0"/>
        <v>2015</v>
      </c>
      <c r="G6" s="124">
        <f t="shared" si="0"/>
        <v>2016</v>
      </c>
      <c r="H6" s="127">
        <f t="shared" si="0"/>
        <v>2017</v>
      </c>
      <c r="I6" s="128">
        <f t="shared" si="0"/>
        <v>2018</v>
      </c>
      <c r="J6" s="128">
        <f t="shared" si="0"/>
        <v>2019</v>
      </c>
      <c r="K6" s="128">
        <f t="shared" si="0"/>
        <v>2020</v>
      </c>
      <c r="L6" s="128">
        <f t="shared" si="0"/>
        <v>2021</v>
      </c>
      <c r="N6" s="5"/>
    </row>
    <row r="7" spans="1:14" ht="15" x14ac:dyDescent="0.4">
      <c r="A7" s="8" t="s">
        <v>56</v>
      </c>
      <c r="C7" s="9"/>
      <c r="D7" s="9"/>
      <c r="E7" s="9"/>
      <c r="F7" s="9"/>
      <c r="G7" s="10"/>
      <c r="H7" s="11"/>
      <c r="I7" s="11"/>
      <c r="J7" s="11"/>
      <c r="K7" s="11"/>
      <c r="L7" s="11"/>
      <c r="N7" s="5"/>
    </row>
    <row r="8" spans="1:14" ht="15" x14ac:dyDescent="0.4">
      <c r="A8" s="3" t="s">
        <v>5</v>
      </c>
      <c r="C8" s="12" t="str">
        <f>Model!B8</f>
        <v>na</v>
      </c>
      <c r="D8" s="13">
        <f>Model!C8</f>
        <v>6.25E-2</v>
      </c>
      <c r="E8" s="13">
        <f>Model!D8</f>
        <v>5.8823529411764719E-2</v>
      </c>
      <c r="F8" s="13">
        <f>Model!E8</f>
        <v>5.555555555555558E-2</v>
      </c>
      <c r="G8" s="14">
        <f>Model!F8</f>
        <v>5.2631578947368363E-2</v>
      </c>
      <c r="H8" s="15"/>
      <c r="I8" s="15"/>
      <c r="J8" s="15"/>
      <c r="K8" s="15"/>
      <c r="L8" s="15"/>
      <c r="N8" s="5"/>
    </row>
    <row r="9" spans="1:14" ht="15" x14ac:dyDescent="0.4">
      <c r="C9" s="13"/>
      <c r="D9" s="13"/>
      <c r="E9" s="13"/>
      <c r="F9" s="13"/>
      <c r="G9" s="14"/>
      <c r="H9" s="15"/>
      <c r="I9" s="15"/>
      <c r="J9" s="15"/>
      <c r="K9" s="15"/>
      <c r="L9" s="15"/>
      <c r="N9" s="5"/>
    </row>
    <row r="10" spans="1:14" ht="15" x14ac:dyDescent="0.4">
      <c r="A10" s="3" t="s">
        <v>8</v>
      </c>
      <c r="C10" s="13">
        <f>Model!B11</f>
        <v>0.42000000000000004</v>
      </c>
      <c r="D10" s="13">
        <f>Model!C11</f>
        <v>0.41499999999999998</v>
      </c>
      <c r="E10" s="13">
        <f>Model!D11</f>
        <v>0.41</v>
      </c>
      <c r="F10" s="13">
        <f>Model!E11</f>
        <v>0.41</v>
      </c>
      <c r="G10" s="14">
        <f>Model!F11</f>
        <v>0.4</v>
      </c>
      <c r="H10" s="15"/>
      <c r="I10" s="15"/>
      <c r="J10" s="15"/>
      <c r="K10" s="15"/>
      <c r="L10" s="15"/>
      <c r="N10" s="5"/>
    </row>
    <row r="11" spans="1:14" x14ac:dyDescent="0.35">
      <c r="C11" s="16"/>
      <c r="D11" s="16"/>
      <c r="E11" s="16"/>
      <c r="F11" s="16"/>
      <c r="G11" s="17"/>
      <c r="H11" s="18"/>
      <c r="I11" s="18"/>
      <c r="J11" s="18"/>
      <c r="K11" s="18"/>
      <c r="L11" s="18"/>
    </row>
    <row r="12" spans="1:14" x14ac:dyDescent="0.35">
      <c r="A12" s="3" t="s">
        <v>91</v>
      </c>
      <c r="C12" s="19">
        <f>Model!B16/Model!B53</f>
        <v>1.803751803751804E-2</v>
      </c>
      <c r="D12" s="19">
        <f>Model!C16/Model!C53</f>
        <v>1.7409470752089137E-2</v>
      </c>
      <c r="E12" s="19">
        <f>Model!D16/Model!D53</f>
        <v>1.676727028839705E-2</v>
      </c>
      <c r="F12" s="19">
        <f>Model!E16/Model!E53</f>
        <v>1.6118633139909737E-2</v>
      </c>
      <c r="G12" s="20">
        <f>Model!F16/Model!F53</f>
        <v>1.547029702970297E-2</v>
      </c>
      <c r="H12" s="21"/>
      <c r="I12" s="21"/>
      <c r="J12" s="21"/>
      <c r="K12" s="21"/>
      <c r="L12" s="21"/>
    </row>
    <row r="13" spans="1:14" x14ac:dyDescent="0.35">
      <c r="A13" s="3" t="s">
        <v>10</v>
      </c>
      <c r="C13" s="22">
        <v>0</v>
      </c>
      <c r="D13" s="22">
        <v>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</row>
    <row r="14" spans="1:14" x14ac:dyDescent="0.35">
      <c r="C14" s="16"/>
      <c r="D14" s="16"/>
      <c r="E14" s="16"/>
      <c r="F14" s="16"/>
      <c r="G14" s="17"/>
      <c r="H14" s="18"/>
      <c r="I14" s="18"/>
      <c r="J14" s="18"/>
      <c r="K14" s="18"/>
      <c r="L14" s="18"/>
    </row>
    <row r="15" spans="1:14" x14ac:dyDescent="0.35">
      <c r="A15" s="3" t="s">
        <v>14</v>
      </c>
      <c r="C15" s="25">
        <f>Model!B20</f>
        <v>0.3</v>
      </c>
      <c r="D15" s="25">
        <f>Model!C20</f>
        <v>0.3</v>
      </c>
      <c r="E15" s="25">
        <f>Model!D20</f>
        <v>0.3</v>
      </c>
      <c r="F15" s="25">
        <f>Model!E20</f>
        <v>0.3</v>
      </c>
      <c r="G15" s="26">
        <f>Model!F20</f>
        <v>0.3</v>
      </c>
      <c r="H15" s="21"/>
      <c r="I15" s="21"/>
      <c r="J15" s="21"/>
      <c r="K15" s="21"/>
      <c r="L15" s="21"/>
    </row>
    <row r="16" spans="1:14" x14ac:dyDescent="0.35">
      <c r="C16" s="16"/>
      <c r="D16" s="16"/>
      <c r="E16" s="16"/>
      <c r="F16" s="16"/>
      <c r="G16" s="17"/>
      <c r="H16" s="18"/>
      <c r="I16" s="18"/>
      <c r="J16" s="18"/>
      <c r="K16" s="18"/>
      <c r="L16" s="18"/>
    </row>
    <row r="17" spans="1:14" x14ac:dyDescent="0.35">
      <c r="A17" s="3" t="s">
        <v>19</v>
      </c>
      <c r="C17" s="27">
        <f>Model!B33</f>
        <v>2</v>
      </c>
      <c r="D17" s="27">
        <f>Model!C33</f>
        <v>0</v>
      </c>
      <c r="E17" s="27">
        <f>Model!D33</f>
        <v>-2</v>
      </c>
      <c r="F17" s="27">
        <f>Model!E33</f>
        <v>1</v>
      </c>
      <c r="G17" s="28">
        <f>Model!F33</f>
        <v>0</v>
      </c>
      <c r="H17" s="24"/>
      <c r="I17" s="24"/>
      <c r="J17" s="24"/>
      <c r="K17" s="24"/>
      <c r="L17" s="24"/>
      <c r="M17" s="29"/>
      <c r="N17" s="29"/>
    </row>
    <row r="18" spans="1:14" x14ac:dyDescent="0.35">
      <c r="C18" s="16"/>
      <c r="D18" s="16"/>
      <c r="E18" s="16"/>
      <c r="F18" s="16"/>
      <c r="G18" s="17"/>
      <c r="H18" s="18"/>
      <c r="I18" s="18"/>
      <c r="J18" s="18"/>
      <c r="K18" s="18"/>
      <c r="L18" s="18"/>
    </row>
    <row r="19" spans="1:14" ht="13.15" x14ac:dyDescent="0.4">
      <c r="A19" s="3" t="s">
        <v>22</v>
      </c>
      <c r="C19" s="25">
        <f>Model!B38</f>
        <v>0.4</v>
      </c>
      <c r="D19" s="25">
        <f ca="1">Model!C38</f>
        <v>0.4</v>
      </c>
      <c r="E19" s="123">
        <f ca="1">Model!D38</f>
        <v>0.4</v>
      </c>
      <c r="F19" s="25">
        <f ca="1">Model!E38</f>
        <v>0.4</v>
      </c>
      <c r="G19" s="26">
        <f ca="1">Model!F38</f>
        <v>0.4</v>
      </c>
      <c r="H19" s="21"/>
      <c r="I19" s="21"/>
      <c r="J19" s="21"/>
      <c r="K19" s="21"/>
      <c r="L19" s="21"/>
    </row>
    <row r="20" spans="1:14" x14ac:dyDescent="0.35">
      <c r="C20" s="16"/>
      <c r="D20" s="16"/>
      <c r="E20" s="16"/>
      <c r="F20" s="16"/>
      <c r="G20" s="17"/>
      <c r="H20" s="18"/>
      <c r="I20" s="18"/>
      <c r="J20" s="18"/>
      <c r="K20" s="18"/>
      <c r="L20" s="18"/>
    </row>
    <row r="21" spans="1:14" ht="13.15" x14ac:dyDescent="0.4">
      <c r="A21" s="8" t="s">
        <v>55</v>
      </c>
      <c r="C21" s="16"/>
      <c r="D21" s="16"/>
      <c r="E21" s="16"/>
      <c r="F21" s="16"/>
      <c r="G21" s="17"/>
      <c r="H21" s="18"/>
      <c r="I21" s="18"/>
      <c r="J21" s="18"/>
      <c r="K21" s="30"/>
      <c r="L21" s="18"/>
    </row>
    <row r="22" spans="1:14" x14ac:dyDescent="0.35">
      <c r="A22" s="3" t="s">
        <v>57</v>
      </c>
      <c r="C22" s="31"/>
      <c r="D22" s="31">
        <f>AVERAGE(Model!C48,Model!B48)/Model!C7*360</f>
        <v>26.47058823529412</v>
      </c>
      <c r="E22" s="31">
        <f>AVERAGE(Model!D48,Model!C48)/Model!D7*360</f>
        <v>27</v>
      </c>
      <c r="F22" s="31">
        <f>AVERAGE(Model!E48,Model!D48)/Model!E7*360</f>
        <v>27.473684210526315</v>
      </c>
      <c r="G22" s="32">
        <f>AVERAGE(Model!F48,Model!E48)/Model!F7*360</f>
        <v>27.9</v>
      </c>
      <c r="H22" s="33"/>
      <c r="I22" s="33"/>
      <c r="J22" s="33"/>
      <c r="K22" s="33"/>
      <c r="L22" s="33"/>
      <c r="M22" s="34"/>
    </row>
    <row r="23" spans="1:14" x14ac:dyDescent="0.35">
      <c r="A23" s="3" t="s">
        <v>58</v>
      </c>
      <c r="C23" s="31"/>
      <c r="D23" s="31">
        <f>AVERAGE(Model!C49,Model!B49)/Model!C10*360</f>
        <v>42.097802976612336</v>
      </c>
      <c r="E23" s="31">
        <f>AVERAGE(Model!D49,Model!C49)/Model!D10*360</f>
        <v>42.682926829268297</v>
      </c>
      <c r="F23" s="31">
        <f>AVERAGE(Model!E49,Model!D49)/Model!E10*360</f>
        <v>42.747111681643133</v>
      </c>
      <c r="G23" s="32">
        <f>AVERAGE(Model!F49,Model!E49)/Model!F10*360</f>
        <v>43.875</v>
      </c>
      <c r="H23" s="33"/>
      <c r="I23" s="33"/>
      <c r="J23" s="33"/>
      <c r="K23" s="33"/>
      <c r="L23" s="33"/>
      <c r="M23" s="34"/>
    </row>
    <row r="24" spans="1:14" x14ac:dyDescent="0.35">
      <c r="A24" s="3" t="s">
        <v>31</v>
      </c>
      <c r="C24" s="27">
        <f>Model!B50</f>
        <v>1</v>
      </c>
      <c r="D24" s="27">
        <f>Model!C50</f>
        <v>1</v>
      </c>
      <c r="E24" s="27">
        <f>Model!D50</f>
        <v>1</v>
      </c>
      <c r="F24" s="27">
        <f>Model!E50</f>
        <v>1</v>
      </c>
      <c r="G24" s="28">
        <f>Model!F50</f>
        <v>1</v>
      </c>
      <c r="H24" s="24"/>
      <c r="I24" s="24"/>
      <c r="J24" s="24"/>
      <c r="K24" s="24"/>
      <c r="L24" s="24"/>
      <c r="M24" s="34"/>
    </row>
    <row r="25" spans="1:14" x14ac:dyDescent="0.35">
      <c r="A25" s="3" t="s">
        <v>105</v>
      </c>
      <c r="C25" s="27">
        <v>0</v>
      </c>
      <c r="D25" s="27">
        <v>0</v>
      </c>
      <c r="E25" s="27">
        <v>0</v>
      </c>
      <c r="F25" s="27">
        <v>0</v>
      </c>
      <c r="G25" s="28">
        <v>0</v>
      </c>
      <c r="H25" s="24"/>
      <c r="I25" s="24"/>
      <c r="J25" s="24"/>
      <c r="K25" s="24"/>
      <c r="L25" s="24"/>
      <c r="M25" s="34"/>
    </row>
    <row r="26" spans="1:14" x14ac:dyDescent="0.35">
      <c r="C26" s="27"/>
      <c r="D26" s="27"/>
      <c r="E26" s="27"/>
      <c r="F26" s="27"/>
      <c r="G26" s="28"/>
      <c r="H26" s="24"/>
      <c r="I26" s="24"/>
      <c r="J26" s="24"/>
      <c r="K26" s="24"/>
      <c r="L26" s="24"/>
      <c r="M26" s="34"/>
    </row>
    <row r="27" spans="1:14" x14ac:dyDescent="0.35">
      <c r="A27" s="35" t="s">
        <v>59</v>
      </c>
      <c r="B27" s="35"/>
      <c r="C27" s="12" t="s">
        <v>4</v>
      </c>
      <c r="D27" s="36">
        <f>-Model!C96/Model!C7</f>
        <v>5.8823529411764705E-2</v>
      </c>
      <c r="E27" s="36">
        <f>-Model!D96/Model!D7</f>
        <v>6.1111111111111109E-2</v>
      </c>
      <c r="F27" s="36">
        <f>-Model!E96/Model!E7</f>
        <v>6.3157894736842107E-2</v>
      </c>
      <c r="G27" s="20">
        <f>-Model!F96/Model!F7</f>
        <v>6.5000000000000002E-2</v>
      </c>
      <c r="H27" s="37"/>
      <c r="I27" s="37"/>
      <c r="J27" s="37"/>
      <c r="K27" s="37"/>
      <c r="L27" s="37"/>
      <c r="M27" s="34"/>
    </row>
    <row r="28" spans="1:14" x14ac:dyDescent="0.35">
      <c r="A28" s="3" t="s">
        <v>60</v>
      </c>
      <c r="C28" s="38" t="str">
        <f>Model!B97</f>
        <v>na</v>
      </c>
      <c r="D28" s="39">
        <f>Model!C97</f>
        <v>0</v>
      </c>
      <c r="E28" s="39">
        <f>Model!D97</f>
        <v>0</v>
      </c>
      <c r="F28" s="39">
        <f>Model!E97</f>
        <v>0</v>
      </c>
      <c r="G28" s="40">
        <f>Model!F97</f>
        <v>0</v>
      </c>
      <c r="H28" s="41"/>
      <c r="I28" s="41"/>
      <c r="J28" s="41"/>
      <c r="K28" s="41"/>
      <c r="L28" s="41"/>
      <c r="M28" s="34"/>
    </row>
    <row r="29" spans="1:14" x14ac:dyDescent="0.35">
      <c r="A29" s="3" t="s">
        <v>83</v>
      </c>
      <c r="C29" s="31"/>
      <c r="D29" s="31">
        <f>AVERAGE(Model!C62,Model!B62)/Model!C10*360</f>
        <v>44.649184975194899</v>
      </c>
      <c r="E29" s="31">
        <f>AVERAGE(Model!D62,Model!C62)/Model!D10*360</f>
        <v>45.121951219512198</v>
      </c>
      <c r="F29" s="31">
        <f>AVERAGE(Model!E62,Model!D62)/Model!E10*360</f>
        <v>45.057766367137361</v>
      </c>
      <c r="G29" s="32">
        <f>AVERAGE(Model!F62,Model!E62)/Model!F10*360</f>
        <v>47.25</v>
      </c>
      <c r="H29" s="33"/>
      <c r="I29" s="33"/>
      <c r="J29" s="33"/>
      <c r="K29" s="33"/>
      <c r="L29" s="33"/>
      <c r="M29" s="34"/>
    </row>
    <row r="30" spans="1:14" x14ac:dyDescent="0.35">
      <c r="A30" s="3" t="s">
        <v>84</v>
      </c>
      <c r="C30" s="13">
        <f>Model!B63/Model!B10</f>
        <v>2.976190476190476E-2</v>
      </c>
      <c r="D30" s="13">
        <f>Model!C63/Model!C10</f>
        <v>2.9766123316796601E-2</v>
      </c>
      <c r="E30" s="13">
        <f>Model!D63/Model!D10</f>
        <v>2.9810298102981032E-2</v>
      </c>
      <c r="F30" s="13">
        <f>Model!E63/Model!E10</f>
        <v>2.9525032092426188E-2</v>
      </c>
      <c r="G30" s="14">
        <f>Model!F63/Model!F10</f>
        <v>0.03</v>
      </c>
      <c r="H30" s="15"/>
      <c r="I30" s="15"/>
      <c r="J30" s="15"/>
      <c r="K30" s="15"/>
      <c r="L30" s="15"/>
      <c r="M30" s="34"/>
    </row>
    <row r="31" spans="1:14" x14ac:dyDescent="0.35">
      <c r="A31" s="3" t="s">
        <v>98</v>
      </c>
      <c r="C31" s="13">
        <f>+Model!B64/Model!B10</f>
        <v>1.488095238095238E-2</v>
      </c>
      <c r="D31" s="13">
        <f>+Model!C64/Model!C10</f>
        <v>0</v>
      </c>
      <c r="E31" s="13">
        <f>+Model!D64/Model!D10</f>
        <v>2.7100271002710029E-2</v>
      </c>
      <c r="F31" s="13">
        <f>+Model!E64/Model!E10</f>
        <v>1.2836970474967908E-2</v>
      </c>
      <c r="G31" s="14">
        <f>+Model!F64/Model!F10</f>
        <v>0</v>
      </c>
      <c r="H31" s="15"/>
      <c r="I31" s="15"/>
      <c r="J31" s="15"/>
      <c r="K31" s="15"/>
      <c r="L31" s="15"/>
      <c r="M31" s="34"/>
    </row>
    <row r="32" spans="1:14" x14ac:dyDescent="0.35">
      <c r="A32" s="3" t="s">
        <v>35</v>
      </c>
      <c r="C32" s="39">
        <f>Model!B70</f>
        <v>1</v>
      </c>
      <c r="D32" s="39">
        <f>Model!C70</f>
        <v>2</v>
      </c>
      <c r="E32" s="39">
        <f>Model!D70</f>
        <v>1</v>
      </c>
      <c r="F32" s="39">
        <f>Model!E70</f>
        <v>0</v>
      </c>
      <c r="G32" s="40">
        <f>Model!F70</f>
        <v>2</v>
      </c>
      <c r="H32" s="41"/>
      <c r="I32" s="41"/>
      <c r="J32" s="41"/>
      <c r="K32" s="41"/>
      <c r="L32" s="41"/>
      <c r="M32" s="34"/>
    </row>
    <row r="33" spans="1:13" x14ac:dyDescent="0.35">
      <c r="C33" s="34"/>
      <c r="D33" s="34"/>
      <c r="E33" s="34"/>
      <c r="F33" s="34"/>
      <c r="G33" s="42"/>
      <c r="H33" s="34"/>
      <c r="I33" s="34"/>
      <c r="J33" s="34"/>
      <c r="K33" s="34"/>
      <c r="L33" s="34"/>
      <c r="M33" s="34"/>
    </row>
    <row r="34" spans="1:13" x14ac:dyDescent="0.35">
      <c r="A34" s="3" t="s">
        <v>97</v>
      </c>
      <c r="C34" s="39">
        <f>+Model!B75</f>
        <v>10</v>
      </c>
      <c r="D34" s="39">
        <f>+Model!C75</f>
        <v>10</v>
      </c>
      <c r="E34" s="39">
        <f>+Model!D75</f>
        <v>10</v>
      </c>
      <c r="F34" s="39">
        <f>+Model!E75</f>
        <v>10</v>
      </c>
      <c r="G34" s="40">
        <f>+Model!F75</f>
        <v>10</v>
      </c>
      <c r="H34" s="41"/>
      <c r="I34" s="41"/>
      <c r="J34" s="41"/>
      <c r="K34" s="41"/>
      <c r="L34" s="41"/>
      <c r="M34" s="34"/>
    </row>
    <row r="35" spans="1:13" x14ac:dyDescent="0.35">
      <c r="C35" s="34"/>
      <c r="D35" s="34"/>
      <c r="E35" s="34"/>
      <c r="F35" s="34"/>
      <c r="G35" s="42"/>
      <c r="H35" s="34"/>
      <c r="I35" s="34"/>
      <c r="J35" s="34"/>
      <c r="K35" s="34"/>
      <c r="L35" s="34"/>
      <c r="M35" s="34"/>
    </row>
    <row r="36" spans="1:13" x14ac:dyDescent="0.35">
      <c r="A36" s="43" t="s">
        <v>93</v>
      </c>
      <c r="C36" s="44"/>
      <c r="D36" s="34"/>
      <c r="E36" s="34"/>
      <c r="F36" s="34"/>
      <c r="G36" s="42"/>
      <c r="H36" s="34"/>
      <c r="I36" s="34"/>
      <c r="J36" s="34"/>
      <c r="K36" s="34"/>
      <c r="L36" s="34"/>
      <c r="M36" s="34"/>
    </row>
    <row r="37" spans="1:13" x14ac:dyDescent="0.35">
      <c r="A37" s="3" t="s">
        <v>73</v>
      </c>
      <c r="B37" s="45"/>
      <c r="C37" s="46">
        <v>5.0000000000000001E-3</v>
      </c>
      <c r="D37" s="46">
        <v>2.5000000000000001E-3</v>
      </c>
      <c r="E37" s="46">
        <v>2.5000000000000001E-3</v>
      </c>
      <c r="F37" s="46">
        <v>5.0000000000000001E-3</v>
      </c>
      <c r="G37" s="47">
        <v>7.4999999999999997E-3</v>
      </c>
      <c r="H37" s="46">
        <f>G37+0.0025</f>
        <v>0.01</v>
      </c>
      <c r="I37" s="46">
        <f t="shared" ref="I37:L37" si="1">H37+0.0025</f>
        <v>1.2500000000000001E-2</v>
      </c>
      <c r="J37" s="46">
        <f t="shared" si="1"/>
        <v>1.5000000000000001E-2</v>
      </c>
      <c r="K37" s="46">
        <f t="shared" si="1"/>
        <v>1.7500000000000002E-2</v>
      </c>
      <c r="L37" s="46">
        <f t="shared" si="1"/>
        <v>0.02</v>
      </c>
      <c r="M37" s="34"/>
    </row>
    <row r="38" spans="1:13" ht="13.15" x14ac:dyDescent="0.4">
      <c r="A38" s="3" t="s">
        <v>80</v>
      </c>
      <c r="B38" s="48"/>
      <c r="C38" s="46">
        <v>2.5000000000000001E-3</v>
      </c>
      <c r="D38" s="46">
        <v>1.25E-3</v>
      </c>
      <c r="E38" s="46">
        <v>1.25E-3</v>
      </c>
      <c r="F38" s="46">
        <v>2.5000000000000001E-3</v>
      </c>
      <c r="G38" s="47">
        <v>3.7499999999999999E-3</v>
      </c>
      <c r="H38" s="46">
        <f>G38+0.0025</f>
        <v>6.2500000000000003E-3</v>
      </c>
      <c r="I38" s="46">
        <f t="shared" ref="I38:L38" si="2">H38+0.0025</f>
        <v>8.7500000000000008E-3</v>
      </c>
      <c r="J38" s="46">
        <f t="shared" si="2"/>
        <v>1.1250000000000001E-2</v>
      </c>
      <c r="K38" s="46">
        <f t="shared" si="2"/>
        <v>1.3750000000000002E-2</v>
      </c>
      <c r="L38" s="46">
        <f t="shared" si="2"/>
        <v>1.6250000000000001E-2</v>
      </c>
      <c r="M38" s="34"/>
    </row>
    <row r="39" spans="1:13" ht="13.15" x14ac:dyDescent="0.4">
      <c r="B39" s="48"/>
      <c r="C39" s="49"/>
      <c r="D39" s="49"/>
      <c r="E39" s="49"/>
      <c r="F39" s="49"/>
      <c r="G39" s="50"/>
      <c r="H39" s="49"/>
      <c r="I39" s="49"/>
      <c r="J39" s="49"/>
      <c r="K39" s="49"/>
      <c r="L39" s="49"/>
      <c r="M39" s="34"/>
    </row>
    <row r="40" spans="1:13" ht="13.15" x14ac:dyDescent="0.4">
      <c r="A40" s="3" t="s">
        <v>72</v>
      </c>
      <c r="B40" s="132">
        <v>0.02</v>
      </c>
      <c r="C40" s="51">
        <f>B40+C37</f>
        <v>2.5000000000000001E-2</v>
      </c>
      <c r="D40" s="51">
        <f>$B$40+D37</f>
        <v>2.2499999999999999E-2</v>
      </c>
      <c r="E40" s="51">
        <f>$B$40+E37</f>
        <v>2.2499999999999999E-2</v>
      </c>
      <c r="F40" s="51">
        <f>$B$40+F37</f>
        <v>2.5000000000000001E-2</v>
      </c>
      <c r="G40" s="52">
        <f>$B$40+G37</f>
        <v>2.75E-2</v>
      </c>
      <c r="H40" s="52">
        <f>$B$40+H37</f>
        <v>0.03</v>
      </c>
      <c r="I40" s="52">
        <f t="shared" ref="I40:L40" si="3">$B$40+I37</f>
        <v>3.2500000000000001E-2</v>
      </c>
      <c r="J40" s="52">
        <f t="shared" si="3"/>
        <v>3.5000000000000003E-2</v>
      </c>
      <c r="K40" s="52">
        <f t="shared" si="3"/>
        <v>3.7500000000000006E-2</v>
      </c>
      <c r="L40" s="52">
        <f t="shared" si="3"/>
        <v>0.04</v>
      </c>
      <c r="M40" s="34"/>
    </row>
    <row r="41" spans="1:13" ht="13.15" x14ac:dyDescent="0.4">
      <c r="A41" s="3" t="s">
        <v>46</v>
      </c>
      <c r="B41" s="132">
        <v>2.5000000000000001E-2</v>
      </c>
      <c r="C41" s="51">
        <f>$B$41+C37</f>
        <v>3.0000000000000002E-2</v>
      </c>
      <c r="D41" s="51">
        <f>$B$41+D37</f>
        <v>2.75E-2</v>
      </c>
      <c r="E41" s="51">
        <f>$B$41+E37</f>
        <v>2.75E-2</v>
      </c>
      <c r="F41" s="51">
        <f>$B$41+F37</f>
        <v>3.0000000000000002E-2</v>
      </c>
      <c r="G41" s="52">
        <f>$B$41+G37</f>
        <v>3.2500000000000001E-2</v>
      </c>
      <c r="H41" s="52">
        <f>$B$41+H37</f>
        <v>3.5000000000000003E-2</v>
      </c>
      <c r="I41" s="52">
        <f t="shared" ref="I41:L41" si="4">$B$41+I37</f>
        <v>3.7500000000000006E-2</v>
      </c>
      <c r="J41" s="52">
        <f t="shared" si="4"/>
        <v>0.04</v>
      </c>
      <c r="K41" s="52">
        <f t="shared" si="4"/>
        <v>4.2500000000000003E-2</v>
      </c>
      <c r="L41" s="52">
        <f t="shared" si="4"/>
        <v>4.4999999999999998E-2</v>
      </c>
      <c r="M41" s="34"/>
    </row>
    <row r="42" spans="1:13" ht="13.15" x14ac:dyDescent="0.4">
      <c r="A42" s="3" t="s">
        <v>42</v>
      </c>
      <c r="B42" s="53">
        <v>0.12</v>
      </c>
      <c r="C42" s="51">
        <f t="shared" ref="C42:L42" si="5">$B$42</f>
        <v>0.12</v>
      </c>
      <c r="D42" s="51">
        <f t="shared" si="5"/>
        <v>0.12</v>
      </c>
      <c r="E42" s="51">
        <f t="shared" si="5"/>
        <v>0.12</v>
      </c>
      <c r="F42" s="51">
        <f t="shared" si="5"/>
        <v>0.12</v>
      </c>
      <c r="G42" s="52">
        <f t="shared" si="5"/>
        <v>0.12</v>
      </c>
      <c r="H42" s="52">
        <f t="shared" si="5"/>
        <v>0.12</v>
      </c>
      <c r="I42" s="52">
        <f t="shared" si="5"/>
        <v>0.12</v>
      </c>
      <c r="J42" s="52">
        <f t="shared" si="5"/>
        <v>0.12</v>
      </c>
      <c r="K42" s="52">
        <f t="shared" si="5"/>
        <v>0.12</v>
      </c>
      <c r="L42" s="52">
        <f t="shared" si="5"/>
        <v>0.12</v>
      </c>
      <c r="M42" s="34"/>
    </row>
    <row r="43" spans="1:13" x14ac:dyDescent="0.35">
      <c r="B43" s="30"/>
      <c r="C43" s="34"/>
      <c r="D43" s="34"/>
      <c r="E43" s="34"/>
      <c r="F43" s="34"/>
      <c r="G43" s="42"/>
      <c r="H43" s="42"/>
      <c r="I43" s="42"/>
      <c r="J43" s="42"/>
      <c r="K43" s="42"/>
      <c r="L43" s="42"/>
      <c r="M43" s="34"/>
    </row>
    <row r="44" spans="1:13" ht="13.15" x14ac:dyDescent="0.4">
      <c r="A44" s="3" t="s">
        <v>92</v>
      </c>
      <c r="B44" s="53"/>
      <c r="C44" s="39">
        <v>20</v>
      </c>
      <c r="D44" s="39">
        <v>20</v>
      </c>
      <c r="E44" s="39">
        <v>20</v>
      </c>
      <c r="F44" s="39">
        <v>20</v>
      </c>
      <c r="G44" s="40">
        <v>20</v>
      </c>
      <c r="H44" s="40">
        <v>20</v>
      </c>
      <c r="I44" s="40">
        <v>20</v>
      </c>
      <c r="J44" s="40">
        <v>20</v>
      </c>
      <c r="K44" s="40">
        <v>20</v>
      </c>
      <c r="L44" s="40">
        <v>20</v>
      </c>
      <c r="M44" s="34"/>
    </row>
    <row r="45" spans="1:13" ht="13.15" x14ac:dyDescent="0.4">
      <c r="A45" s="3" t="s">
        <v>94</v>
      </c>
      <c r="B45" s="54"/>
      <c r="C45" s="55">
        <v>0</v>
      </c>
      <c r="D45" s="55">
        <v>0</v>
      </c>
      <c r="E45" s="55">
        <v>0</v>
      </c>
      <c r="F45" s="55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34"/>
    </row>
    <row r="46" spans="1:13" ht="13.15" thickBot="1" x14ac:dyDescent="0.4">
      <c r="A46" s="58"/>
      <c r="B46" s="58"/>
      <c r="C46" s="59"/>
      <c r="D46" s="59"/>
      <c r="E46" s="59"/>
      <c r="F46" s="59"/>
      <c r="G46" s="60"/>
      <c r="H46" s="59"/>
      <c r="I46" s="59"/>
      <c r="J46" s="59"/>
      <c r="K46" s="59"/>
      <c r="L46" s="59"/>
      <c r="M46" s="34"/>
    </row>
    <row r="47" spans="1:13" x14ac:dyDescent="0.35">
      <c r="C47" s="34"/>
      <c r="D47" s="34"/>
      <c r="E47" s="34"/>
      <c r="F47" s="34"/>
      <c r="G47" s="61"/>
      <c r="H47" s="61"/>
      <c r="I47" s="34"/>
      <c r="J47" s="34"/>
      <c r="K47" s="34"/>
      <c r="L47" s="34"/>
      <c r="M47" s="34"/>
    </row>
    <row r="48" spans="1:13" ht="15" x14ac:dyDescent="0.4">
      <c r="A48" s="62"/>
      <c r="G48" s="63"/>
      <c r="H48" s="63"/>
    </row>
    <row r="49" spans="1:8" ht="17.649999999999999" x14ac:dyDescent="0.5">
      <c r="A49" s="64"/>
      <c r="G49" s="63"/>
      <c r="H49" s="63"/>
    </row>
    <row r="50" spans="1:8" ht="17.649999999999999" x14ac:dyDescent="0.5">
      <c r="A50" s="64"/>
      <c r="G50" s="63"/>
      <c r="H50" s="63"/>
    </row>
    <row r="51" spans="1:8" x14ac:dyDescent="0.35">
      <c r="G51" s="63"/>
      <c r="H51" s="63"/>
    </row>
    <row r="52" spans="1:8" x14ac:dyDescent="0.35">
      <c r="G52" s="63"/>
      <c r="H52" s="63"/>
    </row>
    <row r="53" spans="1:8" x14ac:dyDescent="0.35">
      <c r="G53" s="63"/>
      <c r="H53" s="63"/>
    </row>
    <row r="54" spans="1:8" x14ac:dyDescent="0.35">
      <c r="G54" s="63"/>
      <c r="H54" s="63"/>
    </row>
    <row r="55" spans="1:8" x14ac:dyDescent="0.35">
      <c r="G55" s="63"/>
      <c r="H55" s="63"/>
    </row>
    <row r="56" spans="1:8" x14ac:dyDescent="0.35">
      <c r="G56" s="63"/>
      <c r="H56" s="63"/>
    </row>
    <row r="57" spans="1:8" x14ac:dyDescent="0.35">
      <c r="G57" s="63"/>
      <c r="H57" s="63"/>
    </row>
    <row r="58" spans="1:8" x14ac:dyDescent="0.35">
      <c r="G58" s="63"/>
      <c r="H58" s="63"/>
    </row>
    <row r="59" spans="1:8" x14ac:dyDescent="0.35">
      <c r="G59" s="63"/>
      <c r="H59" s="63"/>
    </row>
    <row r="60" spans="1:8" x14ac:dyDescent="0.35">
      <c r="G60" s="63"/>
      <c r="H60" s="63"/>
    </row>
    <row r="61" spans="1:8" x14ac:dyDescent="0.35">
      <c r="G61" s="63"/>
      <c r="H61" s="63"/>
    </row>
    <row r="62" spans="1:8" x14ac:dyDescent="0.35">
      <c r="G62" s="63"/>
      <c r="H62" s="63"/>
    </row>
    <row r="63" spans="1:8" x14ac:dyDescent="0.35">
      <c r="G63" s="63"/>
      <c r="H63" s="63"/>
    </row>
    <row r="64" spans="1:8" x14ac:dyDescent="0.35">
      <c r="G64" s="63"/>
      <c r="H64" s="63"/>
    </row>
    <row r="65" spans="7:8" x14ac:dyDescent="0.35">
      <c r="G65" s="63"/>
      <c r="H65" s="63"/>
    </row>
    <row r="66" spans="7:8" x14ac:dyDescent="0.35">
      <c r="G66" s="63"/>
      <c r="H66" s="63"/>
    </row>
    <row r="67" spans="7:8" x14ac:dyDescent="0.35">
      <c r="G67" s="63"/>
      <c r="H67" s="63"/>
    </row>
    <row r="68" spans="7:8" x14ac:dyDescent="0.35">
      <c r="G68" s="63"/>
      <c r="H68" s="63"/>
    </row>
    <row r="69" spans="7:8" x14ac:dyDescent="0.35">
      <c r="G69" s="63"/>
      <c r="H69" s="63"/>
    </row>
    <row r="70" spans="7:8" x14ac:dyDescent="0.35">
      <c r="G70" s="63"/>
      <c r="H70" s="63"/>
    </row>
    <row r="71" spans="7:8" x14ac:dyDescent="0.35">
      <c r="G71" s="63"/>
      <c r="H71" s="63"/>
    </row>
    <row r="72" spans="7:8" x14ac:dyDescent="0.35">
      <c r="G72" s="63"/>
      <c r="H72" s="63"/>
    </row>
    <row r="73" spans="7:8" x14ac:dyDescent="0.35">
      <c r="G73" s="65"/>
    </row>
    <row r="74" spans="7:8" x14ac:dyDescent="0.35">
      <c r="G74" s="65"/>
    </row>
    <row r="75" spans="7:8" x14ac:dyDescent="0.35">
      <c r="G75" s="65"/>
    </row>
    <row r="76" spans="7:8" x14ac:dyDescent="0.35">
      <c r="G76" s="65"/>
    </row>
    <row r="77" spans="7:8" x14ac:dyDescent="0.35">
      <c r="G77" s="65"/>
    </row>
    <row r="78" spans="7:8" x14ac:dyDescent="0.35">
      <c r="G78" s="65"/>
    </row>
    <row r="79" spans="7:8" x14ac:dyDescent="0.35">
      <c r="G79" s="65"/>
    </row>
    <row r="80" spans="7:8" x14ac:dyDescent="0.35">
      <c r="G80" s="65"/>
    </row>
    <row r="81" spans="7:7" x14ac:dyDescent="0.35">
      <c r="G81" s="65"/>
    </row>
    <row r="82" spans="7:7" x14ac:dyDescent="0.35">
      <c r="G82" s="65"/>
    </row>
    <row r="83" spans="7:7" x14ac:dyDescent="0.35">
      <c r="G83" s="65"/>
    </row>
    <row r="84" spans="7:7" x14ac:dyDescent="0.35">
      <c r="G84" s="65"/>
    </row>
    <row r="85" spans="7:7" x14ac:dyDescent="0.35">
      <c r="G85" s="65"/>
    </row>
    <row r="86" spans="7:7" x14ac:dyDescent="0.35">
      <c r="G86" s="65"/>
    </row>
    <row r="87" spans="7:7" x14ac:dyDescent="0.35">
      <c r="G87" s="65"/>
    </row>
    <row r="88" spans="7:7" x14ac:dyDescent="0.35">
      <c r="G88" s="65"/>
    </row>
    <row r="89" spans="7:7" x14ac:dyDescent="0.35">
      <c r="G89" s="65"/>
    </row>
    <row r="90" spans="7:7" x14ac:dyDescent="0.35">
      <c r="G90" s="65"/>
    </row>
    <row r="91" spans="7:7" x14ac:dyDescent="0.35">
      <c r="G91" s="65"/>
    </row>
    <row r="92" spans="7:7" x14ac:dyDescent="0.35">
      <c r="G92" s="65"/>
    </row>
    <row r="93" spans="7:7" x14ac:dyDescent="0.35">
      <c r="G93" s="65"/>
    </row>
    <row r="94" spans="7:7" x14ac:dyDescent="0.35">
      <c r="G94" s="65"/>
    </row>
    <row r="95" spans="7:7" x14ac:dyDescent="0.35">
      <c r="G95" s="65"/>
    </row>
    <row r="96" spans="7:7" x14ac:dyDescent="0.35">
      <c r="G96" s="65"/>
    </row>
    <row r="97" spans="7:7" x14ac:dyDescent="0.35">
      <c r="G97" s="65"/>
    </row>
    <row r="98" spans="7:7" x14ac:dyDescent="0.35">
      <c r="G98" s="65"/>
    </row>
    <row r="99" spans="7:7" x14ac:dyDescent="0.35">
      <c r="G99" s="65"/>
    </row>
    <row r="100" spans="7:7" x14ac:dyDescent="0.35">
      <c r="G100" s="65"/>
    </row>
    <row r="101" spans="7:7" x14ac:dyDescent="0.35">
      <c r="G101" s="65"/>
    </row>
    <row r="102" spans="7:7" x14ac:dyDescent="0.35">
      <c r="G102" s="65"/>
    </row>
  </sheetData>
  <phoneticPr fontId="2" type="noConversion"/>
  <pageMargins left="0.75" right="0.75" top="1" bottom="1" header="0.5" footer="0.5"/>
  <pageSetup scale="68" fitToHeight="2" orientation="portrait" horizontalDpi="4294967293" verticalDpi="4294967293"/>
  <headerFooter alignWithMargins="0"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9"/>
  <sheetViews>
    <sheetView zoomScaleSheetLayoutView="100" workbookViewId="0">
      <selection activeCell="G8" sqref="G8"/>
    </sheetView>
  </sheetViews>
  <sheetFormatPr defaultColWidth="9.19921875" defaultRowHeight="12.75" x14ac:dyDescent="0.35"/>
  <cols>
    <col min="1" max="1" width="31.33203125" style="3" customWidth="1"/>
    <col min="2" max="11" width="9.46484375" style="3" customWidth="1"/>
    <col min="12" max="16384" width="9.19921875" style="3"/>
  </cols>
  <sheetData>
    <row r="1" spans="1:13" ht="15" x14ac:dyDescent="0.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3" ht="15" x14ac:dyDescent="0.4">
      <c r="A3" s="4"/>
      <c r="B3" s="6" t="s">
        <v>119</v>
      </c>
      <c r="C3" s="6"/>
      <c r="D3" s="6"/>
      <c r="E3" s="6"/>
      <c r="F3" s="131"/>
      <c r="G3" s="6" t="s">
        <v>120</v>
      </c>
      <c r="H3" s="6"/>
      <c r="I3" s="6"/>
      <c r="J3" s="6"/>
      <c r="K3" s="6"/>
      <c r="M3" s="5"/>
    </row>
    <row r="4" spans="1:13" ht="15" x14ac:dyDescent="0.4">
      <c r="A4" s="130" t="s">
        <v>2</v>
      </c>
      <c r="B4" s="125" t="s">
        <v>1</v>
      </c>
      <c r="C4" s="125"/>
      <c r="D4" s="125"/>
      <c r="E4" s="125"/>
      <c r="F4" s="126"/>
      <c r="G4" s="129" t="s">
        <v>1</v>
      </c>
      <c r="H4" s="125"/>
      <c r="I4" s="125"/>
      <c r="J4" s="125"/>
      <c r="K4" s="125"/>
      <c r="M4" s="5"/>
    </row>
    <row r="5" spans="1:13" ht="15.4" thickBot="1" x14ac:dyDescent="0.45">
      <c r="B5" s="124">
        <v>2012</v>
      </c>
      <c r="C5" s="124">
        <f t="shared" ref="C5:K5" si="0">B5+1</f>
        <v>2013</v>
      </c>
      <c r="D5" s="124">
        <f t="shared" si="0"/>
        <v>2014</v>
      </c>
      <c r="E5" s="124">
        <f t="shared" si="0"/>
        <v>2015</v>
      </c>
      <c r="F5" s="124">
        <f t="shared" si="0"/>
        <v>2016</v>
      </c>
      <c r="G5" s="127">
        <f t="shared" si="0"/>
        <v>2017</v>
      </c>
      <c r="H5" s="128">
        <f t="shared" si="0"/>
        <v>2018</v>
      </c>
      <c r="I5" s="128">
        <f t="shared" si="0"/>
        <v>2019</v>
      </c>
      <c r="J5" s="128">
        <f t="shared" si="0"/>
        <v>2020</v>
      </c>
      <c r="K5" s="128">
        <f t="shared" si="0"/>
        <v>2021</v>
      </c>
      <c r="M5" s="5"/>
    </row>
    <row r="6" spans="1:13" ht="15" x14ac:dyDescent="0.4">
      <c r="A6" s="7" t="s">
        <v>90</v>
      </c>
      <c r="B6" s="9"/>
      <c r="C6" s="9"/>
      <c r="D6" s="9"/>
      <c r="E6" s="9"/>
      <c r="F6" s="66"/>
      <c r="G6" s="11"/>
      <c r="H6" s="11"/>
      <c r="I6" s="11"/>
      <c r="J6" s="11"/>
      <c r="K6" s="11"/>
      <c r="M6" s="5"/>
    </row>
    <row r="7" spans="1:13" ht="15" x14ac:dyDescent="0.4">
      <c r="A7" s="3" t="s">
        <v>0</v>
      </c>
      <c r="B7" s="27">
        <v>160</v>
      </c>
      <c r="C7" s="27">
        <v>170</v>
      </c>
      <c r="D7" s="27">
        <v>180</v>
      </c>
      <c r="E7" s="27">
        <v>190</v>
      </c>
      <c r="F7" s="67">
        <v>200</v>
      </c>
      <c r="G7" s="27"/>
      <c r="H7" s="27"/>
      <c r="I7" s="27"/>
      <c r="J7" s="27"/>
      <c r="K7" s="27"/>
      <c r="M7" s="5"/>
    </row>
    <row r="8" spans="1:13" x14ac:dyDescent="0.35">
      <c r="A8" s="4" t="s">
        <v>3</v>
      </c>
      <c r="B8" s="68" t="s">
        <v>4</v>
      </c>
      <c r="C8" s="68">
        <f t="shared" ref="C8:F8" si="1">C7/B7-1</f>
        <v>6.25E-2</v>
      </c>
      <c r="D8" s="68">
        <f t="shared" si="1"/>
        <v>5.8823529411764719E-2</v>
      </c>
      <c r="E8" s="68">
        <f t="shared" si="1"/>
        <v>5.555555555555558E-2</v>
      </c>
      <c r="F8" s="69">
        <f t="shared" si="1"/>
        <v>5.2631578947368363E-2</v>
      </c>
      <c r="G8" s="68"/>
      <c r="H8" s="68"/>
      <c r="I8" s="68"/>
      <c r="J8" s="68"/>
      <c r="K8" s="68"/>
      <c r="L8" s="4"/>
    </row>
    <row r="9" spans="1:13" ht="15" x14ac:dyDescent="0.4">
      <c r="B9" s="27"/>
      <c r="C9" s="27"/>
      <c r="D9" s="27"/>
      <c r="E9" s="27"/>
      <c r="F9" s="67"/>
      <c r="G9" s="27"/>
      <c r="H9" s="27"/>
      <c r="I9" s="27"/>
      <c r="J9" s="27"/>
      <c r="K9" s="27"/>
      <c r="M9" s="5"/>
    </row>
    <row r="10" spans="1:13" ht="15" x14ac:dyDescent="0.4">
      <c r="A10" s="3" t="s">
        <v>115</v>
      </c>
      <c r="B10" s="27">
        <f>+B7*0.42</f>
        <v>67.2</v>
      </c>
      <c r="C10" s="27">
        <f>+C7*0.415</f>
        <v>70.55</v>
      </c>
      <c r="D10" s="27">
        <f>+D7*0.41</f>
        <v>73.8</v>
      </c>
      <c r="E10" s="27">
        <f>+E7*0.41</f>
        <v>77.899999999999991</v>
      </c>
      <c r="F10" s="67">
        <f>+F7*0.4</f>
        <v>80</v>
      </c>
      <c r="G10" s="27"/>
      <c r="H10" s="27"/>
      <c r="I10" s="27"/>
      <c r="J10" s="27"/>
      <c r="K10" s="27"/>
      <c r="M10" s="5"/>
    </row>
    <row r="11" spans="1:13" x14ac:dyDescent="0.35">
      <c r="A11" s="4" t="s">
        <v>7</v>
      </c>
      <c r="B11" s="68">
        <f t="shared" ref="B11:F11" si="2">B10/B7</f>
        <v>0.42000000000000004</v>
      </c>
      <c r="C11" s="68">
        <f t="shared" si="2"/>
        <v>0.41499999999999998</v>
      </c>
      <c r="D11" s="68">
        <f t="shared" si="2"/>
        <v>0.41</v>
      </c>
      <c r="E11" s="68">
        <f t="shared" si="2"/>
        <v>0.41</v>
      </c>
      <c r="F11" s="69">
        <f t="shared" si="2"/>
        <v>0.4</v>
      </c>
      <c r="G11" s="68"/>
      <c r="H11" s="68"/>
      <c r="I11" s="68"/>
      <c r="J11" s="68"/>
      <c r="K11" s="68"/>
    </row>
    <row r="12" spans="1:13" x14ac:dyDescent="0.35">
      <c r="B12" s="27"/>
      <c r="C12" s="27"/>
      <c r="D12" s="27"/>
      <c r="E12" s="27"/>
      <c r="F12" s="67"/>
      <c r="G12" s="27"/>
      <c r="H12" s="27"/>
      <c r="I12" s="27"/>
      <c r="J12" s="27"/>
      <c r="K12" s="27"/>
    </row>
    <row r="13" spans="1:13" x14ac:dyDescent="0.35">
      <c r="A13" s="3" t="s">
        <v>11</v>
      </c>
      <c r="B13" s="27">
        <f t="shared" ref="B13:F13" si="3">B7-B10</f>
        <v>92.8</v>
      </c>
      <c r="C13" s="27">
        <f t="shared" si="3"/>
        <v>99.45</v>
      </c>
      <c r="D13" s="27">
        <f t="shared" si="3"/>
        <v>106.2</v>
      </c>
      <c r="E13" s="27">
        <f t="shared" si="3"/>
        <v>112.10000000000001</v>
      </c>
      <c r="F13" s="67">
        <f t="shared" si="3"/>
        <v>120</v>
      </c>
      <c r="G13" s="27"/>
      <c r="H13" s="27"/>
      <c r="I13" s="27"/>
      <c r="J13" s="27"/>
      <c r="K13" s="27"/>
    </row>
    <row r="14" spans="1:13" ht="15" x14ac:dyDescent="0.4">
      <c r="A14" s="4" t="s">
        <v>99</v>
      </c>
      <c r="B14" s="68">
        <f t="shared" ref="B14:F14" si="4">B13/B7</f>
        <v>0.57999999999999996</v>
      </c>
      <c r="C14" s="68">
        <f t="shared" si="4"/>
        <v>0.58499999999999996</v>
      </c>
      <c r="D14" s="68">
        <f t="shared" si="4"/>
        <v>0.59</v>
      </c>
      <c r="E14" s="68">
        <f t="shared" si="4"/>
        <v>0.59000000000000008</v>
      </c>
      <c r="F14" s="69">
        <f t="shared" si="4"/>
        <v>0.6</v>
      </c>
      <c r="G14" s="68"/>
      <c r="H14" s="68"/>
      <c r="I14" s="68"/>
      <c r="J14" s="68"/>
      <c r="K14" s="68"/>
      <c r="M14" s="5"/>
    </row>
    <row r="15" spans="1:13" ht="15" x14ac:dyDescent="0.4">
      <c r="B15" s="27"/>
      <c r="C15" s="27"/>
      <c r="D15" s="27"/>
      <c r="E15" s="27"/>
      <c r="F15" s="67"/>
      <c r="G15" s="27"/>
      <c r="H15" s="27"/>
      <c r="I15" s="27"/>
      <c r="J15" s="27"/>
      <c r="K15" s="27"/>
      <c r="M15" s="5"/>
    </row>
    <row r="16" spans="1:13" x14ac:dyDescent="0.35">
      <c r="A16" s="3" t="s">
        <v>9</v>
      </c>
      <c r="B16" s="22">
        <v>5</v>
      </c>
      <c r="C16" s="22">
        <v>5</v>
      </c>
      <c r="D16" s="22">
        <v>5</v>
      </c>
      <c r="E16" s="22">
        <v>5</v>
      </c>
      <c r="F16" s="70">
        <v>5</v>
      </c>
      <c r="G16" s="27"/>
      <c r="H16" s="27"/>
      <c r="I16" s="27"/>
      <c r="J16" s="27"/>
      <c r="K16" s="27"/>
    </row>
    <row r="17" spans="1:13" x14ac:dyDescent="0.35">
      <c r="A17" s="3" t="s">
        <v>10</v>
      </c>
      <c r="B17" s="22">
        <v>0</v>
      </c>
      <c r="C17" s="22">
        <v>0</v>
      </c>
      <c r="D17" s="22">
        <v>0</v>
      </c>
      <c r="E17" s="22">
        <v>0</v>
      </c>
      <c r="F17" s="70">
        <v>0</v>
      </c>
      <c r="G17" s="27"/>
      <c r="H17" s="27"/>
      <c r="I17" s="27"/>
      <c r="J17" s="27"/>
      <c r="K17" s="27"/>
    </row>
    <row r="18" spans="1:13" x14ac:dyDescent="0.35">
      <c r="B18" s="22"/>
      <c r="C18" s="22"/>
      <c r="D18" s="22"/>
      <c r="E18" s="22"/>
      <c r="F18" s="70"/>
      <c r="G18" s="27"/>
      <c r="H18" s="27"/>
      <c r="I18" s="27"/>
      <c r="J18" s="27"/>
      <c r="K18" s="27"/>
    </row>
    <row r="19" spans="1:13" x14ac:dyDescent="0.35">
      <c r="A19" s="3" t="s">
        <v>12</v>
      </c>
      <c r="B19" s="27">
        <f>+B7*0.3</f>
        <v>48</v>
      </c>
      <c r="C19" s="27">
        <f>+C7*0.3</f>
        <v>51</v>
      </c>
      <c r="D19" s="27">
        <f>+D7*0.3</f>
        <v>54</v>
      </c>
      <c r="E19" s="27">
        <f>+E7*0.3</f>
        <v>57</v>
      </c>
      <c r="F19" s="67">
        <f>+F7*0.3</f>
        <v>60</v>
      </c>
      <c r="G19" s="27"/>
      <c r="H19" s="27"/>
      <c r="I19" s="27"/>
      <c r="J19" s="27"/>
      <c r="K19" s="27"/>
    </row>
    <row r="20" spans="1:13" x14ac:dyDescent="0.35">
      <c r="A20" s="4" t="s">
        <v>13</v>
      </c>
      <c r="B20" s="68">
        <f t="shared" ref="B20:F20" si="5">B19/B7</f>
        <v>0.3</v>
      </c>
      <c r="C20" s="68">
        <f t="shared" si="5"/>
        <v>0.3</v>
      </c>
      <c r="D20" s="68">
        <f t="shared" si="5"/>
        <v>0.3</v>
      </c>
      <c r="E20" s="68">
        <f t="shared" si="5"/>
        <v>0.3</v>
      </c>
      <c r="F20" s="69">
        <f t="shared" si="5"/>
        <v>0.3</v>
      </c>
      <c r="G20" s="68"/>
      <c r="H20" s="68"/>
      <c r="I20" s="68"/>
      <c r="J20" s="68"/>
      <c r="K20" s="68"/>
    </row>
    <row r="21" spans="1:13" x14ac:dyDescent="0.35">
      <c r="B21" s="27"/>
      <c r="C21" s="27"/>
      <c r="D21" s="27"/>
      <c r="E21" s="27"/>
      <c r="F21" s="67"/>
      <c r="G21" s="27"/>
      <c r="H21" s="27"/>
      <c r="I21" s="27"/>
      <c r="J21" s="27"/>
      <c r="K21" s="27"/>
    </row>
    <row r="22" spans="1:13" x14ac:dyDescent="0.35">
      <c r="A22" s="3" t="s">
        <v>15</v>
      </c>
      <c r="B22" s="27">
        <f t="shared" ref="B22:F22" si="6">B13-B16-B17-B19</f>
        <v>39.799999999999997</v>
      </c>
      <c r="C22" s="27">
        <f t="shared" si="6"/>
        <v>43.45</v>
      </c>
      <c r="D22" s="27">
        <f t="shared" si="6"/>
        <v>47.2</v>
      </c>
      <c r="E22" s="27">
        <f t="shared" si="6"/>
        <v>50.100000000000009</v>
      </c>
      <c r="F22" s="67">
        <f t="shared" si="6"/>
        <v>55</v>
      </c>
      <c r="G22" s="27"/>
      <c r="H22" s="27"/>
      <c r="I22" s="27"/>
      <c r="J22" s="27"/>
      <c r="K22" s="27"/>
    </row>
    <row r="23" spans="1:13" x14ac:dyDescent="0.35">
      <c r="A23" s="4" t="s">
        <v>100</v>
      </c>
      <c r="B23" s="68">
        <f t="shared" ref="B23:F23" si="7">B22/B7</f>
        <v>0.24874999999999997</v>
      </c>
      <c r="C23" s="68">
        <f t="shared" si="7"/>
        <v>0.25558823529411767</v>
      </c>
      <c r="D23" s="68">
        <f t="shared" si="7"/>
        <v>0.26222222222222225</v>
      </c>
      <c r="E23" s="68">
        <f t="shared" si="7"/>
        <v>0.26368421052631585</v>
      </c>
      <c r="F23" s="69">
        <f t="shared" si="7"/>
        <v>0.27500000000000002</v>
      </c>
      <c r="G23" s="68"/>
      <c r="H23" s="68"/>
      <c r="I23" s="68"/>
      <c r="J23" s="68"/>
      <c r="K23" s="68"/>
    </row>
    <row r="24" spans="1:13" x14ac:dyDescent="0.35">
      <c r="A24" s="71"/>
      <c r="B24" s="72"/>
      <c r="C24" s="72"/>
      <c r="D24" s="72"/>
      <c r="E24" s="72"/>
      <c r="F24" s="73"/>
      <c r="G24" s="72"/>
      <c r="H24" s="72"/>
      <c r="I24" s="72"/>
      <c r="J24" s="72"/>
      <c r="K24" s="72"/>
    </row>
    <row r="25" spans="1:13" ht="13.15" x14ac:dyDescent="0.4">
      <c r="A25" s="3" t="s">
        <v>26</v>
      </c>
      <c r="B25" s="27">
        <f t="shared" ref="B25:F25" si="8">B22+B16+B17</f>
        <v>44.8</v>
      </c>
      <c r="C25" s="27">
        <f t="shared" si="8"/>
        <v>48.45</v>
      </c>
      <c r="D25" s="27">
        <f t="shared" si="8"/>
        <v>52.2</v>
      </c>
      <c r="E25" s="27">
        <f t="shared" si="8"/>
        <v>55.100000000000009</v>
      </c>
      <c r="F25" s="67">
        <f t="shared" si="8"/>
        <v>60</v>
      </c>
      <c r="G25" s="27"/>
      <c r="H25" s="27"/>
      <c r="I25" s="27"/>
      <c r="J25" s="27"/>
      <c r="K25" s="27"/>
      <c r="M25" s="74"/>
    </row>
    <row r="26" spans="1:13" x14ac:dyDescent="0.35">
      <c r="A26" s="75" t="s">
        <v>101</v>
      </c>
      <c r="B26" s="76">
        <f t="shared" ref="B26:F26" si="9">B25/B7</f>
        <v>0.27999999999999997</v>
      </c>
      <c r="C26" s="76">
        <f t="shared" si="9"/>
        <v>0.28500000000000003</v>
      </c>
      <c r="D26" s="76">
        <f t="shared" si="9"/>
        <v>0.29000000000000004</v>
      </c>
      <c r="E26" s="76">
        <f t="shared" si="9"/>
        <v>0.29000000000000004</v>
      </c>
      <c r="F26" s="69">
        <f t="shared" si="9"/>
        <v>0.3</v>
      </c>
      <c r="G26" s="76"/>
      <c r="H26" s="76"/>
      <c r="I26" s="76"/>
      <c r="J26" s="76"/>
      <c r="K26" s="76"/>
    </row>
    <row r="27" spans="1:13" x14ac:dyDescent="0.35">
      <c r="A27" s="71" t="s">
        <v>87</v>
      </c>
      <c r="B27" s="77" t="s">
        <v>4</v>
      </c>
      <c r="C27" s="77">
        <f t="shared" ref="C27:F27" si="10">C25/B25-1</f>
        <v>8.1473214285714413E-2</v>
      </c>
      <c r="D27" s="77">
        <f t="shared" si="10"/>
        <v>7.7399380804953566E-2</v>
      </c>
      <c r="E27" s="77">
        <f t="shared" si="10"/>
        <v>5.555555555555558E-2</v>
      </c>
      <c r="F27" s="78">
        <f t="shared" si="10"/>
        <v>8.8929219600725862E-2</v>
      </c>
      <c r="G27" s="77"/>
      <c r="H27" s="77"/>
      <c r="I27" s="77"/>
      <c r="J27" s="77"/>
      <c r="K27" s="77"/>
    </row>
    <row r="28" spans="1:13" ht="15" x14ac:dyDescent="0.4">
      <c r="B28" s="27"/>
      <c r="C28" s="27"/>
      <c r="D28" s="27"/>
      <c r="E28" s="27"/>
      <c r="F28" s="67"/>
      <c r="G28" s="27"/>
      <c r="H28" s="27"/>
      <c r="I28" s="27"/>
      <c r="J28" s="27"/>
      <c r="K28" s="27"/>
      <c r="M28" s="5"/>
    </row>
    <row r="29" spans="1:13" ht="15" x14ac:dyDescent="0.4">
      <c r="A29" s="3" t="s">
        <v>16</v>
      </c>
      <c r="B29" s="27">
        <v>13</v>
      </c>
      <c r="C29" s="27">
        <f ca="1">+C135</f>
        <v>18.017095213849288</v>
      </c>
      <c r="D29" s="27">
        <f t="shared" ref="D29:F29" ca="1" si="11">+D135</f>
        <v>17.158442390731743</v>
      </c>
      <c r="E29" s="27">
        <f t="shared" ca="1" si="11"/>
        <v>16.403151073080362</v>
      </c>
      <c r="F29" s="67">
        <f t="shared" ca="1" si="11"/>
        <v>15.486362314048685</v>
      </c>
      <c r="G29" s="79"/>
      <c r="H29" s="79"/>
      <c r="I29" s="79"/>
      <c r="J29" s="79"/>
      <c r="K29" s="79"/>
      <c r="M29" s="80"/>
    </row>
    <row r="30" spans="1:13" ht="15" x14ac:dyDescent="0.4">
      <c r="A30" s="3" t="s">
        <v>17</v>
      </c>
      <c r="B30" s="81">
        <v>0.2</v>
      </c>
      <c r="C30" s="81">
        <f t="shared" ref="C30:F30" ca="1" si="12">+C137</f>
        <v>6.2500000000000003E-3</v>
      </c>
      <c r="D30" s="81">
        <f t="shared" ca="1" si="12"/>
        <v>0</v>
      </c>
      <c r="E30" s="81">
        <f t="shared" ca="1" si="12"/>
        <v>0</v>
      </c>
      <c r="F30" s="82">
        <f t="shared" ca="1" si="12"/>
        <v>0</v>
      </c>
      <c r="G30" s="81"/>
      <c r="H30" s="81"/>
      <c r="I30" s="81"/>
      <c r="J30" s="81"/>
      <c r="K30" s="81"/>
      <c r="M30" s="80"/>
    </row>
    <row r="31" spans="1:13" ht="15" x14ac:dyDescent="0.4">
      <c r="A31" s="3" t="s">
        <v>18</v>
      </c>
      <c r="B31" s="27">
        <f t="shared" ref="B31:F31" si="13">B29-B30</f>
        <v>12.8</v>
      </c>
      <c r="C31" s="27">
        <f t="shared" ca="1" si="13"/>
        <v>18.010845213849286</v>
      </c>
      <c r="D31" s="27">
        <f t="shared" ca="1" si="13"/>
        <v>17.158442390731743</v>
      </c>
      <c r="E31" s="27">
        <f t="shared" ca="1" si="13"/>
        <v>16.403151073080362</v>
      </c>
      <c r="F31" s="67">
        <f t="shared" ca="1" si="13"/>
        <v>15.486362314048685</v>
      </c>
      <c r="G31" s="27"/>
      <c r="H31" s="27"/>
      <c r="I31" s="27"/>
      <c r="J31" s="27"/>
      <c r="K31" s="27"/>
      <c r="M31" s="83"/>
    </row>
    <row r="32" spans="1:13" x14ac:dyDescent="0.35">
      <c r="B32" s="27"/>
      <c r="C32" s="27"/>
      <c r="D32" s="27"/>
      <c r="E32" s="27"/>
      <c r="F32" s="67"/>
      <c r="G32" s="27"/>
      <c r="H32" s="27"/>
      <c r="I32" s="27"/>
      <c r="J32" s="27"/>
      <c r="K32" s="27"/>
    </row>
    <row r="33" spans="1:13" x14ac:dyDescent="0.35">
      <c r="A33" s="3" t="s">
        <v>19</v>
      </c>
      <c r="B33" s="27">
        <v>2</v>
      </c>
      <c r="C33" s="27">
        <v>0</v>
      </c>
      <c r="D33" s="27">
        <v>-2</v>
      </c>
      <c r="E33" s="27">
        <v>1</v>
      </c>
      <c r="F33" s="67">
        <v>0</v>
      </c>
      <c r="G33" s="27"/>
      <c r="H33" s="27"/>
      <c r="I33" s="27"/>
      <c r="J33" s="27"/>
      <c r="K33" s="27"/>
    </row>
    <row r="34" spans="1:13" x14ac:dyDescent="0.35">
      <c r="B34" s="27"/>
      <c r="C34" s="27"/>
      <c r="D34" s="27"/>
      <c r="E34" s="27"/>
      <c r="F34" s="67"/>
      <c r="G34" s="27"/>
      <c r="H34" s="27"/>
      <c r="I34" s="27"/>
      <c r="J34" s="27"/>
      <c r="K34" s="27"/>
    </row>
    <row r="35" spans="1:13" x14ac:dyDescent="0.35">
      <c r="A35" s="3" t="s">
        <v>20</v>
      </c>
      <c r="B35" s="27">
        <f t="shared" ref="B35:F35" si="14">B22-B31+B33</f>
        <v>28.999999999999996</v>
      </c>
      <c r="C35" s="27">
        <f t="shared" ca="1" si="14"/>
        <v>25.439154786150716</v>
      </c>
      <c r="D35" s="27">
        <f t="shared" ca="1" si="14"/>
        <v>28.04155760926826</v>
      </c>
      <c r="E35" s="27">
        <f t="shared" ca="1" si="14"/>
        <v>34.696848926919643</v>
      </c>
      <c r="F35" s="67">
        <f t="shared" ca="1" si="14"/>
        <v>39.513637685951316</v>
      </c>
      <c r="G35" s="27"/>
      <c r="H35" s="27"/>
      <c r="I35" s="27"/>
      <c r="J35" s="27"/>
      <c r="K35" s="27"/>
    </row>
    <row r="36" spans="1:13" x14ac:dyDescent="0.35">
      <c r="B36" s="27"/>
      <c r="C36" s="27"/>
      <c r="D36" s="27"/>
      <c r="E36" s="27"/>
      <c r="F36" s="67"/>
      <c r="G36" s="27"/>
      <c r="H36" s="27"/>
      <c r="I36" s="27"/>
      <c r="J36" s="27"/>
      <c r="K36" s="27"/>
    </row>
    <row r="37" spans="1:13" ht="15" x14ac:dyDescent="0.4">
      <c r="A37" s="3" t="s">
        <v>21</v>
      </c>
      <c r="B37" s="27">
        <f>+B35*0.4</f>
        <v>11.6</v>
      </c>
      <c r="C37" s="27">
        <f ca="1">+C35*0.4</f>
        <v>10.175661914460287</v>
      </c>
      <c r="D37" s="27">
        <f ca="1">+D35*0.4</f>
        <v>11.216623043707305</v>
      </c>
      <c r="E37" s="27">
        <f ca="1">+E35*0.4</f>
        <v>13.878739570767857</v>
      </c>
      <c r="F37" s="67">
        <f ca="1">+F35*0.4</f>
        <v>15.805455074380527</v>
      </c>
      <c r="G37" s="27"/>
      <c r="H37" s="27"/>
      <c r="I37" s="27"/>
      <c r="J37" s="27"/>
      <c r="K37" s="27"/>
      <c r="M37" s="5"/>
    </row>
    <row r="38" spans="1:13" ht="15" x14ac:dyDescent="0.4">
      <c r="A38" s="4" t="s">
        <v>23</v>
      </c>
      <c r="B38" s="68">
        <f t="shared" ref="B38:F38" si="15">B37/B35</f>
        <v>0.4</v>
      </c>
      <c r="C38" s="68">
        <f t="shared" ca="1" si="15"/>
        <v>0.4</v>
      </c>
      <c r="D38" s="68">
        <f t="shared" ca="1" si="15"/>
        <v>0.4</v>
      </c>
      <c r="E38" s="68">
        <f t="shared" ca="1" si="15"/>
        <v>0.4</v>
      </c>
      <c r="F38" s="69">
        <f t="shared" ca="1" si="15"/>
        <v>0.4</v>
      </c>
      <c r="G38" s="68"/>
      <c r="H38" s="68"/>
      <c r="I38" s="68"/>
      <c r="J38" s="68"/>
      <c r="K38" s="68"/>
      <c r="M38" s="5"/>
    </row>
    <row r="39" spans="1:13" x14ac:dyDescent="0.35">
      <c r="B39" s="27"/>
      <c r="C39" s="27"/>
      <c r="D39" s="27"/>
      <c r="E39" s="27"/>
      <c r="F39" s="67"/>
      <c r="G39" s="27"/>
      <c r="H39" s="27"/>
      <c r="I39" s="27"/>
      <c r="J39" s="27"/>
      <c r="K39" s="27"/>
    </row>
    <row r="40" spans="1:13" ht="13.15" x14ac:dyDescent="0.4">
      <c r="A40" s="3" t="s">
        <v>24</v>
      </c>
      <c r="B40" s="27">
        <f t="shared" ref="B40:F40" si="16">B35-B37</f>
        <v>17.399999999999999</v>
      </c>
      <c r="C40" s="27">
        <f t="shared" ca="1" si="16"/>
        <v>15.263492871690429</v>
      </c>
      <c r="D40" s="27">
        <f t="shared" ca="1" si="16"/>
        <v>16.824934565560955</v>
      </c>
      <c r="E40" s="27">
        <f t="shared" ca="1" si="16"/>
        <v>20.818109356151787</v>
      </c>
      <c r="F40" s="67">
        <f t="shared" ca="1" si="16"/>
        <v>23.708182611570791</v>
      </c>
      <c r="G40" s="27"/>
      <c r="H40" s="27"/>
      <c r="I40" s="27"/>
      <c r="J40" s="27"/>
      <c r="K40" s="27"/>
      <c r="M40" s="74"/>
    </row>
    <row r="41" spans="1:13" x14ac:dyDescent="0.35">
      <c r="A41" s="4" t="s">
        <v>102</v>
      </c>
      <c r="B41" s="68">
        <f t="shared" ref="B41:F41" si="17">B40/B7</f>
        <v>0.10874999999999999</v>
      </c>
      <c r="C41" s="68">
        <f t="shared" ca="1" si="17"/>
        <v>8.9785252186414297E-2</v>
      </c>
      <c r="D41" s="68">
        <f t="shared" ca="1" si="17"/>
        <v>9.3471858697560861E-2</v>
      </c>
      <c r="E41" s="68">
        <f t="shared" ca="1" si="17"/>
        <v>0.1095689966113252</v>
      </c>
      <c r="F41" s="69">
        <f t="shared" ca="1" si="17"/>
        <v>0.11854091305785396</v>
      </c>
      <c r="G41" s="68"/>
      <c r="H41" s="68"/>
      <c r="I41" s="68"/>
      <c r="J41" s="68"/>
      <c r="K41" s="68"/>
    </row>
    <row r="42" spans="1:13" x14ac:dyDescent="0.35">
      <c r="A42" s="71" t="s">
        <v>25</v>
      </c>
      <c r="B42" s="77" t="s">
        <v>4</v>
      </c>
      <c r="C42" s="77">
        <f t="shared" ref="C42:F42" ca="1" si="18">C40/B40-1</f>
        <v>-0.12278776599480279</v>
      </c>
      <c r="D42" s="77">
        <f t="shared" ca="1" si="18"/>
        <v>0.10229910722247393</v>
      </c>
      <c r="E42" s="77">
        <f t="shared" ca="1" si="18"/>
        <v>0.23733672039144094</v>
      </c>
      <c r="F42" s="78">
        <f t="shared" ca="1" si="18"/>
        <v>0.138824962727222</v>
      </c>
      <c r="G42" s="77"/>
      <c r="H42" s="77"/>
      <c r="I42" s="77"/>
      <c r="J42" s="77"/>
      <c r="K42" s="77"/>
    </row>
    <row r="43" spans="1:13" x14ac:dyDescent="0.35">
      <c r="A43" s="4" t="s">
        <v>6</v>
      </c>
      <c r="B43" s="16"/>
      <c r="C43" s="16"/>
      <c r="D43" s="16"/>
      <c r="E43" s="16"/>
      <c r="F43" s="84"/>
      <c r="G43" s="16"/>
      <c r="H43" s="16"/>
      <c r="I43" s="16"/>
      <c r="J43" s="16"/>
      <c r="K43" s="16"/>
    </row>
    <row r="44" spans="1:13" x14ac:dyDescent="0.35">
      <c r="A44" s="4"/>
      <c r="B44" s="16"/>
      <c r="C44" s="16"/>
      <c r="D44" s="16"/>
      <c r="E44" s="16"/>
      <c r="F44" s="85"/>
      <c r="G44" s="16"/>
      <c r="H44" s="16"/>
      <c r="I44" s="16"/>
      <c r="J44" s="16"/>
      <c r="K44" s="16"/>
    </row>
    <row r="45" spans="1:13" ht="15" x14ac:dyDescent="0.4">
      <c r="A45" s="7" t="s">
        <v>27</v>
      </c>
      <c r="B45" s="16"/>
      <c r="C45" s="16"/>
      <c r="D45" s="16"/>
      <c r="E45" s="16"/>
      <c r="F45" s="85"/>
      <c r="G45" s="16"/>
      <c r="H45" s="16"/>
      <c r="I45" s="16"/>
      <c r="J45" s="16"/>
      <c r="K45" s="16"/>
    </row>
    <row r="46" spans="1:13" ht="13.15" x14ac:dyDescent="0.4">
      <c r="A46" s="86" t="s">
        <v>36</v>
      </c>
      <c r="B46" s="16"/>
      <c r="C46" s="16"/>
      <c r="D46" s="16"/>
      <c r="E46" s="16"/>
      <c r="F46" s="85"/>
      <c r="G46" s="16"/>
      <c r="H46" s="16"/>
      <c r="I46" s="16"/>
      <c r="J46" s="16"/>
      <c r="K46" s="16"/>
    </row>
    <row r="47" spans="1:13" x14ac:dyDescent="0.35">
      <c r="A47" s="63" t="s">
        <v>28</v>
      </c>
      <c r="B47" s="27">
        <v>5</v>
      </c>
      <c r="C47" s="27">
        <f t="shared" ref="C47:F47" ca="1" si="19">C110</f>
        <v>0</v>
      </c>
      <c r="D47" s="27">
        <f t="shared" ca="1" si="19"/>
        <v>0</v>
      </c>
      <c r="E47" s="27">
        <f t="shared" ca="1" si="19"/>
        <v>0</v>
      </c>
      <c r="F47" s="67">
        <f t="shared" ca="1" si="19"/>
        <v>0</v>
      </c>
      <c r="G47" s="27"/>
      <c r="H47" s="27"/>
      <c r="I47" s="27"/>
      <c r="J47" s="27"/>
      <c r="K47" s="27"/>
    </row>
    <row r="48" spans="1:13" x14ac:dyDescent="0.35">
      <c r="A48" s="87" t="s">
        <v>29</v>
      </c>
      <c r="B48" s="22">
        <v>12</v>
      </c>
      <c r="C48" s="22">
        <v>13</v>
      </c>
      <c r="D48" s="22">
        <v>14</v>
      </c>
      <c r="E48" s="22">
        <v>15</v>
      </c>
      <c r="F48" s="70">
        <v>16</v>
      </c>
      <c r="G48" s="27"/>
      <c r="H48" s="27"/>
      <c r="I48" s="27"/>
      <c r="J48" s="27"/>
      <c r="K48" s="27"/>
    </row>
    <row r="49" spans="1:12" x14ac:dyDescent="0.35">
      <c r="A49" s="87" t="s">
        <v>30</v>
      </c>
      <c r="B49" s="22">
        <v>8</v>
      </c>
      <c r="C49" s="22">
        <v>8.5</v>
      </c>
      <c r="D49" s="22">
        <v>9</v>
      </c>
      <c r="E49" s="22">
        <v>9.5</v>
      </c>
      <c r="F49" s="70">
        <v>10</v>
      </c>
      <c r="G49" s="27"/>
      <c r="H49" s="27"/>
      <c r="I49" s="27"/>
      <c r="J49" s="27"/>
      <c r="K49" s="27"/>
    </row>
    <row r="50" spans="1:12" x14ac:dyDescent="0.35">
      <c r="A50" s="63" t="s">
        <v>31</v>
      </c>
      <c r="B50" s="88">
        <v>1</v>
      </c>
      <c r="C50" s="88">
        <v>1</v>
      </c>
      <c r="D50" s="88">
        <v>1</v>
      </c>
      <c r="E50" s="88">
        <v>1</v>
      </c>
      <c r="F50" s="89">
        <v>1</v>
      </c>
      <c r="G50" s="88"/>
      <c r="H50" s="88"/>
      <c r="I50" s="88"/>
      <c r="J50" s="88"/>
      <c r="K50" s="88"/>
    </row>
    <row r="51" spans="1:12" x14ac:dyDescent="0.35">
      <c r="A51" s="63" t="s">
        <v>37</v>
      </c>
      <c r="B51" s="27">
        <f t="shared" ref="B51:F51" si="20">SUM(B47:B50)</f>
        <v>26</v>
      </c>
      <c r="C51" s="27">
        <f t="shared" ca="1" si="20"/>
        <v>22.5</v>
      </c>
      <c r="D51" s="27">
        <f t="shared" ca="1" si="20"/>
        <v>24</v>
      </c>
      <c r="E51" s="27">
        <f t="shared" ca="1" si="20"/>
        <v>25.5</v>
      </c>
      <c r="F51" s="67">
        <f t="shared" ca="1" si="20"/>
        <v>27</v>
      </c>
      <c r="G51" s="27"/>
      <c r="H51" s="27"/>
      <c r="I51" s="27"/>
      <c r="J51" s="27"/>
      <c r="K51" s="27"/>
    </row>
    <row r="52" spans="1:12" x14ac:dyDescent="0.35">
      <c r="A52" s="63"/>
      <c r="B52" s="27"/>
      <c r="C52" s="27"/>
      <c r="D52" s="27"/>
      <c r="E52" s="27"/>
      <c r="F52" s="67"/>
      <c r="G52" s="27"/>
      <c r="H52" s="27"/>
      <c r="I52" s="27"/>
      <c r="J52" s="27"/>
      <c r="K52" s="27"/>
    </row>
    <row r="53" spans="1:12" x14ac:dyDescent="0.35">
      <c r="A53" s="63" t="s">
        <v>38</v>
      </c>
      <c r="B53" s="27">
        <v>277.2</v>
      </c>
      <c r="C53" s="27">
        <f>+B53-C96</f>
        <v>287.2</v>
      </c>
      <c r="D53" s="27">
        <f>+C53-D96</f>
        <v>298.2</v>
      </c>
      <c r="E53" s="27">
        <f>+D53-E96</f>
        <v>310.2</v>
      </c>
      <c r="F53" s="67">
        <f>+E53-F96</f>
        <v>323.2</v>
      </c>
      <c r="G53" s="27"/>
      <c r="H53" s="27"/>
      <c r="I53" s="27"/>
      <c r="J53" s="27"/>
      <c r="K53" s="27"/>
      <c r="L53" s="90"/>
    </row>
    <row r="54" spans="1:12" x14ac:dyDescent="0.35">
      <c r="A54" s="63" t="s">
        <v>103</v>
      </c>
      <c r="B54" s="81">
        <v>25</v>
      </c>
      <c r="C54" s="81">
        <f>+B54+C16</f>
        <v>30</v>
      </c>
      <c r="D54" s="81">
        <f>+C54+D16</f>
        <v>35</v>
      </c>
      <c r="E54" s="81">
        <f>+D54+E16</f>
        <v>40</v>
      </c>
      <c r="F54" s="82">
        <f>+E54+F16</f>
        <v>45</v>
      </c>
      <c r="G54" s="81"/>
      <c r="H54" s="81"/>
      <c r="I54" s="81"/>
      <c r="J54" s="81"/>
      <c r="K54" s="81"/>
      <c r="L54" s="90"/>
    </row>
    <row r="55" spans="1:12" x14ac:dyDescent="0.35">
      <c r="A55" s="63" t="s">
        <v>39</v>
      </c>
      <c r="B55" s="27">
        <f t="shared" ref="B55:F55" si="21">B53-B54</f>
        <v>252.2</v>
      </c>
      <c r="C55" s="27">
        <f t="shared" si="21"/>
        <v>257.2</v>
      </c>
      <c r="D55" s="27">
        <f t="shared" si="21"/>
        <v>263.2</v>
      </c>
      <c r="E55" s="27">
        <f t="shared" si="21"/>
        <v>270.2</v>
      </c>
      <c r="F55" s="67">
        <f t="shared" si="21"/>
        <v>278.2</v>
      </c>
      <c r="G55" s="27"/>
      <c r="H55" s="27"/>
      <c r="I55" s="27"/>
      <c r="J55" s="27"/>
      <c r="K55" s="27"/>
      <c r="L55" s="90"/>
    </row>
    <row r="56" spans="1:12" x14ac:dyDescent="0.35">
      <c r="A56" s="63"/>
      <c r="B56" s="27"/>
      <c r="C56" s="27"/>
      <c r="D56" s="27"/>
      <c r="E56" s="27"/>
      <c r="F56" s="67"/>
      <c r="G56" s="27"/>
      <c r="H56" s="27"/>
      <c r="I56" s="27"/>
      <c r="J56" s="27"/>
      <c r="K56" s="27"/>
      <c r="L56" s="90"/>
    </row>
    <row r="57" spans="1:12" x14ac:dyDescent="0.35">
      <c r="A57" s="63" t="s">
        <v>105</v>
      </c>
      <c r="B57" s="27">
        <v>0</v>
      </c>
      <c r="C57" s="27">
        <v>0</v>
      </c>
      <c r="D57" s="27">
        <v>0</v>
      </c>
      <c r="E57" s="27">
        <v>0</v>
      </c>
      <c r="F57" s="67">
        <v>0</v>
      </c>
      <c r="G57" s="27"/>
      <c r="H57" s="27"/>
      <c r="I57" s="27"/>
      <c r="J57" s="27"/>
      <c r="K57" s="27"/>
      <c r="L57" s="90"/>
    </row>
    <row r="58" spans="1:12" x14ac:dyDescent="0.35">
      <c r="A58" s="63" t="s">
        <v>88</v>
      </c>
      <c r="B58" s="88">
        <v>5</v>
      </c>
      <c r="C58" s="88">
        <v>5</v>
      </c>
      <c r="D58" s="88">
        <v>5</v>
      </c>
      <c r="E58" s="88">
        <v>5</v>
      </c>
      <c r="F58" s="89">
        <v>5</v>
      </c>
      <c r="G58" s="88"/>
      <c r="H58" s="88"/>
      <c r="I58" s="88"/>
      <c r="J58" s="88"/>
      <c r="K58" s="88"/>
      <c r="L58" s="90"/>
    </row>
    <row r="59" spans="1:12" ht="13.5" thickBot="1" x14ac:dyDescent="0.45">
      <c r="A59" s="91" t="s">
        <v>107</v>
      </c>
      <c r="B59" s="92">
        <f>SUM(B55:B58,B51)</f>
        <v>283.2</v>
      </c>
      <c r="C59" s="92">
        <f ca="1">SUM(C55:C58,C51)</f>
        <v>284.7</v>
      </c>
      <c r="D59" s="92">
        <f ca="1">SUM(D55:D58,D51)</f>
        <v>292.2</v>
      </c>
      <c r="E59" s="92">
        <f ca="1">SUM(E55:E58,E51)</f>
        <v>300.7</v>
      </c>
      <c r="F59" s="93">
        <f ca="1">SUM(F55:F58,F51)</f>
        <v>310.2</v>
      </c>
      <c r="G59" s="92"/>
      <c r="H59" s="92"/>
      <c r="I59" s="92"/>
      <c r="J59" s="92"/>
      <c r="K59" s="92"/>
      <c r="L59" s="90"/>
    </row>
    <row r="60" spans="1:12" ht="13.15" thickTop="1" x14ac:dyDescent="0.35">
      <c r="A60" s="63"/>
      <c r="B60" s="90"/>
      <c r="C60" s="90"/>
      <c r="D60" s="90"/>
      <c r="E60" s="90"/>
      <c r="F60" s="94"/>
      <c r="G60" s="90"/>
      <c r="H60" s="90"/>
      <c r="I60" s="90"/>
      <c r="J60" s="90"/>
      <c r="K60" s="90"/>
      <c r="L60" s="90"/>
    </row>
    <row r="61" spans="1:12" ht="13.15" x14ac:dyDescent="0.4">
      <c r="A61" s="86" t="s">
        <v>40</v>
      </c>
      <c r="B61" s="90"/>
      <c r="C61" s="90"/>
      <c r="D61" s="90"/>
      <c r="E61" s="90"/>
      <c r="F61" s="94"/>
      <c r="G61" s="90"/>
      <c r="H61" s="90"/>
      <c r="I61" s="90"/>
      <c r="J61" s="90"/>
      <c r="K61" s="90"/>
      <c r="L61" s="90"/>
    </row>
    <row r="62" spans="1:12" x14ac:dyDescent="0.35">
      <c r="A62" s="63" t="s">
        <v>32</v>
      </c>
      <c r="B62" s="27">
        <v>8.5</v>
      </c>
      <c r="C62" s="27">
        <v>9</v>
      </c>
      <c r="D62" s="27">
        <v>9.5</v>
      </c>
      <c r="E62" s="27">
        <v>10</v>
      </c>
      <c r="F62" s="67">
        <v>11</v>
      </c>
      <c r="G62" s="27"/>
      <c r="H62" s="27"/>
      <c r="I62" s="27"/>
      <c r="J62" s="27"/>
      <c r="K62" s="27"/>
      <c r="L62" s="90"/>
    </row>
    <row r="63" spans="1:12" x14ac:dyDescent="0.35">
      <c r="A63" s="63" t="s">
        <v>33</v>
      </c>
      <c r="B63" s="27">
        <v>2</v>
      </c>
      <c r="C63" s="27">
        <v>2.1</v>
      </c>
      <c r="D63" s="27">
        <v>2.2000000000000002</v>
      </c>
      <c r="E63" s="27">
        <v>2.2999999999999998</v>
      </c>
      <c r="F63" s="67">
        <v>2.4</v>
      </c>
      <c r="G63" s="27"/>
      <c r="H63" s="27"/>
      <c r="I63" s="27"/>
      <c r="J63" s="27"/>
      <c r="K63" s="27"/>
      <c r="L63" s="90"/>
    </row>
    <row r="64" spans="1:12" x14ac:dyDescent="0.35">
      <c r="A64" s="63" t="s">
        <v>34</v>
      </c>
      <c r="B64" s="88">
        <v>1</v>
      </c>
      <c r="C64" s="88">
        <v>0</v>
      </c>
      <c r="D64" s="88">
        <v>2</v>
      </c>
      <c r="E64" s="88">
        <v>1</v>
      </c>
      <c r="F64" s="89">
        <v>0</v>
      </c>
      <c r="G64" s="88"/>
      <c r="H64" s="88"/>
      <c r="I64" s="88"/>
      <c r="J64" s="88"/>
      <c r="K64" s="88"/>
      <c r="L64" s="90"/>
    </row>
    <row r="65" spans="1:13" ht="15" x14ac:dyDescent="0.4">
      <c r="A65" s="63" t="s">
        <v>41</v>
      </c>
      <c r="B65" s="27">
        <f t="shared" ref="B65:F65" si="22">SUM(B62:B64)</f>
        <v>11.5</v>
      </c>
      <c r="C65" s="27">
        <f t="shared" si="22"/>
        <v>11.1</v>
      </c>
      <c r="D65" s="27">
        <f t="shared" si="22"/>
        <v>13.7</v>
      </c>
      <c r="E65" s="27">
        <f t="shared" si="22"/>
        <v>13.3</v>
      </c>
      <c r="F65" s="67">
        <f t="shared" si="22"/>
        <v>13.4</v>
      </c>
      <c r="G65" s="27"/>
      <c r="H65" s="27"/>
      <c r="I65" s="27"/>
      <c r="J65" s="27"/>
      <c r="K65" s="27"/>
      <c r="L65" s="90"/>
      <c r="M65" s="80"/>
    </row>
    <row r="66" spans="1:13" x14ac:dyDescent="0.35">
      <c r="A66" s="63"/>
      <c r="B66" s="90"/>
      <c r="C66" s="90"/>
      <c r="D66" s="90"/>
      <c r="E66" s="90"/>
      <c r="F66" s="94"/>
      <c r="G66" s="90"/>
      <c r="H66" s="90"/>
      <c r="I66" s="90"/>
      <c r="J66" s="90"/>
      <c r="K66" s="90"/>
      <c r="L66" s="90"/>
    </row>
    <row r="67" spans="1:13" ht="15" x14ac:dyDescent="0.4">
      <c r="A67" s="87" t="s">
        <v>45</v>
      </c>
      <c r="B67" s="27">
        <v>13.299999999999983</v>
      </c>
      <c r="C67" s="27">
        <f ca="1">+C117</f>
        <v>18.93650712830955</v>
      </c>
      <c r="D67" s="27">
        <f ca="1">+D117</f>
        <v>28.011572562748594</v>
      </c>
      <c r="E67" s="27">
        <f ca="1">+E117</f>
        <v>37.093463206596809</v>
      </c>
      <c r="F67" s="67">
        <f ca="1">+F117</f>
        <v>40.785280595026016</v>
      </c>
      <c r="G67" s="27"/>
      <c r="H67" s="27"/>
      <c r="I67" s="27"/>
      <c r="J67" s="27"/>
      <c r="K67" s="27"/>
      <c r="L67" s="90"/>
      <c r="M67" s="80"/>
    </row>
    <row r="68" spans="1:13" ht="15" x14ac:dyDescent="0.4">
      <c r="A68" s="87" t="s">
        <v>46</v>
      </c>
      <c r="B68" s="27">
        <v>180</v>
      </c>
      <c r="C68" s="27">
        <v>160</v>
      </c>
      <c r="D68" s="27">
        <v>140</v>
      </c>
      <c r="E68" s="27">
        <v>120</v>
      </c>
      <c r="F68" s="67">
        <v>100</v>
      </c>
      <c r="G68" s="27"/>
      <c r="H68" s="27"/>
      <c r="I68" s="27"/>
      <c r="J68" s="27"/>
      <c r="K68" s="27"/>
      <c r="L68" s="90"/>
      <c r="M68" s="80"/>
    </row>
    <row r="69" spans="1:13" ht="15" x14ac:dyDescent="0.4">
      <c r="A69" s="87" t="s">
        <v>42</v>
      </c>
      <c r="B69" s="27">
        <v>50</v>
      </c>
      <c r="C69" s="27">
        <v>50</v>
      </c>
      <c r="D69" s="27">
        <v>50</v>
      </c>
      <c r="E69" s="27">
        <v>50</v>
      </c>
      <c r="F69" s="67">
        <v>50</v>
      </c>
      <c r="G69" s="27"/>
      <c r="H69" s="27"/>
      <c r="I69" s="27"/>
      <c r="J69" s="27"/>
      <c r="K69" s="27"/>
      <c r="L69" s="90"/>
      <c r="M69" s="80"/>
    </row>
    <row r="70" spans="1:13" x14ac:dyDescent="0.35">
      <c r="A70" s="87" t="s">
        <v>35</v>
      </c>
      <c r="B70" s="88">
        <v>1</v>
      </c>
      <c r="C70" s="88">
        <v>2</v>
      </c>
      <c r="D70" s="88">
        <v>1</v>
      </c>
      <c r="E70" s="88">
        <v>0</v>
      </c>
      <c r="F70" s="89">
        <v>2</v>
      </c>
      <c r="G70" s="88"/>
      <c r="H70" s="88"/>
      <c r="I70" s="88"/>
      <c r="J70" s="88"/>
      <c r="K70" s="88"/>
      <c r="L70" s="90"/>
    </row>
    <row r="71" spans="1:13" ht="13.15" x14ac:dyDescent="0.4">
      <c r="A71" s="95" t="s">
        <v>47</v>
      </c>
      <c r="B71" s="27">
        <f t="shared" ref="B71:F71" si="23">SUM(B65:B70)</f>
        <v>255.79999999999998</v>
      </c>
      <c r="C71" s="27">
        <f t="shared" ca="1" si="23"/>
        <v>242.03650712830955</v>
      </c>
      <c r="D71" s="27">
        <f t="shared" ca="1" si="23"/>
        <v>232.71157256274859</v>
      </c>
      <c r="E71" s="27">
        <f t="shared" ca="1" si="23"/>
        <v>220.39346320659681</v>
      </c>
      <c r="F71" s="67">
        <f t="shared" ca="1" si="23"/>
        <v>206.18528059502603</v>
      </c>
      <c r="G71" s="27"/>
      <c r="H71" s="27"/>
      <c r="I71" s="27"/>
      <c r="J71" s="27"/>
      <c r="K71" s="27"/>
      <c r="L71" s="90"/>
    </row>
    <row r="72" spans="1:13" ht="15" x14ac:dyDescent="0.4">
      <c r="A72" s="87"/>
      <c r="B72" s="27"/>
      <c r="C72" s="27"/>
      <c r="D72" s="27"/>
      <c r="E72" s="27"/>
      <c r="F72" s="67"/>
      <c r="G72" s="27"/>
      <c r="H72" s="27"/>
      <c r="I72" s="27"/>
      <c r="J72" s="27"/>
      <c r="K72" s="27"/>
      <c r="L72" s="90"/>
      <c r="M72" s="5"/>
    </row>
    <row r="73" spans="1:13" ht="15" x14ac:dyDescent="0.4">
      <c r="A73" s="96" t="s">
        <v>43</v>
      </c>
      <c r="B73" s="90"/>
      <c r="C73" s="90"/>
      <c r="D73" s="90"/>
      <c r="E73" s="90"/>
      <c r="F73" s="94"/>
      <c r="G73" s="90"/>
      <c r="H73" s="90"/>
      <c r="I73" s="90"/>
      <c r="J73" s="90"/>
      <c r="K73" s="90"/>
      <c r="L73" s="90"/>
      <c r="M73" s="5"/>
    </row>
    <row r="74" spans="1:13" x14ac:dyDescent="0.35">
      <c r="A74" s="87" t="s">
        <v>95</v>
      </c>
      <c r="B74" s="27">
        <f>+B40</f>
        <v>17.399999999999999</v>
      </c>
      <c r="C74" s="27">
        <f ca="1">+B74+C40</f>
        <v>32.66349287169043</v>
      </c>
      <c r="D74" s="27">
        <f ca="1">+C74+D40</f>
        <v>49.488427437251389</v>
      </c>
      <c r="E74" s="27">
        <f ca="1">+D74+E40</f>
        <v>70.306536793403183</v>
      </c>
      <c r="F74" s="67">
        <f ca="1">+E74+F40</f>
        <v>94.014719404973974</v>
      </c>
      <c r="G74" s="27"/>
      <c r="H74" s="27"/>
      <c r="I74" s="27"/>
      <c r="J74" s="27"/>
      <c r="K74" s="27"/>
      <c r="L74" s="90"/>
    </row>
    <row r="75" spans="1:13" x14ac:dyDescent="0.35">
      <c r="A75" s="87" t="s">
        <v>97</v>
      </c>
      <c r="B75" s="97">
        <v>10</v>
      </c>
      <c r="C75" s="97">
        <v>10</v>
      </c>
      <c r="D75" s="97">
        <v>10</v>
      </c>
      <c r="E75" s="97">
        <v>10</v>
      </c>
      <c r="F75" s="98">
        <v>10</v>
      </c>
      <c r="G75" s="88"/>
      <c r="H75" s="88"/>
      <c r="I75" s="88"/>
      <c r="J75" s="88"/>
      <c r="K75" s="88"/>
      <c r="L75" s="90"/>
    </row>
    <row r="76" spans="1:13" ht="13.15" x14ac:dyDescent="0.4">
      <c r="A76" s="95" t="s">
        <v>86</v>
      </c>
      <c r="B76" s="27">
        <f>B75+B74</f>
        <v>27.4</v>
      </c>
      <c r="C76" s="27">
        <f ca="1">C75+C74</f>
        <v>42.66349287169043</v>
      </c>
      <c r="D76" s="27">
        <f ca="1">D75+D74</f>
        <v>59.488427437251389</v>
      </c>
      <c r="E76" s="27">
        <f ca="1">E75+E74</f>
        <v>80.306536793403183</v>
      </c>
      <c r="F76" s="67">
        <f ca="1">F75+F74</f>
        <v>104.01471940497397</v>
      </c>
      <c r="G76" s="27"/>
      <c r="H76" s="27"/>
      <c r="I76" s="27"/>
      <c r="J76" s="27"/>
      <c r="K76" s="27"/>
      <c r="L76" s="90"/>
    </row>
    <row r="77" spans="1:13" x14ac:dyDescent="0.35">
      <c r="A77" s="87"/>
      <c r="B77" s="88"/>
      <c r="C77" s="88"/>
      <c r="D77" s="88"/>
      <c r="E77" s="88"/>
      <c r="F77" s="89"/>
      <c r="G77" s="88"/>
      <c r="H77" s="88"/>
      <c r="I77" s="88"/>
      <c r="J77" s="88"/>
      <c r="K77" s="88"/>
      <c r="L77" s="90"/>
    </row>
    <row r="78" spans="1:13" ht="13.5" thickBot="1" x14ac:dyDescent="0.45">
      <c r="A78" s="95" t="s">
        <v>106</v>
      </c>
      <c r="B78" s="92">
        <f>B76+B71</f>
        <v>283.2</v>
      </c>
      <c r="C78" s="92">
        <f ca="1">C76+C71</f>
        <v>284.7</v>
      </c>
      <c r="D78" s="92">
        <f ca="1">D76+D71</f>
        <v>292.2</v>
      </c>
      <c r="E78" s="92">
        <f ca="1">E76+E71</f>
        <v>300.7</v>
      </c>
      <c r="F78" s="93">
        <f ca="1">F76+F71</f>
        <v>310.2</v>
      </c>
      <c r="G78" s="92"/>
      <c r="H78" s="92"/>
      <c r="I78" s="92"/>
      <c r="J78" s="92"/>
      <c r="K78" s="92"/>
      <c r="L78" s="90"/>
    </row>
    <row r="79" spans="1:13" ht="13.15" thickTop="1" x14ac:dyDescent="0.35">
      <c r="A79" s="99" t="s">
        <v>85</v>
      </c>
      <c r="B79" s="100">
        <f t="shared" ref="B79:F79" si="24">B59-B78</f>
        <v>0</v>
      </c>
      <c r="C79" s="100">
        <f t="shared" ca="1" si="24"/>
        <v>0</v>
      </c>
      <c r="D79" s="100">
        <f t="shared" ca="1" si="24"/>
        <v>0</v>
      </c>
      <c r="E79" s="100">
        <f t="shared" ca="1" si="24"/>
        <v>0</v>
      </c>
      <c r="F79" s="101">
        <f t="shared" ca="1" si="24"/>
        <v>0</v>
      </c>
      <c r="G79" s="100"/>
      <c r="H79" s="100"/>
      <c r="I79" s="100"/>
      <c r="J79" s="100"/>
      <c r="K79" s="100"/>
      <c r="L79" s="90"/>
    </row>
    <row r="80" spans="1:13" x14ac:dyDescent="0.35">
      <c r="A80" s="102"/>
      <c r="B80" s="103"/>
      <c r="C80" s="103"/>
      <c r="D80" s="103"/>
      <c r="E80" s="103"/>
      <c r="F80" s="104"/>
      <c r="G80" s="103"/>
      <c r="H80" s="103"/>
      <c r="I80" s="103"/>
      <c r="J80" s="103"/>
      <c r="K80" s="103"/>
      <c r="L80" s="90"/>
    </row>
    <row r="81" spans="1:13" ht="15" x14ac:dyDescent="0.4">
      <c r="A81" s="7" t="s">
        <v>48</v>
      </c>
      <c r="B81" s="27"/>
      <c r="C81" s="27"/>
      <c r="D81" s="27"/>
      <c r="E81" s="27"/>
      <c r="F81" s="67"/>
      <c r="G81" s="27"/>
      <c r="H81" s="27"/>
      <c r="I81" s="27"/>
      <c r="J81" s="27"/>
      <c r="K81" s="27"/>
      <c r="L81" s="90"/>
    </row>
    <row r="82" spans="1:13" x14ac:dyDescent="0.35">
      <c r="A82" s="3" t="s">
        <v>24</v>
      </c>
      <c r="B82" s="103" t="s">
        <v>4</v>
      </c>
      <c r="C82" s="27">
        <f t="shared" ref="C82:F82" ca="1" si="25">C40</f>
        <v>15.263492871690429</v>
      </c>
      <c r="D82" s="27">
        <f t="shared" ca="1" si="25"/>
        <v>16.824934565560955</v>
      </c>
      <c r="E82" s="27">
        <f t="shared" ca="1" si="25"/>
        <v>20.818109356151787</v>
      </c>
      <c r="F82" s="67">
        <f t="shared" ca="1" si="25"/>
        <v>23.708182611570791</v>
      </c>
      <c r="G82" s="27"/>
      <c r="H82" s="27"/>
      <c r="I82" s="27"/>
      <c r="J82" s="27"/>
      <c r="K82" s="27"/>
      <c r="L82" s="90"/>
    </row>
    <row r="83" spans="1:13" x14ac:dyDescent="0.35">
      <c r="A83" s="105" t="s">
        <v>49</v>
      </c>
      <c r="B83" s="90"/>
      <c r="C83" s="90"/>
      <c r="D83" s="90"/>
      <c r="E83" s="90"/>
      <c r="F83" s="94"/>
      <c r="G83" s="90"/>
      <c r="H83" s="90"/>
      <c r="I83" s="90"/>
      <c r="J83" s="90"/>
      <c r="K83" s="90"/>
      <c r="L83" s="90"/>
    </row>
    <row r="84" spans="1:13" x14ac:dyDescent="0.35">
      <c r="A84" s="3" t="s">
        <v>109</v>
      </c>
      <c r="B84" s="103" t="s">
        <v>4</v>
      </c>
      <c r="C84" s="27">
        <f t="shared" ref="C84:F84" si="26">C16+C17</f>
        <v>5</v>
      </c>
      <c r="D84" s="27">
        <f t="shared" si="26"/>
        <v>5</v>
      </c>
      <c r="E84" s="27">
        <f t="shared" si="26"/>
        <v>5</v>
      </c>
      <c r="F84" s="67">
        <f t="shared" si="26"/>
        <v>5</v>
      </c>
      <c r="G84" s="27"/>
      <c r="H84" s="27"/>
      <c r="I84" s="27"/>
      <c r="J84" s="27"/>
      <c r="K84" s="27"/>
      <c r="L84" s="90"/>
    </row>
    <row r="85" spans="1:13" x14ac:dyDescent="0.35">
      <c r="A85" s="3" t="s">
        <v>110</v>
      </c>
      <c r="B85" s="90"/>
      <c r="F85" s="106"/>
      <c r="H85" s="107"/>
      <c r="L85" s="90"/>
    </row>
    <row r="86" spans="1:13" x14ac:dyDescent="0.35">
      <c r="A86" s="3" t="s">
        <v>50</v>
      </c>
      <c r="B86" s="103" t="s">
        <v>4</v>
      </c>
      <c r="C86" s="27">
        <f t="shared" ref="C86:F88" si="27">B48-C48</f>
        <v>-1</v>
      </c>
      <c r="D86" s="27">
        <f t="shared" si="27"/>
        <v>-1</v>
      </c>
      <c r="E86" s="27">
        <f t="shared" si="27"/>
        <v>-1</v>
      </c>
      <c r="F86" s="67">
        <f t="shared" si="27"/>
        <v>-1</v>
      </c>
      <c r="G86" s="27"/>
      <c r="H86" s="27"/>
      <c r="I86" s="27"/>
      <c r="J86" s="27"/>
      <c r="K86" s="27"/>
      <c r="L86" s="90"/>
    </row>
    <row r="87" spans="1:13" x14ac:dyDescent="0.35">
      <c r="A87" s="3" t="s">
        <v>51</v>
      </c>
      <c r="B87" s="103" t="s">
        <v>4</v>
      </c>
      <c r="C87" s="27">
        <f t="shared" si="27"/>
        <v>-0.5</v>
      </c>
      <c r="D87" s="27">
        <f t="shared" si="27"/>
        <v>-0.5</v>
      </c>
      <c r="E87" s="27">
        <f t="shared" si="27"/>
        <v>-0.5</v>
      </c>
      <c r="F87" s="67">
        <f t="shared" si="27"/>
        <v>-0.5</v>
      </c>
      <c r="G87" s="27"/>
      <c r="H87" s="27"/>
      <c r="I87" s="27"/>
      <c r="J87" s="27"/>
      <c r="K87" s="27"/>
      <c r="L87" s="90"/>
    </row>
    <row r="88" spans="1:13" x14ac:dyDescent="0.35">
      <c r="A88" s="3" t="s">
        <v>52</v>
      </c>
      <c r="B88" s="103" t="s">
        <v>4</v>
      </c>
      <c r="C88" s="27">
        <f t="shared" si="27"/>
        <v>0</v>
      </c>
      <c r="D88" s="27">
        <f t="shared" si="27"/>
        <v>0</v>
      </c>
      <c r="E88" s="27">
        <f t="shared" si="27"/>
        <v>0</v>
      </c>
      <c r="F88" s="67">
        <f t="shared" si="27"/>
        <v>0</v>
      </c>
      <c r="G88" s="27"/>
      <c r="H88" s="27"/>
      <c r="I88" s="27"/>
      <c r="J88" s="27"/>
      <c r="K88" s="27"/>
      <c r="L88" s="90"/>
    </row>
    <row r="89" spans="1:13" x14ac:dyDescent="0.35">
      <c r="A89" s="3" t="s">
        <v>53</v>
      </c>
      <c r="B89" s="103" t="s">
        <v>4</v>
      </c>
      <c r="C89" s="27">
        <f t="shared" ref="C89:F91" si="28">C62-B62</f>
        <v>0.5</v>
      </c>
      <c r="D89" s="27">
        <f t="shared" si="28"/>
        <v>0.5</v>
      </c>
      <c r="E89" s="27">
        <f t="shared" si="28"/>
        <v>0.5</v>
      </c>
      <c r="F89" s="67">
        <f t="shared" si="28"/>
        <v>1</v>
      </c>
      <c r="G89" s="27"/>
      <c r="H89" s="27"/>
      <c r="I89" s="27"/>
      <c r="J89" s="27"/>
      <c r="K89" s="27"/>
      <c r="L89" s="90"/>
    </row>
    <row r="90" spans="1:13" x14ac:dyDescent="0.35">
      <c r="A90" s="3" t="s">
        <v>54</v>
      </c>
      <c r="B90" s="103" t="s">
        <v>4</v>
      </c>
      <c r="C90" s="27">
        <f t="shared" si="28"/>
        <v>0.10000000000000009</v>
      </c>
      <c r="D90" s="27">
        <f t="shared" si="28"/>
        <v>0.10000000000000009</v>
      </c>
      <c r="E90" s="27">
        <f t="shared" si="28"/>
        <v>9.9999999999999645E-2</v>
      </c>
      <c r="F90" s="67">
        <f t="shared" si="28"/>
        <v>0.10000000000000009</v>
      </c>
      <c r="G90" s="27"/>
      <c r="H90" s="27"/>
      <c r="I90" s="27"/>
      <c r="J90" s="27"/>
      <c r="K90" s="27"/>
      <c r="L90" s="90"/>
    </row>
    <row r="91" spans="1:13" x14ac:dyDescent="0.35">
      <c r="A91" s="3" t="s">
        <v>89</v>
      </c>
      <c r="B91" s="103" t="s">
        <v>4</v>
      </c>
      <c r="C91" s="27">
        <f t="shared" si="28"/>
        <v>-1</v>
      </c>
      <c r="D91" s="27">
        <f t="shared" si="28"/>
        <v>2</v>
      </c>
      <c r="E91" s="27">
        <f t="shared" si="28"/>
        <v>-1</v>
      </c>
      <c r="F91" s="67">
        <f t="shared" si="28"/>
        <v>-1</v>
      </c>
      <c r="G91" s="27"/>
      <c r="H91" s="27"/>
      <c r="I91" s="27"/>
      <c r="J91" s="27"/>
      <c r="K91" s="27"/>
      <c r="L91" s="90"/>
    </row>
    <row r="92" spans="1:13" x14ac:dyDescent="0.35">
      <c r="A92" s="3" t="s">
        <v>111</v>
      </c>
      <c r="B92" s="103" t="s">
        <v>4</v>
      </c>
      <c r="C92" s="88">
        <f t="shared" ref="C92:F92" si="29">C70-B70</f>
        <v>1</v>
      </c>
      <c r="D92" s="88">
        <f t="shared" si="29"/>
        <v>-1</v>
      </c>
      <c r="E92" s="88">
        <f t="shared" si="29"/>
        <v>-1</v>
      </c>
      <c r="F92" s="89">
        <f t="shared" si="29"/>
        <v>2</v>
      </c>
      <c r="G92" s="108"/>
      <c r="H92" s="88"/>
      <c r="I92" s="108"/>
      <c r="J92" s="108"/>
      <c r="K92" s="108"/>
      <c r="L92" s="90"/>
    </row>
    <row r="93" spans="1:13" ht="13.15" x14ac:dyDescent="0.4">
      <c r="A93" s="109" t="s">
        <v>108</v>
      </c>
      <c r="B93" s="103" t="s">
        <v>4</v>
      </c>
      <c r="C93" s="27">
        <f t="shared" ref="C93:F93" ca="1" si="30">SUM(C82:C92)</f>
        <v>19.363492871690433</v>
      </c>
      <c r="D93" s="27">
        <f t="shared" ca="1" si="30"/>
        <v>21.924934565560957</v>
      </c>
      <c r="E93" s="27">
        <f t="shared" ca="1" si="30"/>
        <v>22.918109356151788</v>
      </c>
      <c r="F93" s="67">
        <f t="shared" ca="1" si="30"/>
        <v>29.308182611570793</v>
      </c>
      <c r="G93" s="27"/>
      <c r="H93" s="27"/>
      <c r="I93" s="27"/>
      <c r="J93" s="27"/>
      <c r="K93" s="27"/>
      <c r="L93" s="90"/>
    </row>
    <row r="94" spans="1:13" x14ac:dyDescent="0.35">
      <c r="B94" s="90"/>
      <c r="C94" s="90"/>
      <c r="D94" s="90"/>
      <c r="E94" s="90"/>
      <c r="F94" s="94"/>
      <c r="G94" s="90"/>
      <c r="H94" s="90"/>
      <c r="I94" s="90"/>
      <c r="J94" s="90"/>
      <c r="K94" s="90"/>
      <c r="L94" s="90"/>
    </row>
    <row r="95" spans="1:13" ht="13.15" x14ac:dyDescent="0.4">
      <c r="A95" s="8" t="s">
        <v>112</v>
      </c>
      <c r="B95" s="90"/>
      <c r="C95" s="90"/>
      <c r="D95" s="90"/>
      <c r="E95" s="90"/>
      <c r="F95" s="94"/>
      <c r="G95" s="90"/>
      <c r="H95" s="90"/>
      <c r="I95" s="90"/>
      <c r="J95" s="90"/>
      <c r="K95" s="90"/>
      <c r="L95" s="90"/>
    </row>
    <row r="96" spans="1:13" ht="13.15" x14ac:dyDescent="0.4">
      <c r="A96" s="3" t="s">
        <v>44</v>
      </c>
      <c r="B96" s="103" t="s">
        <v>4</v>
      </c>
      <c r="C96" s="27">
        <v>-10</v>
      </c>
      <c r="D96" s="27">
        <v>-11</v>
      </c>
      <c r="E96" s="27">
        <v>-12</v>
      </c>
      <c r="F96" s="67">
        <v>-13</v>
      </c>
      <c r="G96" s="27"/>
      <c r="H96" s="27"/>
      <c r="I96" s="27"/>
      <c r="J96" s="27"/>
      <c r="K96" s="27"/>
      <c r="L96" s="90"/>
      <c r="M96" s="74"/>
    </row>
    <row r="97" spans="1:22" x14ac:dyDescent="0.35">
      <c r="A97" s="3" t="s">
        <v>96</v>
      </c>
      <c r="B97" s="103" t="s">
        <v>4</v>
      </c>
      <c r="C97" s="88">
        <v>0</v>
      </c>
      <c r="D97" s="88">
        <v>0</v>
      </c>
      <c r="E97" s="88">
        <v>0</v>
      </c>
      <c r="F97" s="89">
        <v>0</v>
      </c>
      <c r="G97" s="88"/>
      <c r="H97" s="88"/>
      <c r="I97" s="88"/>
      <c r="J97" s="88"/>
      <c r="K97" s="88"/>
    </row>
    <row r="98" spans="1:22" ht="13.15" x14ac:dyDescent="0.4">
      <c r="A98" s="109" t="s">
        <v>112</v>
      </c>
      <c r="B98" s="103" t="s">
        <v>4</v>
      </c>
      <c r="C98" s="27">
        <f t="shared" ref="C98:F98" si="31">C96+C97</f>
        <v>-10</v>
      </c>
      <c r="D98" s="27">
        <f t="shared" si="31"/>
        <v>-11</v>
      </c>
      <c r="E98" s="27">
        <f t="shared" si="31"/>
        <v>-12</v>
      </c>
      <c r="F98" s="67">
        <f t="shared" si="31"/>
        <v>-13</v>
      </c>
      <c r="G98" s="27"/>
      <c r="H98" s="27"/>
      <c r="I98" s="27"/>
      <c r="J98" s="27"/>
      <c r="K98" s="27"/>
    </row>
    <row r="99" spans="1:22" x14ac:dyDescent="0.35">
      <c r="B99" s="16"/>
      <c r="C99" s="16"/>
      <c r="D99" s="16"/>
      <c r="E99" s="16"/>
      <c r="F99" s="85"/>
      <c r="G99" s="16"/>
      <c r="H99" s="16"/>
      <c r="I99" s="16"/>
      <c r="J99" s="16"/>
      <c r="K99" s="16"/>
    </row>
    <row r="100" spans="1:22" ht="13.15" x14ac:dyDescent="0.4">
      <c r="A100" s="8" t="s">
        <v>61</v>
      </c>
      <c r="B100" s="16"/>
      <c r="C100" s="16"/>
      <c r="D100" s="16"/>
      <c r="E100" s="16"/>
      <c r="F100" s="85"/>
      <c r="G100" s="16"/>
      <c r="H100" s="16"/>
      <c r="I100" s="16"/>
      <c r="J100" s="16"/>
      <c r="K100" s="16"/>
    </row>
    <row r="101" spans="1:22" x14ac:dyDescent="0.35">
      <c r="A101" s="3" t="s">
        <v>62</v>
      </c>
      <c r="B101" s="103" t="s">
        <v>4</v>
      </c>
      <c r="C101" s="27">
        <f t="shared" ref="C101:F103" ca="1" si="32">C67-B67</f>
        <v>5.6365071283095673</v>
      </c>
      <c r="D101" s="27">
        <f t="shared" ca="1" si="32"/>
        <v>9.0750654344390433</v>
      </c>
      <c r="E101" s="27">
        <f t="shared" ca="1" si="32"/>
        <v>9.0818906438482152</v>
      </c>
      <c r="F101" s="67">
        <f t="shared" ca="1" si="32"/>
        <v>3.6918173884292074</v>
      </c>
      <c r="G101" s="27"/>
      <c r="H101" s="27"/>
      <c r="I101" s="27"/>
      <c r="J101" s="27"/>
      <c r="K101" s="27"/>
    </row>
    <row r="102" spans="1:22" ht="15" x14ac:dyDescent="0.4">
      <c r="A102" s="3" t="s">
        <v>63</v>
      </c>
      <c r="B102" s="103" t="s">
        <v>4</v>
      </c>
      <c r="C102" s="27">
        <f t="shared" si="32"/>
        <v>-20</v>
      </c>
      <c r="D102" s="27">
        <f t="shared" si="32"/>
        <v>-20</v>
      </c>
      <c r="E102" s="27">
        <f t="shared" si="32"/>
        <v>-20</v>
      </c>
      <c r="F102" s="67">
        <f t="shared" si="32"/>
        <v>-20</v>
      </c>
      <c r="G102" s="27"/>
      <c r="H102" s="27"/>
      <c r="I102" s="27"/>
      <c r="J102" s="27"/>
      <c r="K102" s="27"/>
      <c r="M102" s="5"/>
    </row>
    <row r="103" spans="1:22" ht="15" x14ac:dyDescent="0.4">
      <c r="A103" s="3" t="s">
        <v>64</v>
      </c>
      <c r="B103" s="103" t="s">
        <v>4</v>
      </c>
      <c r="C103" s="88">
        <f t="shared" si="32"/>
        <v>0</v>
      </c>
      <c r="D103" s="88">
        <f t="shared" si="32"/>
        <v>0</v>
      </c>
      <c r="E103" s="88">
        <f t="shared" si="32"/>
        <v>0</v>
      </c>
      <c r="F103" s="89">
        <f t="shared" si="32"/>
        <v>0</v>
      </c>
      <c r="G103" s="88"/>
      <c r="H103" s="88"/>
      <c r="I103" s="88"/>
      <c r="J103" s="88"/>
      <c r="K103" s="88"/>
      <c r="M103" s="5"/>
    </row>
    <row r="104" spans="1:22" ht="13.15" x14ac:dyDescent="0.4">
      <c r="A104" s="109" t="s">
        <v>113</v>
      </c>
      <c r="B104" s="103" t="s">
        <v>4</v>
      </c>
      <c r="C104" s="27">
        <f t="shared" ref="C104:F104" ca="1" si="33">SUM(C101:C103)</f>
        <v>-14.363492871690433</v>
      </c>
      <c r="D104" s="27">
        <f t="shared" ca="1" si="33"/>
        <v>-10.924934565560957</v>
      </c>
      <c r="E104" s="27">
        <f t="shared" ca="1" si="33"/>
        <v>-10.918109356151785</v>
      </c>
      <c r="F104" s="67">
        <f t="shared" ca="1" si="33"/>
        <v>-16.308182611570793</v>
      </c>
      <c r="G104" s="27"/>
      <c r="H104" s="27"/>
      <c r="I104" s="27"/>
      <c r="J104" s="27"/>
      <c r="K104" s="27"/>
    </row>
    <row r="105" spans="1:22" x14ac:dyDescent="0.35">
      <c r="B105" s="16"/>
      <c r="C105" s="16"/>
      <c r="D105" s="16"/>
      <c r="E105" s="16"/>
      <c r="F105" s="85"/>
      <c r="G105" s="16"/>
      <c r="H105" s="16"/>
      <c r="I105" s="16"/>
      <c r="J105" s="16"/>
      <c r="K105" s="16"/>
    </row>
    <row r="106" spans="1:22" ht="13.15" x14ac:dyDescent="0.4">
      <c r="A106" s="109" t="s">
        <v>114</v>
      </c>
      <c r="B106" s="103" t="s">
        <v>4</v>
      </c>
      <c r="C106" s="27">
        <f ca="1">C104+C98+C93</f>
        <v>-5</v>
      </c>
      <c r="D106" s="27">
        <f ca="1">D104+D98+D93</f>
        <v>0</v>
      </c>
      <c r="E106" s="27">
        <f ca="1">E104+E98+E93</f>
        <v>0</v>
      </c>
      <c r="F106" s="67">
        <f ca="1">F104+F98+F93</f>
        <v>0</v>
      </c>
      <c r="G106" s="27"/>
      <c r="H106" s="27"/>
      <c r="I106" s="27"/>
      <c r="J106" s="27"/>
      <c r="K106" s="27"/>
    </row>
    <row r="107" spans="1:22" x14ac:dyDescent="0.35">
      <c r="B107" s="16"/>
      <c r="C107" s="16"/>
      <c r="D107" s="16"/>
      <c r="E107" s="16"/>
      <c r="F107" s="85"/>
      <c r="G107" s="16"/>
      <c r="H107" s="16"/>
      <c r="I107" s="16"/>
      <c r="J107" s="16"/>
      <c r="K107" s="16"/>
    </row>
    <row r="108" spans="1:22" x14ac:dyDescent="0.35">
      <c r="A108" s="3" t="s">
        <v>65</v>
      </c>
      <c r="B108" s="103" t="s">
        <v>4</v>
      </c>
      <c r="C108" s="27">
        <f>B47</f>
        <v>5</v>
      </c>
      <c r="D108" s="27">
        <f ca="1">C47</f>
        <v>0</v>
      </c>
      <c r="E108" s="27">
        <f ca="1">D47</f>
        <v>0</v>
      </c>
      <c r="F108" s="67">
        <f ca="1">E47</f>
        <v>0</v>
      </c>
      <c r="G108" s="27"/>
      <c r="H108" s="27"/>
      <c r="I108" s="27"/>
      <c r="J108" s="27"/>
      <c r="K108" s="27"/>
    </row>
    <row r="109" spans="1:22" ht="15" x14ac:dyDescent="0.4">
      <c r="A109" s="3" t="s">
        <v>66</v>
      </c>
      <c r="B109" s="103" t="s">
        <v>4</v>
      </c>
      <c r="C109" s="88">
        <f t="shared" ref="C109:F109" ca="1" si="34">C106</f>
        <v>-5</v>
      </c>
      <c r="D109" s="88">
        <f t="shared" ca="1" si="34"/>
        <v>0</v>
      </c>
      <c r="E109" s="88">
        <f t="shared" ca="1" si="34"/>
        <v>0</v>
      </c>
      <c r="F109" s="89">
        <f t="shared" ca="1" si="34"/>
        <v>0</v>
      </c>
      <c r="G109" s="88"/>
      <c r="H109" s="88"/>
      <c r="I109" s="88"/>
      <c r="J109" s="88"/>
      <c r="K109" s="88"/>
      <c r="M109" s="83"/>
    </row>
    <row r="110" spans="1:22" ht="15" x14ac:dyDescent="0.4">
      <c r="A110" s="110" t="s">
        <v>67</v>
      </c>
      <c r="B110" s="111" t="s">
        <v>4</v>
      </c>
      <c r="C110" s="97">
        <f ca="1">C108+C109</f>
        <v>0</v>
      </c>
      <c r="D110" s="97">
        <f ca="1">D108+D109</f>
        <v>0</v>
      </c>
      <c r="E110" s="97">
        <f ca="1">E108+E109</f>
        <v>0</v>
      </c>
      <c r="F110" s="98">
        <f ca="1">F108+F109</f>
        <v>0</v>
      </c>
      <c r="G110" s="97"/>
      <c r="H110" s="97"/>
      <c r="I110" s="97"/>
      <c r="J110" s="97"/>
      <c r="K110" s="97"/>
      <c r="M110" s="80"/>
    </row>
    <row r="111" spans="1:22" x14ac:dyDescent="0.35">
      <c r="A111" s="35"/>
      <c r="B111" s="112"/>
      <c r="C111" s="112"/>
      <c r="D111" s="112"/>
      <c r="E111" s="112"/>
      <c r="F111" s="113"/>
      <c r="G111" s="112"/>
      <c r="H111" s="112"/>
      <c r="I111" s="112"/>
      <c r="J111" s="112"/>
      <c r="K111" s="112"/>
      <c r="M111" s="63"/>
      <c r="N111" s="63"/>
      <c r="O111" s="63"/>
      <c r="P111" s="63"/>
      <c r="Q111" s="63"/>
      <c r="R111" s="63"/>
      <c r="S111" s="63"/>
      <c r="T111" s="63"/>
      <c r="U111" s="63"/>
      <c r="V111" s="63"/>
    </row>
    <row r="112" spans="1:22" ht="15" x14ac:dyDescent="0.4">
      <c r="A112" s="35" t="s">
        <v>104</v>
      </c>
      <c r="B112" s="112"/>
      <c r="C112" s="22">
        <f t="shared" ref="C112:F112" ca="1" si="35">C93+C98+C102+C103+C108</f>
        <v>-5.6365071283095673</v>
      </c>
      <c r="D112" s="22">
        <f t="shared" ca="1" si="35"/>
        <v>-9.0750654344390433</v>
      </c>
      <c r="E112" s="22">
        <f t="shared" ca="1" si="35"/>
        <v>-9.0818906438482117</v>
      </c>
      <c r="F112" s="70">
        <f t="shared" ca="1" si="35"/>
        <v>-3.6918173884292074</v>
      </c>
      <c r="G112" s="22"/>
      <c r="H112" s="22"/>
      <c r="I112" s="22"/>
      <c r="J112" s="22"/>
      <c r="K112" s="22"/>
      <c r="M112" s="5"/>
    </row>
    <row r="113" spans="1:23" ht="15" x14ac:dyDescent="0.4">
      <c r="A113" s="7" t="s">
        <v>81</v>
      </c>
      <c r="B113" s="112"/>
      <c r="C113" s="112"/>
      <c r="D113" s="112"/>
      <c r="E113" s="112"/>
      <c r="F113" s="113"/>
      <c r="G113" s="112"/>
      <c r="H113" s="112"/>
      <c r="I113" s="112"/>
      <c r="J113" s="112"/>
      <c r="K113" s="112"/>
      <c r="M113" s="80"/>
    </row>
    <row r="114" spans="1:23" x14ac:dyDescent="0.35">
      <c r="A114" s="43" t="s">
        <v>68</v>
      </c>
      <c r="B114" s="16"/>
      <c r="C114" s="16"/>
      <c r="D114" s="16"/>
      <c r="E114" s="16"/>
      <c r="F114" s="85"/>
      <c r="G114" s="16"/>
      <c r="H114" s="16"/>
      <c r="I114" s="16"/>
      <c r="J114" s="16"/>
      <c r="K114" s="16"/>
    </row>
    <row r="115" spans="1:23" x14ac:dyDescent="0.35">
      <c r="A115" s="3" t="s">
        <v>69</v>
      </c>
      <c r="B115" s="16"/>
      <c r="C115" s="27">
        <f>+B67</f>
        <v>13.299999999999983</v>
      </c>
      <c r="D115" s="27">
        <f ca="1">+C117</f>
        <v>18.93650712830955</v>
      </c>
      <c r="E115" s="27">
        <f ca="1">+D117</f>
        <v>28.011572562748594</v>
      </c>
      <c r="F115" s="67">
        <f ca="1">+E117</f>
        <v>37.093463206596809</v>
      </c>
      <c r="G115" s="67"/>
      <c r="H115" s="67">
        <f t="shared" ref="G115:K115" si="36">+G117</f>
        <v>0</v>
      </c>
      <c r="I115" s="67">
        <f t="shared" si="36"/>
        <v>0</v>
      </c>
      <c r="J115" s="67">
        <f t="shared" si="36"/>
        <v>0</v>
      </c>
      <c r="K115" s="67">
        <f t="shared" si="36"/>
        <v>0</v>
      </c>
    </row>
    <row r="116" spans="1:23" ht="13.15" x14ac:dyDescent="0.4">
      <c r="A116" s="3" t="s">
        <v>75</v>
      </c>
      <c r="C116" s="27">
        <f t="shared" ref="C116:F116" ca="1" si="37">-MIN(C115,C112)</f>
        <v>5.6365071283095673</v>
      </c>
      <c r="D116" s="27">
        <f t="shared" ca="1" si="37"/>
        <v>9.0750654344390433</v>
      </c>
      <c r="E116" s="27">
        <f t="shared" ca="1" si="37"/>
        <v>9.0818906438482117</v>
      </c>
      <c r="F116" s="67">
        <f t="shared" ca="1" si="37"/>
        <v>3.6918173884292074</v>
      </c>
      <c r="G116" s="67"/>
      <c r="H116" s="67"/>
      <c r="I116" s="67"/>
      <c r="J116" s="67"/>
      <c r="K116" s="67"/>
      <c r="M116" s="74"/>
      <c r="W116" s="27">
        <f>IF(W93+W98+W102+W103+W108&lt;0,-(W93+W98+W102+W103+W108),-MIN(W115,W93+W98+W102+W103+W108))</f>
        <v>0</v>
      </c>
    </row>
    <row r="117" spans="1:23" x14ac:dyDescent="0.35">
      <c r="A117" s="3" t="s">
        <v>70</v>
      </c>
      <c r="C117" s="27">
        <f ca="1">+C115+C116</f>
        <v>18.93650712830955</v>
      </c>
      <c r="D117" s="27">
        <f ca="1">+D115+D116</f>
        <v>28.011572562748594</v>
      </c>
      <c r="E117" s="27">
        <f ca="1">+E115+E116</f>
        <v>37.093463206596809</v>
      </c>
      <c r="F117" s="67">
        <f ca="1">+F115+F116</f>
        <v>40.785280595026016</v>
      </c>
      <c r="G117" s="67">
        <f t="shared" ref="G117:K117" si="38">+G115+G116</f>
        <v>0</v>
      </c>
      <c r="H117" s="67">
        <f t="shared" si="38"/>
        <v>0</v>
      </c>
      <c r="I117" s="67">
        <f t="shared" si="38"/>
        <v>0</v>
      </c>
      <c r="J117" s="67">
        <f t="shared" si="38"/>
        <v>0</v>
      </c>
      <c r="K117" s="67">
        <f t="shared" si="38"/>
        <v>0</v>
      </c>
    </row>
    <row r="118" spans="1:23" x14ac:dyDescent="0.35">
      <c r="A118" s="3" t="s">
        <v>71</v>
      </c>
      <c r="C118" s="13">
        <v>0.06</v>
      </c>
      <c r="D118" s="13">
        <v>0.06</v>
      </c>
      <c r="E118" s="13">
        <v>0.06</v>
      </c>
      <c r="F118" s="114">
        <v>0.06</v>
      </c>
      <c r="G118" s="114">
        <f>Assumptions!H40</f>
        <v>0.03</v>
      </c>
      <c r="H118" s="114">
        <v>0.06</v>
      </c>
      <c r="I118" s="114">
        <v>0.06</v>
      </c>
      <c r="J118" s="114">
        <v>0.06</v>
      </c>
      <c r="K118" s="114">
        <v>0.06</v>
      </c>
    </row>
    <row r="119" spans="1:23" x14ac:dyDescent="0.35">
      <c r="A119" s="3" t="s">
        <v>16</v>
      </c>
      <c r="C119" s="27">
        <f ca="1">AVERAGE(C117,C115)*C118</f>
        <v>0.96709521384928598</v>
      </c>
      <c r="D119" s="27">
        <f ca="1">AVERAGE(D117,D115)*D118</f>
        <v>1.4084423907317443</v>
      </c>
      <c r="E119" s="27">
        <f ca="1">AVERAGE(E117,E115)*E118</f>
        <v>1.9531510730803621</v>
      </c>
      <c r="F119" s="67">
        <f ca="1">AVERAGE(F117,F115)*F118</f>
        <v>2.3363623140486847</v>
      </c>
      <c r="G119" s="67">
        <f t="shared" ref="G119:K119" si="39">AVERAGE(G117,G115)*G118</f>
        <v>0</v>
      </c>
      <c r="H119" s="67">
        <f t="shared" si="39"/>
        <v>0</v>
      </c>
      <c r="I119" s="67">
        <f t="shared" si="39"/>
        <v>0</v>
      </c>
      <c r="J119" s="67">
        <f t="shared" si="39"/>
        <v>0</v>
      </c>
      <c r="K119" s="67">
        <f t="shared" si="39"/>
        <v>0</v>
      </c>
    </row>
    <row r="120" spans="1:23" x14ac:dyDescent="0.35">
      <c r="F120" s="106"/>
      <c r="G120" s="106"/>
      <c r="H120" s="106"/>
      <c r="I120" s="106"/>
      <c r="J120" s="106"/>
      <c r="K120" s="106"/>
    </row>
    <row r="121" spans="1:23" x14ac:dyDescent="0.35">
      <c r="A121" s="43" t="s">
        <v>46</v>
      </c>
      <c r="F121" s="106"/>
      <c r="G121" s="106"/>
      <c r="H121" s="106"/>
      <c r="I121" s="106"/>
      <c r="J121" s="106"/>
      <c r="K121" s="106"/>
    </row>
    <row r="122" spans="1:23" x14ac:dyDescent="0.35">
      <c r="A122" s="3" t="s">
        <v>74</v>
      </c>
      <c r="C122" s="27">
        <f>+B68</f>
        <v>180</v>
      </c>
      <c r="D122" s="27">
        <f>+C124</f>
        <v>160</v>
      </c>
      <c r="E122" s="27">
        <f t="shared" ref="E122:F122" si="40">+D124</f>
        <v>140</v>
      </c>
      <c r="F122" s="67">
        <f t="shared" si="40"/>
        <v>120</v>
      </c>
      <c r="G122" s="67">
        <f t="shared" ref="G122" si="41">+F124</f>
        <v>100</v>
      </c>
      <c r="H122" s="67">
        <f t="shared" ref="H122" si="42">+G124</f>
        <v>80</v>
      </c>
      <c r="I122" s="67">
        <f t="shared" ref="I122" si="43">+H124</f>
        <v>60</v>
      </c>
      <c r="J122" s="67">
        <f t="shared" ref="J122" si="44">+I124</f>
        <v>40</v>
      </c>
      <c r="K122" s="67">
        <f t="shared" ref="K122" si="45">+J124</f>
        <v>20</v>
      </c>
    </row>
    <row r="123" spans="1:23" ht="13.15" x14ac:dyDescent="0.4">
      <c r="A123" s="3" t="s">
        <v>75</v>
      </c>
      <c r="C123" s="27">
        <v>-20</v>
      </c>
      <c r="D123" s="27">
        <v>-20</v>
      </c>
      <c r="E123" s="27">
        <v>-20</v>
      </c>
      <c r="F123" s="67">
        <v>-20</v>
      </c>
      <c r="G123" s="67">
        <v>-20</v>
      </c>
      <c r="H123" s="67">
        <v>-20</v>
      </c>
      <c r="I123" s="67">
        <v>-20</v>
      </c>
      <c r="J123" s="67">
        <v>-20</v>
      </c>
      <c r="K123" s="67">
        <v>-20</v>
      </c>
      <c r="M123" s="74"/>
    </row>
    <row r="124" spans="1:23" x14ac:dyDescent="0.35">
      <c r="A124" s="3" t="s">
        <v>76</v>
      </c>
      <c r="C124" s="27">
        <f>+C122+C123</f>
        <v>160</v>
      </c>
      <c r="D124" s="27">
        <f t="shared" ref="D124:F124" si="46">+D122+D123</f>
        <v>140</v>
      </c>
      <c r="E124" s="27">
        <f t="shared" si="46"/>
        <v>120</v>
      </c>
      <c r="F124" s="67">
        <f t="shared" si="46"/>
        <v>100</v>
      </c>
      <c r="G124" s="67">
        <f t="shared" ref="G124:K124" si="47">+G122+G123</f>
        <v>80</v>
      </c>
      <c r="H124" s="67">
        <f t="shared" si="47"/>
        <v>60</v>
      </c>
      <c r="I124" s="67">
        <f t="shared" si="47"/>
        <v>40</v>
      </c>
      <c r="J124" s="67">
        <f t="shared" si="47"/>
        <v>20</v>
      </c>
      <c r="K124" s="67">
        <f t="shared" si="47"/>
        <v>0</v>
      </c>
    </row>
    <row r="125" spans="1:23" x14ac:dyDescent="0.35">
      <c r="A125" s="3" t="s">
        <v>71</v>
      </c>
      <c r="C125" s="116">
        <v>6.5000000000000002E-2</v>
      </c>
      <c r="D125" s="116">
        <v>6.5000000000000002E-2</v>
      </c>
      <c r="E125" s="116">
        <v>6.5000000000000002E-2</v>
      </c>
      <c r="F125" s="117">
        <v>6.5000000000000002E-2</v>
      </c>
      <c r="G125" s="117">
        <v>6.5000000000000002E-2</v>
      </c>
      <c r="H125" s="117">
        <v>6.5000000000000002E-2</v>
      </c>
      <c r="I125" s="117">
        <v>6.5000000000000002E-2</v>
      </c>
      <c r="J125" s="117">
        <v>6.5000000000000002E-2</v>
      </c>
      <c r="K125" s="117">
        <v>6.5000000000000002E-2</v>
      </c>
    </row>
    <row r="126" spans="1:23" x14ac:dyDescent="0.35">
      <c r="A126" s="3" t="s">
        <v>16</v>
      </c>
      <c r="C126" s="27">
        <f>AVERAGE(C124,C122)*C125</f>
        <v>11.05</v>
      </c>
      <c r="D126" s="27">
        <f>AVERAGE(D124,D122)*D125</f>
        <v>9.75</v>
      </c>
      <c r="E126" s="27">
        <f>AVERAGE(E124,E122)*E125</f>
        <v>8.4500000000000011</v>
      </c>
      <c r="F126" s="67">
        <f>AVERAGE(F124,F122)*F125</f>
        <v>7.15</v>
      </c>
      <c r="G126" s="67">
        <f t="shared" ref="G126:K126" si="48">AVERAGE(G124,G122)*G125</f>
        <v>5.8500000000000005</v>
      </c>
      <c r="H126" s="67">
        <f t="shared" si="48"/>
        <v>4.55</v>
      </c>
      <c r="I126" s="67">
        <f t="shared" si="48"/>
        <v>3.25</v>
      </c>
      <c r="J126" s="67">
        <f t="shared" si="48"/>
        <v>1.9500000000000002</v>
      </c>
      <c r="K126" s="67">
        <f t="shared" si="48"/>
        <v>0.65</v>
      </c>
    </row>
    <row r="127" spans="1:23" x14ac:dyDescent="0.35">
      <c r="F127" s="106"/>
      <c r="G127" s="106"/>
      <c r="H127" s="106"/>
      <c r="I127" s="106"/>
      <c r="J127" s="106"/>
      <c r="K127" s="106"/>
    </row>
    <row r="128" spans="1:23" x14ac:dyDescent="0.35">
      <c r="A128" s="43" t="s">
        <v>42</v>
      </c>
      <c r="F128" s="106"/>
      <c r="G128" s="106"/>
      <c r="H128" s="106"/>
      <c r="I128" s="106"/>
      <c r="J128" s="106"/>
      <c r="K128" s="106"/>
    </row>
    <row r="129" spans="1:13" x14ac:dyDescent="0.35">
      <c r="A129" s="3" t="s">
        <v>77</v>
      </c>
      <c r="C129" s="27">
        <f>+B69</f>
        <v>50</v>
      </c>
      <c r="D129" s="27">
        <f>+C131</f>
        <v>50</v>
      </c>
      <c r="E129" s="27">
        <f t="shared" ref="E129:F129" si="49">+D131</f>
        <v>50</v>
      </c>
      <c r="F129" s="67">
        <f t="shared" si="49"/>
        <v>50</v>
      </c>
      <c r="G129" s="67">
        <f t="shared" ref="G129" si="50">+F131</f>
        <v>50</v>
      </c>
      <c r="H129" s="67">
        <f t="shared" ref="H129" si="51">+G131</f>
        <v>50</v>
      </c>
      <c r="I129" s="67">
        <f t="shared" ref="I129" si="52">+H131</f>
        <v>50</v>
      </c>
      <c r="J129" s="67">
        <f t="shared" ref="J129" si="53">+I131</f>
        <v>50</v>
      </c>
      <c r="K129" s="67">
        <f t="shared" ref="K129" si="54">+J131</f>
        <v>50</v>
      </c>
    </row>
    <row r="130" spans="1:13" ht="13.15" x14ac:dyDescent="0.4">
      <c r="A130" s="3" t="s">
        <v>75</v>
      </c>
      <c r="C130" s="27">
        <v>0</v>
      </c>
      <c r="D130" s="27">
        <v>0</v>
      </c>
      <c r="E130" s="27">
        <v>0</v>
      </c>
      <c r="F130" s="67">
        <v>0</v>
      </c>
      <c r="G130" s="67">
        <v>0</v>
      </c>
      <c r="H130" s="67">
        <v>0</v>
      </c>
      <c r="I130" s="67">
        <v>0</v>
      </c>
      <c r="J130" s="67">
        <v>0</v>
      </c>
      <c r="K130" s="67">
        <v>0</v>
      </c>
      <c r="M130" s="74"/>
    </row>
    <row r="131" spans="1:13" x14ac:dyDescent="0.35">
      <c r="A131" s="3" t="s">
        <v>78</v>
      </c>
      <c r="C131" s="27">
        <f>+C129+C130</f>
        <v>50</v>
      </c>
      <c r="D131" s="27">
        <f t="shared" ref="D131:F131" si="55">+D129+D130</f>
        <v>50</v>
      </c>
      <c r="E131" s="27">
        <f t="shared" si="55"/>
        <v>50</v>
      </c>
      <c r="F131" s="67">
        <f t="shared" si="55"/>
        <v>50</v>
      </c>
      <c r="G131" s="67">
        <f t="shared" ref="G131:K131" si="56">+G129+G130</f>
        <v>50</v>
      </c>
      <c r="H131" s="67">
        <f t="shared" si="56"/>
        <v>50</v>
      </c>
      <c r="I131" s="67">
        <f t="shared" si="56"/>
        <v>50</v>
      </c>
      <c r="J131" s="67">
        <f t="shared" si="56"/>
        <v>50</v>
      </c>
      <c r="K131" s="67">
        <f t="shared" si="56"/>
        <v>50</v>
      </c>
    </row>
    <row r="132" spans="1:13" x14ac:dyDescent="0.35">
      <c r="A132" s="3" t="s">
        <v>71</v>
      </c>
      <c r="C132" s="118">
        <v>0.12</v>
      </c>
      <c r="D132" s="118">
        <v>0.12</v>
      </c>
      <c r="E132" s="118">
        <v>0.12</v>
      </c>
      <c r="F132" s="119">
        <v>0.12</v>
      </c>
      <c r="G132" s="119">
        <v>0.12</v>
      </c>
      <c r="H132" s="119">
        <v>0.12</v>
      </c>
      <c r="I132" s="119">
        <v>0.12</v>
      </c>
      <c r="J132" s="119">
        <v>0.12</v>
      </c>
      <c r="K132" s="119">
        <v>0.12</v>
      </c>
    </row>
    <row r="133" spans="1:13" x14ac:dyDescent="0.35">
      <c r="A133" s="3" t="s">
        <v>16</v>
      </c>
      <c r="C133" s="27">
        <f>AVERAGE(C131,C129)*C132</f>
        <v>6</v>
      </c>
      <c r="D133" s="27">
        <f>AVERAGE(D131,D129)*D132</f>
        <v>6</v>
      </c>
      <c r="E133" s="27">
        <f>AVERAGE(E131,E129)*E132</f>
        <v>6</v>
      </c>
      <c r="F133" s="67">
        <f>AVERAGE(F131,F129)*F132</f>
        <v>6</v>
      </c>
      <c r="G133" s="67">
        <f t="shared" ref="G133:K133" si="57">AVERAGE(G131,G129)*G132</f>
        <v>6</v>
      </c>
      <c r="H133" s="67">
        <f t="shared" si="57"/>
        <v>6</v>
      </c>
      <c r="I133" s="67">
        <f t="shared" si="57"/>
        <v>6</v>
      </c>
      <c r="J133" s="67">
        <f t="shared" si="57"/>
        <v>6</v>
      </c>
      <c r="K133" s="67">
        <f t="shared" si="57"/>
        <v>6</v>
      </c>
    </row>
    <row r="134" spans="1:13" x14ac:dyDescent="0.35">
      <c r="F134" s="106"/>
      <c r="G134" s="106"/>
      <c r="H134" s="106"/>
      <c r="I134" s="106"/>
      <c r="J134" s="106"/>
      <c r="K134" s="106"/>
    </row>
    <row r="135" spans="1:13" x14ac:dyDescent="0.35">
      <c r="A135" s="3" t="s">
        <v>79</v>
      </c>
      <c r="C135" s="27">
        <f ca="1">+C119+C126+C133</f>
        <v>18.017095213849288</v>
      </c>
      <c r="D135" s="27">
        <f ca="1">+D119+D126+D133</f>
        <v>17.158442390731743</v>
      </c>
      <c r="E135" s="27">
        <f ca="1">+E119+E126+E133</f>
        <v>16.403151073080362</v>
      </c>
      <c r="F135" s="67">
        <f ca="1">+F119+F126+F133</f>
        <v>15.486362314048685</v>
      </c>
      <c r="G135" s="67">
        <f t="shared" ref="G135:K135" si="58">+G119+G126+G133</f>
        <v>11.850000000000001</v>
      </c>
      <c r="H135" s="67">
        <f t="shared" si="58"/>
        <v>10.55</v>
      </c>
      <c r="I135" s="67">
        <f t="shared" si="58"/>
        <v>9.25</v>
      </c>
      <c r="J135" s="67">
        <f t="shared" si="58"/>
        <v>7.95</v>
      </c>
      <c r="K135" s="67">
        <f t="shared" si="58"/>
        <v>6.65</v>
      </c>
    </row>
    <row r="136" spans="1:13" x14ac:dyDescent="0.35">
      <c r="C136" s="107"/>
      <c r="D136" s="107"/>
      <c r="E136" s="107"/>
      <c r="F136" s="120"/>
      <c r="G136" s="107"/>
      <c r="H136" s="107"/>
      <c r="I136" s="107"/>
      <c r="J136" s="107"/>
      <c r="K136" s="107"/>
    </row>
    <row r="137" spans="1:13" ht="15.4" thickBot="1" x14ac:dyDescent="0.45">
      <c r="A137" s="58" t="s">
        <v>82</v>
      </c>
      <c r="B137" s="58"/>
      <c r="C137" s="121">
        <f ca="1">AVERAGE(B47:C47)*Assumptions!C38</f>
        <v>6.2500000000000003E-3</v>
      </c>
      <c r="D137" s="121">
        <f ca="1">AVERAGE(C47:D47)*Assumptions!D38</f>
        <v>0</v>
      </c>
      <c r="E137" s="121">
        <f ca="1">AVERAGE(D47:E47)*Assumptions!E38</f>
        <v>0</v>
      </c>
      <c r="F137" s="122">
        <f ca="1">AVERAGE(E47:F47)*Assumptions!F38</f>
        <v>0</v>
      </c>
      <c r="G137" s="121"/>
      <c r="H137" s="121"/>
      <c r="I137" s="121"/>
      <c r="J137" s="121"/>
      <c r="K137" s="121"/>
      <c r="M137" s="80"/>
    </row>
    <row r="138" spans="1:13" ht="15" x14ac:dyDescent="0.4">
      <c r="M138" s="80"/>
    </row>
    <row r="139" spans="1:13" ht="15" x14ac:dyDescent="0.4">
      <c r="A139" s="83"/>
      <c r="B139" s="83"/>
      <c r="C139" s="83"/>
      <c r="D139" s="83"/>
      <c r="E139" s="83"/>
      <c r="F139" s="83"/>
      <c r="G139" s="83"/>
      <c r="I139" s="5"/>
    </row>
    <row r="140" spans="1:13" ht="15" x14ac:dyDescent="0.4">
      <c r="A140" s="83"/>
      <c r="B140" s="83"/>
      <c r="C140" s="83"/>
      <c r="D140" s="83"/>
      <c r="E140" s="83"/>
      <c r="F140" s="83"/>
      <c r="G140" s="83"/>
      <c r="I140" s="5"/>
    </row>
    <row r="141" spans="1:13" ht="15" x14ac:dyDescent="0.4">
      <c r="A141" s="83"/>
      <c r="B141" s="83"/>
      <c r="C141" s="83"/>
      <c r="D141" s="83"/>
      <c r="E141" s="83"/>
      <c r="F141" s="83"/>
      <c r="G141" s="83"/>
      <c r="I141" s="5"/>
    </row>
    <row r="142" spans="1:13" ht="15" x14ac:dyDescent="0.4">
      <c r="A142" s="83"/>
      <c r="B142" s="83"/>
      <c r="C142" s="83"/>
      <c r="D142" s="83"/>
      <c r="E142" s="83"/>
      <c r="F142" s="83"/>
      <c r="G142" s="83"/>
      <c r="I142" s="5"/>
    </row>
    <row r="143" spans="1:13" ht="15" x14ac:dyDescent="0.4">
      <c r="A143" s="83"/>
      <c r="B143" s="83"/>
      <c r="C143" s="83"/>
      <c r="D143" s="83"/>
      <c r="E143" s="83"/>
      <c r="F143" s="83"/>
      <c r="G143" s="83"/>
      <c r="I143" s="5"/>
    </row>
    <row r="144" spans="1:13" ht="15" x14ac:dyDescent="0.4">
      <c r="A144" s="83"/>
      <c r="B144" s="83"/>
      <c r="C144" s="83"/>
      <c r="D144" s="83"/>
      <c r="E144" s="83"/>
      <c r="F144" s="83"/>
      <c r="G144" s="83"/>
      <c r="I144" s="5"/>
    </row>
    <row r="145" spans="1:9" ht="15" x14ac:dyDescent="0.4">
      <c r="A145" s="83"/>
      <c r="B145" s="83"/>
      <c r="C145" s="83"/>
      <c r="D145" s="83"/>
      <c r="E145" s="83"/>
      <c r="F145" s="83"/>
      <c r="G145" s="83"/>
      <c r="I145" s="5"/>
    </row>
    <row r="146" spans="1:9" ht="15" x14ac:dyDescent="0.4">
      <c r="A146" s="83"/>
      <c r="B146" s="83"/>
      <c r="C146" s="83"/>
      <c r="D146" s="83"/>
      <c r="E146" s="83"/>
      <c r="F146" s="83"/>
      <c r="G146" s="83"/>
      <c r="I146" s="5"/>
    </row>
    <row r="147" spans="1:9" ht="15" x14ac:dyDescent="0.4">
      <c r="A147" s="83"/>
      <c r="B147" s="83"/>
      <c r="C147" s="83"/>
      <c r="D147" s="83"/>
      <c r="E147" s="83"/>
      <c r="F147" s="83"/>
      <c r="G147" s="83"/>
    </row>
    <row r="148" spans="1:9" ht="15" x14ac:dyDescent="0.4">
      <c r="A148" s="83"/>
      <c r="B148" s="83"/>
      <c r="C148" s="83"/>
      <c r="D148" s="83"/>
      <c r="E148" s="83"/>
      <c r="F148" s="83"/>
      <c r="G148" s="83"/>
    </row>
    <row r="149" spans="1:9" ht="15" x14ac:dyDescent="0.4">
      <c r="A149" s="83"/>
      <c r="B149" s="83"/>
      <c r="C149" s="83"/>
      <c r="D149" s="83"/>
      <c r="E149" s="83"/>
      <c r="F149" s="83"/>
      <c r="G149" s="83"/>
    </row>
  </sheetData>
  <phoneticPr fontId="2" type="noConversion"/>
  <pageMargins left="0.75" right="0.75" top="1" bottom="1" header="0.5" footer="0.5"/>
  <pageSetup scale="69" fitToHeight="4" orientation="portrait" horizontalDpi="4294967293" verticalDpi="150"/>
  <headerFooter alignWithMargins="0">
    <oddFooter>Page &amp;P</oddFooter>
  </headerFooter>
  <rowBreaks count="3" manualBreakCount="3">
    <brk id="43" max="11" man="1"/>
    <brk id="79" max="11" man="1"/>
    <brk id="111" max="1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5268-4D7F-492E-9C2C-12F2EEE53134}">
  <dimension ref="A1:N102"/>
  <sheetViews>
    <sheetView workbookViewId="0">
      <selection activeCell="N27" sqref="N27"/>
    </sheetView>
  </sheetViews>
  <sheetFormatPr defaultColWidth="9.19921875" defaultRowHeight="12.75" x14ac:dyDescent="0.35"/>
  <cols>
    <col min="1" max="1" width="33.19921875" style="3" customWidth="1"/>
    <col min="2" max="2" width="12.796875" style="3" customWidth="1"/>
    <col min="3" max="3" width="9.33203125" style="3" bestFit="1" customWidth="1"/>
    <col min="4" max="6" width="9.46484375" style="3" bestFit="1" customWidth="1"/>
    <col min="7" max="12" width="9.33203125" style="3" bestFit="1" customWidth="1"/>
    <col min="13" max="15" width="9.19921875" style="3"/>
    <col min="16" max="16" width="9.33203125" style="3" bestFit="1" customWidth="1"/>
    <col min="17" max="16384" width="9.19921875" style="3"/>
  </cols>
  <sheetData>
    <row r="1" spans="1:14" ht="15" x14ac:dyDescent="0.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5">
      <c r="A2" s="4" t="s">
        <v>116</v>
      </c>
    </row>
    <row r="3" spans="1:14" ht="6.5" customHeight="1" x14ac:dyDescent="0.4">
      <c r="N3" s="5"/>
    </row>
    <row r="4" spans="1:14" ht="15" x14ac:dyDescent="0.4">
      <c r="C4" s="6" t="s">
        <v>117</v>
      </c>
      <c r="D4" s="6"/>
      <c r="E4" s="6"/>
      <c r="F4" s="6"/>
      <c r="G4" s="6"/>
      <c r="H4" s="6" t="s">
        <v>118</v>
      </c>
      <c r="I4" s="6"/>
      <c r="J4" s="6"/>
      <c r="K4" s="6"/>
      <c r="L4" s="6"/>
      <c r="N4" s="7"/>
    </row>
    <row r="5" spans="1:14" ht="15" x14ac:dyDescent="0.4">
      <c r="A5" s="130" t="s">
        <v>2</v>
      </c>
      <c r="C5" s="125" t="s">
        <v>1</v>
      </c>
      <c r="D5" s="125"/>
      <c r="E5" s="125"/>
      <c r="F5" s="125"/>
      <c r="G5" s="126"/>
      <c r="H5" s="129" t="s">
        <v>1</v>
      </c>
      <c r="I5" s="125"/>
      <c r="J5" s="125"/>
      <c r="K5" s="125"/>
      <c r="L5" s="125"/>
      <c r="N5" s="5"/>
    </row>
    <row r="6" spans="1:14" ht="15.4" thickBot="1" x14ac:dyDescent="0.45">
      <c r="C6" s="124">
        <v>2012</v>
      </c>
      <c r="D6" s="124">
        <f t="shared" ref="D6:L6" si="0">C6+1</f>
        <v>2013</v>
      </c>
      <c r="E6" s="124">
        <f t="shared" si="0"/>
        <v>2014</v>
      </c>
      <c r="F6" s="124">
        <f t="shared" si="0"/>
        <v>2015</v>
      </c>
      <c r="G6" s="124">
        <f t="shared" si="0"/>
        <v>2016</v>
      </c>
      <c r="H6" s="127">
        <f t="shared" si="0"/>
        <v>2017</v>
      </c>
      <c r="I6" s="128">
        <f t="shared" si="0"/>
        <v>2018</v>
      </c>
      <c r="J6" s="128">
        <f t="shared" si="0"/>
        <v>2019</v>
      </c>
      <c r="K6" s="128">
        <f t="shared" si="0"/>
        <v>2020</v>
      </c>
      <c r="L6" s="128">
        <f t="shared" si="0"/>
        <v>2021</v>
      </c>
      <c r="N6" s="5"/>
    </row>
    <row r="7" spans="1:14" ht="15" x14ac:dyDescent="0.4">
      <c r="A7" s="8" t="s">
        <v>56</v>
      </c>
      <c r="C7" s="9"/>
      <c r="D7" s="9"/>
      <c r="E7" s="9"/>
      <c r="F7" s="9"/>
      <c r="G7" s="10"/>
      <c r="H7" s="11"/>
      <c r="I7" s="11"/>
      <c r="J7" s="11"/>
      <c r="K7" s="11"/>
      <c r="L7" s="11"/>
      <c r="N7" s="5"/>
    </row>
    <row r="8" spans="1:14" ht="15" x14ac:dyDescent="0.4">
      <c r="A8" s="3" t="s">
        <v>5</v>
      </c>
      <c r="C8" s="12" t="str">
        <f>[1]Model!B8</f>
        <v>na</v>
      </c>
      <c r="D8" s="13">
        <f>[1]Model!C8</f>
        <v>6.25E-2</v>
      </c>
      <c r="E8" s="13">
        <f>[1]Model!D8</f>
        <v>5.8823529411764719E-2</v>
      </c>
      <c r="F8" s="13">
        <f>[1]Model!E8</f>
        <v>5.555555555555558E-2</v>
      </c>
      <c r="G8" s="14">
        <f>[1]Model!F8</f>
        <v>5.2631578947368363E-2</v>
      </c>
      <c r="H8" s="15">
        <v>0.05</v>
      </c>
      <c r="I8" s="15">
        <v>0.05</v>
      </c>
      <c r="J8" s="15">
        <v>0.05</v>
      </c>
      <c r="K8" s="15">
        <v>0.05</v>
      </c>
      <c r="L8" s="15">
        <v>0.05</v>
      </c>
      <c r="N8" s="5"/>
    </row>
    <row r="9" spans="1:14" ht="15" x14ac:dyDescent="0.4">
      <c r="C9" s="13"/>
      <c r="D9" s="13"/>
      <c r="E9" s="13"/>
      <c r="F9" s="13"/>
      <c r="G9" s="14"/>
      <c r="H9" s="15"/>
      <c r="I9" s="15"/>
      <c r="J9" s="15"/>
      <c r="K9" s="15"/>
      <c r="L9" s="15"/>
      <c r="N9" s="5"/>
    </row>
    <row r="10" spans="1:14" ht="15" x14ac:dyDescent="0.4">
      <c r="A10" s="3" t="s">
        <v>8</v>
      </c>
      <c r="C10" s="13">
        <f>[1]Model!B11</f>
        <v>0.42000000000000004</v>
      </c>
      <c r="D10" s="13">
        <f>[1]Model!C11</f>
        <v>0.41499999999999998</v>
      </c>
      <c r="E10" s="13">
        <f>[1]Model!D11</f>
        <v>0.41</v>
      </c>
      <c r="F10" s="13">
        <f>[1]Model!E11</f>
        <v>0.41</v>
      </c>
      <c r="G10" s="14">
        <f>[1]Model!F11</f>
        <v>0.4</v>
      </c>
      <c r="H10" s="15">
        <v>0.4</v>
      </c>
      <c r="I10" s="15">
        <v>0.4</v>
      </c>
      <c r="J10" s="15">
        <v>0.4</v>
      </c>
      <c r="K10" s="15">
        <v>0.4</v>
      </c>
      <c r="L10" s="15">
        <v>0.4</v>
      </c>
      <c r="N10" s="5"/>
    </row>
    <row r="11" spans="1:14" x14ac:dyDescent="0.35">
      <c r="C11" s="16"/>
      <c r="D11" s="16"/>
      <c r="E11" s="16"/>
      <c r="F11" s="16"/>
      <c r="G11" s="17"/>
      <c r="H11" s="18"/>
      <c r="I11" s="18"/>
      <c r="J11" s="18"/>
      <c r="K11" s="18"/>
      <c r="L11" s="18"/>
    </row>
    <row r="12" spans="1:14" x14ac:dyDescent="0.35">
      <c r="A12" s="3" t="s">
        <v>91</v>
      </c>
      <c r="C12" s="25">
        <f>[1]Model!B16/[1]Model!B53</f>
        <v>1.803751803751804E-2</v>
      </c>
      <c r="D12" s="25">
        <f>[1]Model!C16/[1]Model!C53</f>
        <v>1.7409470752089137E-2</v>
      </c>
      <c r="E12" s="25">
        <f>[1]Model!D16/[1]Model!D53</f>
        <v>1.676727028839705E-2</v>
      </c>
      <c r="F12" s="25">
        <f>[1]Model!E16/[1]Model!E53</f>
        <v>1.6118633139909737E-2</v>
      </c>
      <c r="G12" s="26">
        <f>[1]Model!F16/[1]Model!F53</f>
        <v>1.547029702970297E-2</v>
      </c>
      <c r="H12" s="21">
        <v>0.02</v>
      </c>
      <c r="I12" s="21">
        <v>0.02</v>
      </c>
      <c r="J12" s="21">
        <v>0.02</v>
      </c>
      <c r="K12" s="21">
        <v>0.02</v>
      </c>
      <c r="L12" s="21">
        <v>0.02</v>
      </c>
    </row>
    <row r="13" spans="1:14" x14ac:dyDescent="0.35">
      <c r="A13" s="3" t="s">
        <v>10</v>
      </c>
      <c r="C13" s="27">
        <v>0</v>
      </c>
      <c r="D13" s="27">
        <v>0</v>
      </c>
      <c r="E13" s="27">
        <v>0</v>
      </c>
      <c r="F13" s="27">
        <v>0</v>
      </c>
      <c r="G13" s="28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</row>
    <row r="14" spans="1:14" x14ac:dyDescent="0.35">
      <c r="C14" s="16"/>
      <c r="D14" s="16"/>
      <c r="E14" s="16"/>
      <c r="F14" s="16"/>
      <c r="G14" s="17"/>
      <c r="H14" s="18"/>
      <c r="I14" s="18"/>
      <c r="J14" s="18"/>
      <c r="K14" s="18"/>
      <c r="L14" s="18"/>
    </row>
    <row r="15" spans="1:14" x14ac:dyDescent="0.35">
      <c r="A15" s="3" t="s">
        <v>14</v>
      </c>
      <c r="C15" s="25">
        <f>[1]Model!B20</f>
        <v>0.3</v>
      </c>
      <c r="D15" s="25">
        <f>[1]Model!C20</f>
        <v>0.3</v>
      </c>
      <c r="E15" s="25">
        <f>[1]Model!D20</f>
        <v>0.3</v>
      </c>
      <c r="F15" s="25">
        <f>[1]Model!E20</f>
        <v>0.3</v>
      </c>
      <c r="G15" s="26">
        <f>[1]Model!F20</f>
        <v>0.3</v>
      </c>
      <c r="H15" s="21">
        <v>0.3</v>
      </c>
      <c r="I15" s="21">
        <v>0.3</v>
      </c>
      <c r="J15" s="21">
        <v>0.3</v>
      </c>
      <c r="K15" s="21">
        <v>0.3</v>
      </c>
      <c r="L15" s="21">
        <v>0.3</v>
      </c>
    </row>
    <row r="16" spans="1:14" x14ac:dyDescent="0.35">
      <c r="C16" s="16"/>
      <c r="D16" s="16"/>
      <c r="E16" s="16"/>
      <c r="F16" s="16"/>
      <c r="G16" s="17"/>
      <c r="H16" s="18"/>
      <c r="I16" s="18"/>
      <c r="J16" s="18"/>
      <c r="K16" s="18"/>
      <c r="L16" s="18"/>
    </row>
    <row r="17" spans="1:14" x14ac:dyDescent="0.35">
      <c r="A17" s="3" t="s">
        <v>19</v>
      </c>
      <c r="C17" s="27">
        <f>[1]Model!B33</f>
        <v>2</v>
      </c>
      <c r="D17" s="27">
        <f>[1]Model!C33</f>
        <v>0</v>
      </c>
      <c r="E17" s="27">
        <f>[1]Model!D33</f>
        <v>-2</v>
      </c>
      <c r="F17" s="27">
        <f>[1]Model!E33</f>
        <v>1</v>
      </c>
      <c r="G17" s="28">
        <f>[1]Model!F33</f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9"/>
      <c r="N17" s="29"/>
    </row>
    <row r="18" spans="1:14" x14ac:dyDescent="0.35">
      <c r="C18" s="16"/>
      <c r="D18" s="16"/>
      <c r="E18" s="16"/>
      <c r="F18" s="16"/>
      <c r="G18" s="17"/>
      <c r="H18" s="18"/>
      <c r="I18" s="18"/>
      <c r="J18" s="18"/>
      <c r="K18" s="18"/>
      <c r="L18" s="18"/>
    </row>
    <row r="19" spans="1:14" ht="13.15" x14ac:dyDescent="0.4">
      <c r="A19" s="3" t="s">
        <v>22</v>
      </c>
      <c r="C19" s="25">
        <f>[1]Model!B38</f>
        <v>0.4</v>
      </c>
      <c r="D19" s="25">
        <f ca="1">[1]Model!C38</f>
        <v>0.4</v>
      </c>
      <c r="E19" s="123">
        <f ca="1">[1]Model!D38</f>
        <v>0.4</v>
      </c>
      <c r="F19" s="25">
        <f ca="1">[1]Model!E38</f>
        <v>0.4</v>
      </c>
      <c r="G19" s="26">
        <f ca="1">[1]Model!F38</f>
        <v>0.4</v>
      </c>
      <c r="H19" s="21">
        <v>0.4</v>
      </c>
      <c r="I19" s="21">
        <v>0.4</v>
      </c>
      <c r="J19" s="21">
        <v>0.4</v>
      </c>
      <c r="K19" s="21">
        <v>0.4</v>
      </c>
      <c r="L19" s="21">
        <v>0.4</v>
      </c>
    </row>
    <row r="20" spans="1:14" x14ac:dyDescent="0.35">
      <c r="C20" s="16"/>
      <c r="D20" s="16"/>
      <c r="E20" s="16"/>
      <c r="F20" s="16"/>
      <c r="G20" s="17"/>
      <c r="H20" s="18"/>
      <c r="I20" s="18"/>
      <c r="J20" s="18"/>
      <c r="K20" s="18"/>
      <c r="L20" s="18"/>
    </row>
    <row r="21" spans="1:14" ht="13.15" x14ac:dyDescent="0.4">
      <c r="A21" s="8" t="s">
        <v>55</v>
      </c>
      <c r="C21" s="16"/>
      <c r="D21" s="16"/>
      <c r="E21" s="16"/>
      <c r="F21" s="16"/>
      <c r="G21" s="17"/>
      <c r="H21" s="18"/>
      <c r="I21" s="18"/>
      <c r="J21" s="18"/>
      <c r="K21" s="30"/>
      <c r="L21" s="18"/>
    </row>
    <row r="22" spans="1:14" x14ac:dyDescent="0.35">
      <c r="A22" s="3" t="s">
        <v>57</v>
      </c>
      <c r="C22" s="31"/>
      <c r="D22" s="31">
        <f>AVERAGE([1]Model!C48,[1]Model!B48)/[1]Model!C7*360</f>
        <v>26.47058823529412</v>
      </c>
      <c r="E22" s="31">
        <f>AVERAGE([1]Model!D48,[1]Model!C48)/[1]Model!D7*360</f>
        <v>27</v>
      </c>
      <c r="F22" s="31">
        <f>AVERAGE([1]Model!E48,[1]Model!D48)/[1]Model!E7*360</f>
        <v>27.473684210526315</v>
      </c>
      <c r="G22" s="32">
        <f>AVERAGE([1]Model!F48,[1]Model!E48)/[1]Model!F7*360</f>
        <v>27.9</v>
      </c>
      <c r="H22" s="33">
        <v>30</v>
      </c>
      <c r="I22" s="33">
        <v>30</v>
      </c>
      <c r="J22" s="33">
        <v>30</v>
      </c>
      <c r="K22" s="33">
        <v>30</v>
      </c>
      <c r="L22" s="33">
        <v>30</v>
      </c>
    </row>
    <row r="23" spans="1:14" x14ac:dyDescent="0.35">
      <c r="A23" s="3" t="s">
        <v>58</v>
      </c>
      <c r="C23" s="31"/>
      <c r="D23" s="31">
        <f>AVERAGE([1]Model!C49,[1]Model!B49)/[1]Model!C10*360</f>
        <v>42.097802976612336</v>
      </c>
      <c r="E23" s="31">
        <f>AVERAGE([1]Model!D49,[1]Model!C49)/[1]Model!D10*360</f>
        <v>42.682926829268297</v>
      </c>
      <c r="F23" s="31">
        <f>AVERAGE([1]Model!E49,[1]Model!D49)/[1]Model!E10*360</f>
        <v>42.747111681643133</v>
      </c>
      <c r="G23" s="32">
        <f>AVERAGE([1]Model!F49,[1]Model!E49)/[1]Model!F10*360</f>
        <v>43.875</v>
      </c>
      <c r="H23" s="33">
        <v>45</v>
      </c>
      <c r="I23" s="33">
        <v>45</v>
      </c>
      <c r="J23" s="33">
        <v>45</v>
      </c>
      <c r="K23" s="33">
        <v>45</v>
      </c>
      <c r="L23" s="33">
        <v>45</v>
      </c>
    </row>
    <row r="24" spans="1:14" x14ac:dyDescent="0.35">
      <c r="A24" s="3" t="s">
        <v>31</v>
      </c>
      <c r="C24" s="27">
        <f>[1]Model!B50</f>
        <v>1</v>
      </c>
      <c r="D24" s="27">
        <f>[1]Model!C50</f>
        <v>1</v>
      </c>
      <c r="E24" s="27">
        <f>[1]Model!D50</f>
        <v>1</v>
      </c>
      <c r="F24" s="27">
        <f>[1]Model!E50</f>
        <v>1</v>
      </c>
      <c r="G24" s="28">
        <f>[1]Model!F50</f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</row>
    <row r="25" spans="1:14" x14ac:dyDescent="0.35">
      <c r="A25" s="3" t="s">
        <v>105</v>
      </c>
      <c r="C25" s="27">
        <v>0</v>
      </c>
      <c r="D25" s="27">
        <v>0</v>
      </c>
      <c r="E25" s="27">
        <v>0</v>
      </c>
      <c r="F25" s="27">
        <v>0</v>
      </c>
      <c r="G25" s="28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</row>
    <row r="26" spans="1:14" x14ac:dyDescent="0.35">
      <c r="C26" s="27"/>
      <c r="D26" s="27"/>
      <c r="E26" s="27"/>
      <c r="F26" s="27"/>
      <c r="G26" s="28"/>
      <c r="H26" s="24"/>
      <c r="I26" s="24"/>
      <c r="J26" s="24"/>
      <c r="K26" s="24"/>
      <c r="L26" s="24"/>
    </row>
    <row r="27" spans="1:14" x14ac:dyDescent="0.35">
      <c r="A27" s="3" t="s">
        <v>59</v>
      </c>
      <c r="C27" s="12" t="s">
        <v>4</v>
      </c>
      <c r="D27" s="36">
        <f>-[1]Model!C96/[1]Model!C7</f>
        <v>5.8823529411764705E-2</v>
      </c>
      <c r="E27" s="36">
        <f>-[1]Model!D96/[1]Model!D7</f>
        <v>6.1111111111111109E-2</v>
      </c>
      <c r="F27" s="36">
        <f>-[1]Model!E96/[1]Model!E7</f>
        <v>6.3157894736842107E-2</v>
      </c>
      <c r="G27" s="26">
        <f>-[1]Model!F96/[1]Model!F7</f>
        <v>6.5000000000000002E-2</v>
      </c>
      <c r="H27" s="21">
        <v>0.05</v>
      </c>
      <c r="I27" s="21">
        <v>0.05</v>
      </c>
      <c r="J27" s="21">
        <v>0.05</v>
      </c>
      <c r="K27" s="21">
        <v>0.05</v>
      </c>
      <c r="L27" s="21">
        <v>0.05</v>
      </c>
    </row>
    <row r="28" spans="1:14" x14ac:dyDescent="0.35">
      <c r="A28" s="3" t="s">
        <v>60</v>
      </c>
      <c r="C28" s="38" t="str">
        <f>[1]Model!B97</f>
        <v>na</v>
      </c>
      <c r="D28" s="39">
        <f>[1]Model!C97</f>
        <v>0</v>
      </c>
      <c r="E28" s="39">
        <f>[1]Model!D97</f>
        <v>0</v>
      </c>
      <c r="F28" s="39">
        <f>[1]Model!E97</f>
        <v>0</v>
      </c>
      <c r="G28" s="40">
        <f>[1]Model!F97</f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</row>
    <row r="29" spans="1:14" x14ac:dyDescent="0.35">
      <c r="A29" s="3" t="s">
        <v>83</v>
      </c>
      <c r="C29" s="31"/>
      <c r="D29" s="31">
        <f>AVERAGE([1]Model!C62,[1]Model!B62)/[1]Model!C10*360</f>
        <v>44.649184975194899</v>
      </c>
      <c r="E29" s="31">
        <f>AVERAGE([1]Model!D62,[1]Model!C62)/[1]Model!D10*360</f>
        <v>45.121951219512198</v>
      </c>
      <c r="F29" s="31">
        <f>AVERAGE([1]Model!E62,[1]Model!D62)/[1]Model!E10*360</f>
        <v>45.057766367137361</v>
      </c>
      <c r="G29" s="32">
        <f>AVERAGE([1]Model!F62,[1]Model!E62)/[1]Model!F10*360</f>
        <v>47.25</v>
      </c>
      <c r="H29" s="33">
        <v>50</v>
      </c>
      <c r="I29" s="33">
        <v>50</v>
      </c>
      <c r="J29" s="33">
        <v>50</v>
      </c>
      <c r="K29" s="33">
        <v>50</v>
      </c>
      <c r="L29" s="33">
        <v>50</v>
      </c>
    </row>
    <row r="30" spans="1:14" x14ac:dyDescent="0.35">
      <c r="A30" s="3" t="s">
        <v>84</v>
      </c>
      <c r="C30" s="13">
        <f>[1]Model!B63/[1]Model!B10</f>
        <v>2.976190476190476E-2</v>
      </c>
      <c r="D30" s="13">
        <f>[1]Model!C63/[1]Model!C10</f>
        <v>2.9766123316796601E-2</v>
      </c>
      <c r="E30" s="13">
        <f>[1]Model!D63/[1]Model!D10</f>
        <v>2.9810298102981032E-2</v>
      </c>
      <c r="F30" s="13">
        <f>[1]Model!E63/[1]Model!E10</f>
        <v>2.9525032092426188E-2</v>
      </c>
      <c r="G30" s="14">
        <f>[1]Model!F63/[1]Model!F10</f>
        <v>0.03</v>
      </c>
      <c r="H30" s="15">
        <v>0.03</v>
      </c>
      <c r="I30" s="15">
        <v>0.03</v>
      </c>
      <c r="J30" s="15">
        <v>0.03</v>
      </c>
      <c r="K30" s="15">
        <v>0.03</v>
      </c>
      <c r="L30" s="15">
        <v>0.03</v>
      </c>
    </row>
    <row r="31" spans="1:14" x14ac:dyDescent="0.35">
      <c r="A31" s="3" t="s">
        <v>98</v>
      </c>
      <c r="C31" s="13">
        <f>+[1]Model!B64/[1]Model!B10</f>
        <v>1.488095238095238E-2</v>
      </c>
      <c r="D31" s="13">
        <f>+[1]Model!C64/[1]Model!C10</f>
        <v>0</v>
      </c>
      <c r="E31" s="13">
        <f>+[1]Model!D64/[1]Model!D10</f>
        <v>2.7100271002710029E-2</v>
      </c>
      <c r="F31" s="13">
        <f>+[1]Model!E64/[1]Model!E10</f>
        <v>1.2836970474967908E-2</v>
      </c>
      <c r="G31" s="14">
        <f>+[1]Model!F64/[1]Model!F10</f>
        <v>0</v>
      </c>
      <c r="H31" s="15">
        <v>0.02</v>
      </c>
      <c r="I31" s="15">
        <v>0.02</v>
      </c>
      <c r="J31" s="15">
        <v>0.02</v>
      </c>
      <c r="K31" s="15">
        <v>0.02</v>
      </c>
      <c r="L31" s="15">
        <v>0.02</v>
      </c>
    </row>
    <row r="32" spans="1:14" x14ac:dyDescent="0.35">
      <c r="A32" s="3" t="s">
        <v>35</v>
      </c>
      <c r="C32" s="39">
        <f>[1]Model!B70</f>
        <v>1</v>
      </c>
      <c r="D32" s="39">
        <f>[1]Model!C70</f>
        <v>2</v>
      </c>
      <c r="E32" s="39">
        <f>[1]Model!D70</f>
        <v>1</v>
      </c>
      <c r="F32" s="39">
        <f>[1]Model!E70</f>
        <v>0</v>
      </c>
      <c r="G32" s="40">
        <f>[1]Model!F70</f>
        <v>2</v>
      </c>
      <c r="H32" s="41">
        <v>2</v>
      </c>
      <c r="I32" s="41">
        <v>2</v>
      </c>
      <c r="J32" s="41">
        <v>2</v>
      </c>
      <c r="K32" s="41">
        <v>2</v>
      </c>
      <c r="L32" s="41">
        <v>2</v>
      </c>
    </row>
    <row r="33" spans="1:12" x14ac:dyDescent="0.35">
      <c r="G33" s="137"/>
    </row>
    <row r="34" spans="1:12" x14ac:dyDescent="0.35">
      <c r="A34" s="3" t="s">
        <v>97</v>
      </c>
      <c r="C34" s="39">
        <f>+[1]Model!B75</f>
        <v>10</v>
      </c>
      <c r="D34" s="39">
        <f>+[1]Model!C75</f>
        <v>10</v>
      </c>
      <c r="E34" s="39">
        <f>+[1]Model!D75</f>
        <v>10</v>
      </c>
      <c r="F34" s="39">
        <f>+[1]Model!E75</f>
        <v>10</v>
      </c>
      <c r="G34" s="40">
        <f>+[1]Model!F75</f>
        <v>10</v>
      </c>
      <c r="H34" s="41">
        <v>10</v>
      </c>
      <c r="I34" s="41">
        <v>10</v>
      </c>
      <c r="J34" s="41">
        <v>10</v>
      </c>
      <c r="K34" s="41">
        <v>10</v>
      </c>
      <c r="L34" s="41">
        <v>10</v>
      </c>
    </row>
    <row r="35" spans="1:12" x14ac:dyDescent="0.35">
      <c r="G35" s="137"/>
    </row>
    <row r="36" spans="1:12" x14ac:dyDescent="0.35">
      <c r="A36" s="43" t="s">
        <v>93</v>
      </c>
      <c r="C36" s="138"/>
      <c r="G36" s="137"/>
    </row>
    <row r="37" spans="1:12" x14ac:dyDescent="0.35">
      <c r="A37" s="3" t="s">
        <v>73</v>
      </c>
      <c r="B37" s="30"/>
      <c r="C37" s="139">
        <v>5.0000000000000001E-3</v>
      </c>
      <c r="D37" s="139">
        <v>2.5000000000000001E-3</v>
      </c>
      <c r="E37" s="139">
        <v>2.5000000000000001E-3</v>
      </c>
      <c r="F37" s="139">
        <v>5.0000000000000001E-3</v>
      </c>
      <c r="G37" s="140">
        <v>7.4999999999999997E-3</v>
      </c>
      <c r="H37" s="139">
        <v>1.2500000000000001E-2</v>
      </c>
      <c r="I37" s="139">
        <v>0.02</v>
      </c>
      <c r="J37" s="139">
        <v>2.5000000000000001E-2</v>
      </c>
      <c r="K37" s="139">
        <v>0.03</v>
      </c>
      <c r="L37" s="139">
        <v>3.5000000000000003E-2</v>
      </c>
    </row>
    <row r="38" spans="1:12" ht="13.15" x14ac:dyDescent="0.4">
      <c r="A38" s="3" t="s">
        <v>80</v>
      </c>
      <c r="B38" s="53"/>
      <c r="C38" s="139">
        <v>2.5000000000000001E-3</v>
      </c>
      <c r="D38" s="139">
        <v>1.25E-3</v>
      </c>
      <c r="E38" s="139">
        <v>1.25E-3</v>
      </c>
      <c r="F38" s="139">
        <v>2.5000000000000001E-3</v>
      </c>
      <c r="G38" s="140">
        <v>3.7499999999999999E-3</v>
      </c>
      <c r="H38" s="139">
        <v>7.4999999999999997E-3</v>
      </c>
      <c r="I38" s="139">
        <v>0.01</v>
      </c>
      <c r="J38" s="139">
        <v>1.2500000000000001E-2</v>
      </c>
      <c r="K38" s="139">
        <v>1.4999999999999999E-2</v>
      </c>
      <c r="L38" s="139">
        <v>1.7500000000000002E-2</v>
      </c>
    </row>
    <row r="39" spans="1:12" ht="13.15" x14ac:dyDescent="0.4">
      <c r="B39" s="53"/>
      <c r="C39" s="141"/>
      <c r="D39" s="141"/>
      <c r="E39" s="141"/>
      <c r="F39" s="141"/>
      <c r="G39" s="142"/>
      <c r="H39" s="141"/>
      <c r="I39" s="141"/>
      <c r="J39" s="141"/>
      <c r="K39" s="141"/>
      <c r="L39" s="141"/>
    </row>
    <row r="40" spans="1:12" ht="13.15" x14ac:dyDescent="0.4">
      <c r="A40" s="3" t="s">
        <v>72</v>
      </c>
      <c r="B40" s="132">
        <v>0.02</v>
      </c>
      <c r="C40" s="141">
        <f>B40+C37</f>
        <v>2.5000000000000001E-2</v>
      </c>
      <c r="D40" s="141">
        <f>$B$40+D37</f>
        <v>2.2499999999999999E-2</v>
      </c>
      <c r="E40" s="141">
        <f>$B$40+E37</f>
        <v>2.2499999999999999E-2</v>
      </c>
      <c r="F40" s="141">
        <f>$B$40+F37</f>
        <v>2.5000000000000001E-2</v>
      </c>
      <c r="G40" s="142">
        <f>$B$40+G37</f>
        <v>2.75E-2</v>
      </c>
      <c r="H40" s="141">
        <f>H37+$B$40</f>
        <v>3.2500000000000001E-2</v>
      </c>
      <c r="I40" s="141">
        <f>I37+$B$40</f>
        <v>0.04</v>
      </c>
      <c r="J40" s="141">
        <f>J37+$B$40</f>
        <v>4.4999999999999998E-2</v>
      </c>
      <c r="K40" s="141">
        <f>K37+$B$40</f>
        <v>0.05</v>
      </c>
      <c r="L40" s="141">
        <f>L37+$B$40</f>
        <v>5.5000000000000007E-2</v>
      </c>
    </row>
    <row r="41" spans="1:12" ht="13.15" x14ac:dyDescent="0.4">
      <c r="A41" s="3" t="s">
        <v>46</v>
      </c>
      <c r="B41" s="132">
        <v>2.5000000000000001E-2</v>
      </c>
      <c r="C41" s="141">
        <f>$B$41+C37</f>
        <v>3.0000000000000002E-2</v>
      </c>
      <c r="D41" s="141">
        <f>$B$41+D37</f>
        <v>2.75E-2</v>
      </c>
      <c r="E41" s="141">
        <f>$B$41+E37</f>
        <v>2.75E-2</v>
      </c>
      <c r="F41" s="141">
        <f>$B$41+F37</f>
        <v>3.0000000000000002E-2</v>
      </c>
      <c r="G41" s="142">
        <f>$B$41+G37</f>
        <v>3.2500000000000001E-2</v>
      </c>
      <c r="H41" s="141">
        <f>H37+$B$41</f>
        <v>3.7500000000000006E-2</v>
      </c>
      <c r="I41" s="141">
        <f>I37+$B$41</f>
        <v>4.4999999999999998E-2</v>
      </c>
      <c r="J41" s="141">
        <f>J37+$B$41</f>
        <v>0.05</v>
      </c>
      <c r="K41" s="141">
        <f>K37+$B$41</f>
        <v>5.5E-2</v>
      </c>
      <c r="L41" s="141">
        <f>L37+$B$41</f>
        <v>6.0000000000000005E-2</v>
      </c>
    </row>
    <row r="42" spans="1:12" ht="13.15" x14ac:dyDescent="0.4">
      <c r="A42" s="3" t="s">
        <v>42</v>
      </c>
      <c r="B42" s="53">
        <v>0.12</v>
      </c>
      <c r="C42" s="141">
        <f t="shared" ref="C42:L42" si="1">$B$42</f>
        <v>0.12</v>
      </c>
      <c r="D42" s="141">
        <f t="shared" si="1"/>
        <v>0.12</v>
      </c>
      <c r="E42" s="141">
        <f t="shared" si="1"/>
        <v>0.12</v>
      </c>
      <c r="F42" s="141">
        <f t="shared" si="1"/>
        <v>0.12</v>
      </c>
      <c r="G42" s="142">
        <f t="shared" si="1"/>
        <v>0.12</v>
      </c>
      <c r="H42" s="141">
        <f t="shared" si="1"/>
        <v>0.12</v>
      </c>
      <c r="I42" s="141">
        <f t="shared" si="1"/>
        <v>0.12</v>
      </c>
      <c r="J42" s="141">
        <f t="shared" si="1"/>
        <v>0.12</v>
      </c>
      <c r="K42" s="141">
        <f t="shared" si="1"/>
        <v>0.12</v>
      </c>
      <c r="L42" s="141">
        <f t="shared" si="1"/>
        <v>0.12</v>
      </c>
    </row>
    <row r="43" spans="1:12" x14ac:dyDescent="0.35">
      <c r="B43" s="30"/>
      <c r="G43" s="137"/>
    </row>
    <row r="44" spans="1:12" ht="13.15" x14ac:dyDescent="0.4">
      <c r="A44" s="3" t="s">
        <v>92</v>
      </c>
      <c r="B44" s="53"/>
      <c r="C44" s="39">
        <v>20</v>
      </c>
      <c r="D44" s="39">
        <v>20</v>
      </c>
      <c r="E44" s="39">
        <v>20</v>
      </c>
      <c r="F44" s="39">
        <v>20</v>
      </c>
      <c r="G44" s="40">
        <v>20</v>
      </c>
      <c r="H44" s="41">
        <v>20</v>
      </c>
      <c r="I44" s="41">
        <v>20</v>
      </c>
      <c r="J44" s="41">
        <v>20</v>
      </c>
      <c r="K44" s="41">
        <v>20</v>
      </c>
      <c r="L44" s="41">
        <v>20</v>
      </c>
    </row>
    <row r="45" spans="1:12" ht="13.15" x14ac:dyDescent="0.4">
      <c r="A45" s="3" t="s">
        <v>94</v>
      </c>
      <c r="B45" s="54"/>
      <c r="C45" s="55">
        <v>0</v>
      </c>
      <c r="D45" s="55">
        <v>0</v>
      </c>
      <c r="E45" s="55">
        <v>0</v>
      </c>
      <c r="F45" s="55">
        <v>0</v>
      </c>
      <c r="G45" s="56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</row>
    <row r="46" spans="1:12" ht="13.15" thickBot="1" x14ac:dyDescent="0.4">
      <c r="A46" s="58"/>
      <c r="B46" s="58"/>
      <c r="C46" s="58"/>
      <c r="D46" s="58"/>
      <c r="E46" s="58"/>
      <c r="F46" s="58"/>
      <c r="G46" s="143"/>
      <c r="H46" s="58"/>
      <c r="I46" s="58"/>
      <c r="J46" s="58"/>
      <c r="K46" s="58"/>
      <c r="L46" s="58"/>
    </row>
    <row r="48" spans="1:12" ht="15" x14ac:dyDescent="0.4">
      <c r="A48" s="62"/>
    </row>
    <row r="49" spans="1:1" ht="17.649999999999999" x14ac:dyDescent="0.5">
      <c r="A49" s="64"/>
    </row>
    <row r="50" spans="1:1" ht="17.649999999999999" x14ac:dyDescent="0.5">
      <c r="A50" s="64"/>
    </row>
    <row r="73" spans="7:7" x14ac:dyDescent="0.35">
      <c r="G73" s="65"/>
    </row>
    <row r="74" spans="7:7" x14ac:dyDescent="0.35">
      <c r="G74" s="65"/>
    </row>
    <row r="75" spans="7:7" x14ac:dyDescent="0.35">
      <c r="G75" s="65"/>
    </row>
    <row r="76" spans="7:7" x14ac:dyDescent="0.35">
      <c r="G76" s="65"/>
    </row>
    <row r="77" spans="7:7" x14ac:dyDescent="0.35">
      <c r="G77" s="65"/>
    </row>
    <row r="78" spans="7:7" x14ac:dyDescent="0.35">
      <c r="G78" s="65"/>
    </row>
    <row r="79" spans="7:7" x14ac:dyDescent="0.35">
      <c r="G79" s="65"/>
    </row>
    <row r="80" spans="7:7" x14ac:dyDescent="0.35">
      <c r="G80" s="65"/>
    </row>
    <row r="81" spans="7:7" x14ac:dyDescent="0.35">
      <c r="G81" s="65"/>
    </row>
    <row r="82" spans="7:7" x14ac:dyDescent="0.35">
      <c r="G82" s="65"/>
    </row>
    <row r="83" spans="7:7" x14ac:dyDescent="0.35">
      <c r="G83" s="65"/>
    </row>
    <row r="84" spans="7:7" x14ac:dyDescent="0.35">
      <c r="G84" s="65"/>
    </row>
    <row r="85" spans="7:7" x14ac:dyDescent="0.35">
      <c r="G85" s="65"/>
    </row>
    <row r="86" spans="7:7" x14ac:dyDescent="0.35">
      <c r="G86" s="65"/>
    </row>
    <row r="87" spans="7:7" x14ac:dyDescent="0.35">
      <c r="G87" s="65"/>
    </row>
    <row r="88" spans="7:7" x14ac:dyDescent="0.35">
      <c r="G88" s="65"/>
    </row>
    <row r="89" spans="7:7" x14ac:dyDescent="0.35">
      <c r="G89" s="65"/>
    </row>
    <row r="90" spans="7:7" x14ac:dyDescent="0.35">
      <c r="G90" s="65"/>
    </row>
    <row r="91" spans="7:7" x14ac:dyDescent="0.35">
      <c r="G91" s="65"/>
    </row>
    <row r="92" spans="7:7" x14ac:dyDescent="0.35">
      <c r="G92" s="65"/>
    </row>
    <row r="93" spans="7:7" x14ac:dyDescent="0.35">
      <c r="G93" s="65"/>
    </row>
    <row r="94" spans="7:7" x14ac:dyDescent="0.35">
      <c r="G94" s="65"/>
    </row>
    <row r="95" spans="7:7" x14ac:dyDescent="0.35">
      <c r="G95" s="65"/>
    </row>
    <row r="96" spans="7:7" x14ac:dyDescent="0.35">
      <c r="G96" s="65"/>
    </row>
    <row r="97" spans="7:7" x14ac:dyDescent="0.35">
      <c r="G97" s="65"/>
    </row>
    <row r="98" spans="7:7" x14ac:dyDescent="0.35">
      <c r="G98" s="65"/>
    </row>
    <row r="99" spans="7:7" x14ac:dyDescent="0.35">
      <c r="G99" s="65"/>
    </row>
    <row r="100" spans="7:7" x14ac:dyDescent="0.35">
      <c r="G100" s="65"/>
    </row>
    <row r="101" spans="7:7" x14ac:dyDescent="0.35">
      <c r="G101" s="65"/>
    </row>
    <row r="102" spans="7:7" x14ac:dyDescent="0.35">
      <c r="G102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20DA-E6FB-47B8-A043-9D22A047C096}">
  <dimension ref="A1:W149"/>
  <sheetViews>
    <sheetView workbookViewId="0">
      <selection activeCell="L23" sqref="L23"/>
    </sheetView>
  </sheetViews>
  <sheetFormatPr defaultColWidth="9.19921875" defaultRowHeight="12.75" x14ac:dyDescent="0.35"/>
  <cols>
    <col min="1" max="1" width="31.33203125" style="3" customWidth="1"/>
    <col min="2" max="11" width="9.46484375" style="3" customWidth="1"/>
    <col min="12" max="16384" width="9.19921875" style="3"/>
  </cols>
  <sheetData>
    <row r="1" spans="1:13" ht="15" x14ac:dyDescent="0.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3" ht="15" x14ac:dyDescent="0.4">
      <c r="A3" s="4"/>
      <c r="B3" s="6" t="s">
        <v>119</v>
      </c>
      <c r="C3" s="6"/>
      <c r="D3" s="6"/>
      <c r="E3" s="6"/>
      <c r="F3" s="6"/>
      <c r="G3" s="6" t="s">
        <v>120</v>
      </c>
      <c r="H3" s="6"/>
      <c r="I3" s="6"/>
      <c r="J3" s="6"/>
      <c r="K3" s="6"/>
      <c r="M3" s="5"/>
    </row>
    <row r="4" spans="1:13" ht="15" x14ac:dyDescent="0.4">
      <c r="A4" s="130" t="s">
        <v>2</v>
      </c>
      <c r="B4" s="125" t="s">
        <v>1</v>
      </c>
      <c r="C4" s="125"/>
      <c r="D4" s="125"/>
      <c r="E4" s="125"/>
      <c r="F4" s="126"/>
      <c r="G4" s="129" t="s">
        <v>1</v>
      </c>
      <c r="H4" s="125"/>
      <c r="I4" s="125"/>
      <c r="J4" s="125"/>
      <c r="K4" s="125"/>
      <c r="M4" s="5"/>
    </row>
    <row r="5" spans="1:13" ht="15.4" thickBot="1" x14ac:dyDescent="0.45">
      <c r="B5" s="124">
        <v>2012</v>
      </c>
      <c r="C5" s="124">
        <f t="shared" ref="C5:K5" si="0">B5+1</f>
        <v>2013</v>
      </c>
      <c r="D5" s="124">
        <f t="shared" si="0"/>
        <v>2014</v>
      </c>
      <c r="E5" s="124">
        <f t="shared" si="0"/>
        <v>2015</v>
      </c>
      <c r="F5" s="124">
        <f t="shared" si="0"/>
        <v>2016</v>
      </c>
      <c r="G5" s="127">
        <f t="shared" si="0"/>
        <v>2017</v>
      </c>
      <c r="H5" s="128">
        <f t="shared" si="0"/>
        <v>2018</v>
      </c>
      <c r="I5" s="128">
        <f t="shared" si="0"/>
        <v>2019</v>
      </c>
      <c r="J5" s="128">
        <f t="shared" si="0"/>
        <v>2020</v>
      </c>
      <c r="K5" s="128">
        <f t="shared" si="0"/>
        <v>2021</v>
      </c>
      <c r="M5" s="5"/>
    </row>
    <row r="6" spans="1:13" ht="15" x14ac:dyDescent="0.4">
      <c r="A6" s="7" t="s">
        <v>90</v>
      </c>
      <c r="B6" s="9"/>
      <c r="C6" s="9"/>
      <c r="D6" s="9"/>
      <c r="E6" s="9"/>
      <c r="F6" s="66"/>
      <c r="G6" s="11"/>
      <c r="H6" s="11"/>
      <c r="I6" s="11"/>
      <c r="J6" s="11"/>
      <c r="K6" s="11"/>
      <c r="M6" s="5"/>
    </row>
    <row r="7" spans="1:13" ht="15" x14ac:dyDescent="0.4">
      <c r="A7" s="3" t="s">
        <v>0</v>
      </c>
      <c r="B7" s="27">
        <v>160</v>
      </c>
      <c r="C7" s="27">
        <v>170</v>
      </c>
      <c r="D7" s="27">
        <v>180</v>
      </c>
      <c r="E7" s="27">
        <v>190</v>
      </c>
      <c r="F7" s="67">
        <v>200</v>
      </c>
      <c r="G7" s="27">
        <f>F7*(1+[1]Assumptions!H8)</f>
        <v>210</v>
      </c>
      <c r="H7" s="27">
        <f>G7*(1+[1]Assumptions!I8)</f>
        <v>220.5</v>
      </c>
      <c r="I7" s="27">
        <f>H7*(1+[1]Assumptions!J8)</f>
        <v>231.52500000000001</v>
      </c>
      <c r="J7" s="27">
        <f>I7*(1+[1]Assumptions!K8)</f>
        <v>243.10125000000002</v>
      </c>
      <c r="K7" s="27">
        <f>J7*(1+[1]Assumptions!L8)</f>
        <v>255.25631250000004</v>
      </c>
      <c r="M7" s="5"/>
    </row>
    <row r="8" spans="1:13" x14ac:dyDescent="0.35">
      <c r="A8" s="4" t="s">
        <v>3</v>
      </c>
      <c r="B8" s="68" t="s">
        <v>4</v>
      </c>
      <c r="C8" s="68">
        <f t="shared" ref="C8:K8" si="1">C7/B7-1</f>
        <v>6.25E-2</v>
      </c>
      <c r="D8" s="68">
        <f t="shared" si="1"/>
        <v>5.8823529411764719E-2</v>
      </c>
      <c r="E8" s="68">
        <f t="shared" si="1"/>
        <v>5.555555555555558E-2</v>
      </c>
      <c r="F8" s="69">
        <f t="shared" si="1"/>
        <v>5.2631578947368363E-2</v>
      </c>
      <c r="G8" s="68">
        <f t="shared" si="1"/>
        <v>5.0000000000000044E-2</v>
      </c>
      <c r="H8" s="68">
        <f t="shared" si="1"/>
        <v>5.0000000000000044E-2</v>
      </c>
      <c r="I8" s="68">
        <f t="shared" si="1"/>
        <v>5.0000000000000044E-2</v>
      </c>
      <c r="J8" s="68">
        <f t="shared" si="1"/>
        <v>5.0000000000000044E-2</v>
      </c>
      <c r="K8" s="68">
        <f t="shared" si="1"/>
        <v>5.0000000000000044E-2</v>
      </c>
      <c r="L8" s="4"/>
    </row>
    <row r="9" spans="1:13" ht="15" x14ac:dyDescent="0.4">
      <c r="B9" s="27"/>
      <c r="C9" s="27"/>
      <c r="D9" s="27"/>
      <c r="E9" s="27"/>
      <c r="F9" s="67"/>
      <c r="G9" s="27"/>
      <c r="H9" s="27"/>
      <c r="I9" s="27"/>
      <c r="J9" s="27"/>
      <c r="K9" s="27"/>
      <c r="M9" s="5"/>
    </row>
    <row r="10" spans="1:13" ht="15" x14ac:dyDescent="0.4">
      <c r="A10" s="3" t="s">
        <v>115</v>
      </c>
      <c r="B10" s="27">
        <f>+B7*0.42</f>
        <v>67.2</v>
      </c>
      <c r="C10" s="27">
        <f>+C7*0.415</f>
        <v>70.55</v>
      </c>
      <c r="D10" s="27">
        <f>+D7*0.41</f>
        <v>73.8</v>
      </c>
      <c r="E10" s="27">
        <f>+E7*0.41</f>
        <v>77.899999999999991</v>
      </c>
      <c r="F10" s="67">
        <f>+F7*0.4</f>
        <v>80</v>
      </c>
      <c r="G10" s="27">
        <f>G7*[1]Assumptions!H10</f>
        <v>84</v>
      </c>
      <c r="H10" s="27">
        <f>H7*[1]Assumptions!I10</f>
        <v>88.2</v>
      </c>
      <c r="I10" s="27">
        <f>I7*[1]Assumptions!J10</f>
        <v>92.610000000000014</v>
      </c>
      <c r="J10" s="27">
        <f>J7*[1]Assumptions!K10</f>
        <v>97.240500000000011</v>
      </c>
      <c r="K10" s="27">
        <f>K7*[1]Assumptions!L10</f>
        <v>102.10252500000001</v>
      </c>
      <c r="M10" s="5"/>
    </row>
    <row r="11" spans="1:13" x14ac:dyDescent="0.35">
      <c r="A11" s="4" t="s">
        <v>7</v>
      </c>
      <c r="B11" s="68">
        <f t="shared" ref="B11:K11" si="2">B10/B7</f>
        <v>0.42000000000000004</v>
      </c>
      <c r="C11" s="68">
        <f t="shared" si="2"/>
        <v>0.41499999999999998</v>
      </c>
      <c r="D11" s="68">
        <f t="shared" si="2"/>
        <v>0.41</v>
      </c>
      <c r="E11" s="68">
        <f t="shared" si="2"/>
        <v>0.41</v>
      </c>
      <c r="F11" s="69">
        <f t="shared" si="2"/>
        <v>0.4</v>
      </c>
      <c r="G11" s="68">
        <f t="shared" si="2"/>
        <v>0.4</v>
      </c>
      <c r="H11" s="68">
        <f t="shared" si="2"/>
        <v>0.4</v>
      </c>
      <c r="I11" s="68">
        <f t="shared" si="2"/>
        <v>0.4</v>
      </c>
      <c r="J11" s="68">
        <f t="shared" si="2"/>
        <v>0.4</v>
      </c>
      <c r="K11" s="68">
        <f t="shared" si="2"/>
        <v>0.4</v>
      </c>
    </row>
    <row r="12" spans="1:13" x14ac:dyDescent="0.35">
      <c r="B12" s="27"/>
      <c r="C12" s="27"/>
      <c r="D12" s="27"/>
      <c r="E12" s="27"/>
      <c r="F12" s="67"/>
      <c r="G12" s="27"/>
      <c r="H12" s="27"/>
      <c r="I12" s="27"/>
      <c r="J12" s="27"/>
      <c r="K12" s="27"/>
    </row>
    <row r="13" spans="1:13" x14ac:dyDescent="0.35">
      <c r="A13" s="3" t="s">
        <v>11</v>
      </c>
      <c r="B13" s="27">
        <f t="shared" ref="B13:K13" si="3">B7-B10</f>
        <v>92.8</v>
      </c>
      <c r="C13" s="27">
        <f t="shared" si="3"/>
        <v>99.45</v>
      </c>
      <c r="D13" s="27">
        <f t="shared" si="3"/>
        <v>106.2</v>
      </c>
      <c r="E13" s="27">
        <f t="shared" si="3"/>
        <v>112.10000000000001</v>
      </c>
      <c r="F13" s="67">
        <f t="shared" si="3"/>
        <v>120</v>
      </c>
      <c r="G13" s="27">
        <f t="shared" si="3"/>
        <v>126</v>
      </c>
      <c r="H13" s="27">
        <f t="shared" si="3"/>
        <v>132.30000000000001</v>
      </c>
      <c r="I13" s="27">
        <f t="shared" si="3"/>
        <v>138.91499999999999</v>
      </c>
      <c r="J13" s="27">
        <f t="shared" si="3"/>
        <v>145.86075</v>
      </c>
      <c r="K13" s="27">
        <f t="shared" si="3"/>
        <v>153.15378750000002</v>
      </c>
    </row>
    <row r="14" spans="1:13" ht="15" x14ac:dyDescent="0.4">
      <c r="A14" s="4" t="s">
        <v>99</v>
      </c>
      <c r="B14" s="68">
        <f t="shared" ref="B14:K14" si="4">B13/B7</f>
        <v>0.57999999999999996</v>
      </c>
      <c r="C14" s="68">
        <f t="shared" si="4"/>
        <v>0.58499999999999996</v>
      </c>
      <c r="D14" s="68">
        <f t="shared" si="4"/>
        <v>0.59</v>
      </c>
      <c r="E14" s="68">
        <f t="shared" si="4"/>
        <v>0.59000000000000008</v>
      </c>
      <c r="F14" s="69">
        <f t="shared" si="4"/>
        <v>0.6</v>
      </c>
      <c r="G14" s="68">
        <f t="shared" si="4"/>
        <v>0.6</v>
      </c>
      <c r="H14" s="68">
        <f t="shared" si="4"/>
        <v>0.60000000000000009</v>
      </c>
      <c r="I14" s="68">
        <f t="shared" si="4"/>
        <v>0.6</v>
      </c>
      <c r="J14" s="68">
        <f t="shared" si="4"/>
        <v>0.6</v>
      </c>
      <c r="K14" s="68">
        <f t="shared" si="4"/>
        <v>0.6</v>
      </c>
      <c r="M14" s="5"/>
    </row>
    <row r="15" spans="1:13" ht="15" x14ac:dyDescent="0.4">
      <c r="B15" s="27"/>
      <c r="C15" s="27"/>
      <c r="D15" s="27"/>
      <c r="E15" s="27"/>
      <c r="F15" s="67"/>
      <c r="G15" s="27"/>
      <c r="H15" s="27"/>
      <c r="I15" s="27"/>
      <c r="J15" s="27"/>
      <c r="K15" s="27"/>
      <c r="M15" s="5"/>
    </row>
    <row r="16" spans="1:13" x14ac:dyDescent="0.35">
      <c r="A16" s="3" t="s">
        <v>9</v>
      </c>
      <c r="B16" s="27">
        <v>5</v>
      </c>
      <c r="C16" s="27">
        <v>5</v>
      </c>
      <c r="D16" s="27">
        <v>5</v>
      </c>
      <c r="E16" s="27">
        <v>5</v>
      </c>
      <c r="F16" s="67">
        <v>5</v>
      </c>
      <c r="G16" s="27">
        <f>[1]Assumptions!H12*[1]Model!G53</f>
        <v>6.6739999999999995</v>
      </c>
      <c r="H16" s="27">
        <f>[1]Assumptions!I12*[1]Model!H53</f>
        <v>6.8944999999999999</v>
      </c>
      <c r="I16" s="27">
        <f>[1]Assumptions!J12*[1]Model!I53</f>
        <v>7.1260249999999994</v>
      </c>
      <c r="J16" s="27">
        <f>[1]Assumptions!K12*[1]Model!J53</f>
        <v>7.3691262499999999</v>
      </c>
      <c r="K16" s="27">
        <f>[1]Assumptions!L12*[1]Model!K53</f>
        <v>7.6243825625000001</v>
      </c>
    </row>
    <row r="17" spans="1:13" x14ac:dyDescent="0.35">
      <c r="A17" s="3" t="s">
        <v>10</v>
      </c>
      <c r="B17" s="27">
        <v>0</v>
      </c>
      <c r="C17" s="27">
        <v>0</v>
      </c>
      <c r="D17" s="27">
        <v>0</v>
      </c>
      <c r="E17" s="27">
        <v>0</v>
      </c>
      <c r="F17" s="67">
        <v>0</v>
      </c>
      <c r="G17" s="27">
        <f>[1]Assumptions!H13</f>
        <v>0</v>
      </c>
      <c r="H17" s="27">
        <f>[1]Assumptions!I13</f>
        <v>0</v>
      </c>
      <c r="I17" s="27">
        <f>[1]Assumptions!J13</f>
        <v>0</v>
      </c>
      <c r="J17" s="27">
        <f>[1]Assumptions!K13</f>
        <v>0</v>
      </c>
      <c r="K17" s="27">
        <f>[1]Assumptions!L13</f>
        <v>0</v>
      </c>
    </row>
    <row r="18" spans="1:13" x14ac:dyDescent="0.35">
      <c r="B18" s="27"/>
      <c r="C18" s="27"/>
      <c r="D18" s="27"/>
      <c r="E18" s="27"/>
      <c r="F18" s="67"/>
      <c r="G18" s="27"/>
      <c r="H18" s="27"/>
      <c r="I18" s="27"/>
      <c r="J18" s="27"/>
      <c r="K18" s="27"/>
    </row>
    <row r="19" spans="1:13" x14ac:dyDescent="0.35">
      <c r="A19" s="3" t="s">
        <v>12</v>
      </c>
      <c r="B19" s="27">
        <f>+B7*0.3</f>
        <v>48</v>
      </c>
      <c r="C19" s="27">
        <f>+C7*0.3</f>
        <v>51</v>
      </c>
      <c r="D19" s="27">
        <f>+D7*0.3</f>
        <v>54</v>
      </c>
      <c r="E19" s="27">
        <f>+E7*0.3</f>
        <v>57</v>
      </c>
      <c r="F19" s="67">
        <f>+F7*0.3</f>
        <v>60</v>
      </c>
      <c r="G19" s="27">
        <f>[1]Assumptions!H15*[1]Model!G7</f>
        <v>63</v>
      </c>
      <c r="H19" s="27">
        <f>[1]Assumptions!I15*[1]Model!H7</f>
        <v>66.149999999999991</v>
      </c>
      <c r="I19" s="27">
        <f>[1]Assumptions!J15*[1]Model!I7</f>
        <v>69.457499999999996</v>
      </c>
      <c r="J19" s="27">
        <f>[1]Assumptions!K15*[1]Model!J7</f>
        <v>72.930374999999998</v>
      </c>
      <c r="K19" s="27">
        <f>[1]Assumptions!L15*[1]Model!K7</f>
        <v>76.576893750000011</v>
      </c>
    </row>
    <row r="20" spans="1:13" x14ac:dyDescent="0.35">
      <c r="A20" s="4" t="s">
        <v>13</v>
      </c>
      <c r="B20" s="68">
        <f t="shared" ref="B20:K20" si="5">B19/B7</f>
        <v>0.3</v>
      </c>
      <c r="C20" s="68">
        <f t="shared" si="5"/>
        <v>0.3</v>
      </c>
      <c r="D20" s="68">
        <f t="shared" si="5"/>
        <v>0.3</v>
      </c>
      <c r="E20" s="68">
        <f t="shared" si="5"/>
        <v>0.3</v>
      </c>
      <c r="F20" s="69">
        <f t="shared" si="5"/>
        <v>0.3</v>
      </c>
      <c r="G20" s="68">
        <f t="shared" si="5"/>
        <v>0.3</v>
      </c>
      <c r="H20" s="68">
        <f t="shared" si="5"/>
        <v>0.3</v>
      </c>
      <c r="I20" s="68">
        <f t="shared" si="5"/>
        <v>0.3</v>
      </c>
      <c r="J20" s="68">
        <f t="shared" si="5"/>
        <v>0.3</v>
      </c>
      <c r="K20" s="68">
        <f t="shared" si="5"/>
        <v>0.3</v>
      </c>
    </row>
    <row r="21" spans="1:13" x14ac:dyDescent="0.35">
      <c r="B21" s="27"/>
      <c r="C21" s="27"/>
      <c r="D21" s="27"/>
      <c r="E21" s="27"/>
      <c r="F21" s="67"/>
      <c r="G21" s="27"/>
      <c r="H21" s="27"/>
      <c r="I21" s="27"/>
      <c r="J21" s="27"/>
      <c r="K21" s="27"/>
    </row>
    <row r="22" spans="1:13" x14ac:dyDescent="0.35">
      <c r="A22" s="3" t="s">
        <v>15</v>
      </c>
      <c r="B22" s="27">
        <f t="shared" ref="B22:K22" si="6">B13-B16-B17-B19</f>
        <v>39.799999999999997</v>
      </c>
      <c r="C22" s="27">
        <f t="shared" si="6"/>
        <v>43.45</v>
      </c>
      <c r="D22" s="27">
        <f t="shared" si="6"/>
        <v>47.2</v>
      </c>
      <c r="E22" s="27">
        <f t="shared" si="6"/>
        <v>50.100000000000009</v>
      </c>
      <c r="F22" s="67">
        <f t="shared" si="6"/>
        <v>55</v>
      </c>
      <c r="G22" s="27">
        <f t="shared" si="6"/>
        <v>56.325999999999993</v>
      </c>
      <c r="H22" s="27">
        <f t="shared" si="6"/>
        <v>59.255500000000026</v>
      </c>
      <c r="I22" s="27">
        <f t="shared" si="6"/>
        <v>62.331474999999998</v>
      </c>
      <c r="J22" s="27">
        <f t="shared" si="6"/>
        <v>65.561248750000004</v>
      </c>
      <c r="K22" s="27">
        <f t="shared" si="6"/>
        <v>68.952511187500022</v>
      </c>
    </row>
    <row r="23" spans="1:13" x14ac:dyDescent="0.35">
      <c r="A23" s="4" t="s">
        <v>100</v>
      </c>
      <c r="B23" s="68">
        <f t="shared" ref="B23:K23" si="7">B22/B7</f>
        <v>0.24874999999999997</v>
      </c>
      <c r="C23" s="68">
        <f t="shared" si="7"/>
        <v>0.25558823529411767</v>
      </c>
      <c r="D23" s="68">
        <f t="shared" si="7"/>
        <v>0.26222222222222225</v>
      </c>
      <c r="E23" s="68">
        <f t="shared" si="7"/>
        <v>0.26368421052631585</v>
      </c>
      <c r="F23" s="69">
        <f t="shared" si="7"/>
        <v>0.27500000000000002</v>
      </c>
      <c r="G23" s="68">
        <f t="shared" si="7"/>
        <v>0.26821904761904758</v>
      </c>
      <c r="H23" s="68">
        <f t="shared" si="7"/>
        <v>0.26873242630385502</v>
      </c>
      <c r="I23" s="68">
        <f t="shared" si="7"/>
        <v>0.26922135838462369</v>
      </c>
      <c r="J23" s="68">
        <f t="shared" si="7"/>
        <v>0.26968700798535589</v>
      </c>
      <c r="K23" s="68">
        <f t="shared" si="7"/>
        <v>0.27013048379557708</v>
      </c>
    </row>
    <row r="24" spans="1:13" x14ac:dyDescent="0.35">
      <c r="A24" s="71"/>
      <c r="B24" s="72"/>
      <c r="C24" s="72"/>
      <c r="D24" s="72"/>
      <c r="E24" s="72"/>
      <c r="F24" s="73"/>
      <c r="G24" s="72"/>
      <c r="H24" s="72"/>
      <c r="I24" s="72"/>
      <c r="J24" s="72"/>
      <c r="K24" s="72"/>
    </row>
    <row r="25" spans="1:13" ht="13.15" x14ac:dyDescent="0.4">
      <c r="A25" s="3" t="s">
        <v>26</v>
      </c>
      <c r="B25" s="27">
        <f t="shared" ref="B25:K25" si="8">B22+B16+B17</f>
        <v>44.8</v>
      </c>
      <c r="C25" s="27">
        <f t="shared" si="8"/>
        <v>48.45</v>
      </c>
      <c r="D25" s="27">
        <f t="shared" si="8"/>
        <v>52.2</v>
      </c>
      <c r="E25" s="27">
        <f t="shared" si="8"/>
        <v>55.100000000000009</v>
      </c>
      <c r="F25" s="67">
        <f t="shared" si="8"/>
        <v>60</v>
      </c>
      <c r="G25" s="27">
        <f t="shared" si="8"/>
        <v>62.999999999999993</v>
      </c>
      <c r="H25" s="27">
        <f t="shared" si="8"/>
        <v>66.15000000000002</v>
      </c>
      <c r="I25" s="27">
        <f t="shared" si="8"/>
        <v>69.457499999999996</v>
      </c>
      <c r="J25" s="27">
        <f t="shared" si="8"/>
        <v>72.930374999999998</v>
      </c>
      <c r="K25" s="27">
        <f t="shared" si="8"/>
        <v>76.576893750000025</v>
      </c>
      <c r="M25" s="74"/>
    </row>
    <row r="26" spans="1:13" x14ac:dyDescent="0.35">
      <c r="A26" s="4" t="s">
        <v>101</v>
      </c>
      <c r="B26" s="76">
        <f t="shared" ref="B26:K26" si="9">B25/B7</f>
        <v>0.27999999999999997</v>
      </c>
      <c r="C26" s="76">
        <f t="shared" si="9"/>
        <v>0.28500000000000003</v>
      </c>
      <c r="D26" s="76">
        <f t="shared" si="9"/>
        <v>0.29000000000000004</v>
      </c>
      <c r="E26" s="76">
        <f t="shared" si="9"/>
        <v>0.29000000000000004</v>
      </c>
      <c r="F26" s="69">
        <f t="shared" si="9"/>
        <v>0.3</v>
      </c>
      <c r="G26" s="76">
        <f t="shared" si="9"/>
        <v>0.3</v>
      </c>
      <c r="H26" s="76">
        <f t="shared" si="9"/>
        <v>0.3000000000000001</v>
      </c>
      <c r="I26" s="76">
        <f t="shared" si="9"/>
        <v>0.3</v>
      </c>
      <c r="J26" s="76">
        <f t="shared" si="9"/>
        <v>0.3</v>
      </c>
      <c r="K26" s="76">
        <f t="shared" si="9"/>
        <v>0.30000000000000004</v>
      </c>
    </row>
    <row r="27" spans="1:13" x14ac:dyDescent="0.35">
      <c r="A27" s="71" t="s">
        <v>87</v>
      </c>
      <c r="B27" s="77" t="s">
        <v>4</v>
      </c>
      <c r="C27" s="77">
        <f t="shared" ref="C27:K27" si="10">C25/B25-1</f>
        <v>8.1473214285714413E-2</v>
      </c>
      <c r="D27" s="77">
        <f t="shared" si="10"/>
        <v>7.7399380804953566E-2</v>
      </c>
      <c r="E27" s="77">
        <f t="shared" si="10"/>
        <v>5.555555555555558E-2</v>
      </c>
      <c r="F27" s="78">
        <f t="shared" si="10"/>
        <v>8.8929219600725862E-2</v>
      </c>
      <c r="G27" s="77">
        <f t="shared" si="10"/>
        <v>4.9999999999999822E-2</v>
      </c>
      <c r="H27" s="77">
        <f t="shared" si="10"/>
        <v>5.0000000000000488E-2</v>
      </c>
      <c r="I27" s="77">
        <f t="shared" si="10"/>
        <v>4.99999999999996E-2</v>
      </c>
      <c r="J27" s="77">
        <f t="shared" si="10"/>
        <v>5.0000000000000044E-2</v>
      </c>
      <c r="K27" s="77">
        <f t="shared" si="10"/>
        <v>5.0000000000000266E-2</v>
      </c>
    </row>
    <row r="28" spans="1:13" ht="15" x14ac:dyDescent="0.4">
      <c r="B28" s="27"/>
      <c r="C28" s="27"/>
      <c r="D28" s="27"/>
      <c r="E28" s="27"/>
      <c r="F28" s="67"/>
      <c r="G28" s="27"/>
      <c r="H28" s="27"/>
      <c r="I28" s="27"/>
      <c r="J28" s="27"/>
      <c r="K28" s="27"/>
      <c r="M28" s="5"/>
    </row>
    <row r="29" spans="1:13" ht="15" x14ac:dyDescent="0.4">
      <c r="A29" s="3" t="s">
        <v>16</v>
      </c>
      <c r="B29" s="27">
        <v>13</v>
      </c>
      <c r="C29" s="27">
        <f ca="1">+C135</f>
        <v>18.017095213849288</v>
      </c>
      <c r="D29" s="27">
        <f t="shared" ref="D29:K29" ca="1" si="11">+D135</f>
        <v>17.158442390731743</v>
      </c>
      <c r="E29" s="27">
        <f t="shared" ca="1" si="11"/>
        <v>16.403151073080362</v>
      </c>
      <c r="F29" s="67">
        <f t="shared" ca="1" si="11"/>
        <v>15.486362314048685</v>
      </c>
      <c r="G29" s="27">
        <f t="shared" ca="1" si="11"/>
        <v>10.634619829341087</v>
      </c>
      <c r="H29" s="27">
        <f t="shared" ca="1" si="11"/>
        <v>10.529219399161835</v>
      </c>
      <c r="I29" s="27">
        <f t="shared" ca="1" si="11"/>
        <v>9.805768814947541</v>
      </c>
      <c r="J29" s="27">
        <f t="shared" ca="1" si="11"/>
        <v>8.723959589903366</v>
      </c>
      <c r="K29" s="27">
        <f t="shared" ca="1" si="11"/>
        <v>7.2358418078313242</v>
      </c>
      <c r="M29" s="80"/>
    </row>
    <row r="30" spans="1:13" ht="15" x14ac:dyDescent="0.4">
      <c r="A30" s="3" t="s">
        <v>17</v>
      </c>
      <c r="B30" s="81">
        <v>0.2</v>
      </c>
      <c r="C30" s="81">
        <f t="shared" ref="C30:K30" ca="1" si="12">+C137</f>
        <v>6.2500000000000003E-3</v>
      </c>
      <c r="D30" s="81">
        <f t="shared" ca="1" si="12"/>
        <v>0</v>
      </c>
      <c r="E30" s="81">
        <f t="shared" ca="1" si="12"/>
        <v>0</v>
      </c>
      <c r="F30" s="82">
        <f t="shared" ca="1" si="12"/>
        <v>0</v>
      </c>
      <c r="G30" s="81">
        <f t="shared" ca="1" si="12"/>
        <v>0</v>
      </c>
      <c r="H30" s="81">
        <f t="shared" ca="1" si="12"/>
        <v>0</v>
      </c>
      <c r="I30" s="81">
        <f t="shared" ca="1" si="12"/>
        <v>0</v>
      </c>
      <c r="J30" s="81">
        <f t="shared" ca="1" si="12"/>
        <v>0</v>
      </c>
      <c r="K30" s="81">
        <f t="shared" ca="1" si="12"/>
        <v>0</v>
      </c>
      <c r="M30" s="80"/>
    </row>
    <row r="31" spans="1:13" ht="15" x14ac:dyDescent="0.4">
      <c r="A31" s="3" t="s">
        <v>18</v>
      </c>
      <c r="B31" s="27">
        <f t="shared" ref="B31:K31" si="13">B29-B30</f>
        <v>12.8</v>
      </c>
      <c r="C31" s="27">
        <f t="shared" ca="1" si="13"/>
        <v>18.010845213849286</v>
      </c>
      <c r="D31" s="27">
        <f t="shared" ca="1" si="13"/>
        <v>17.158442390731743</v>
      </c>
      <c r="E31" s="27">
        <f t="shared" ca="1" si="13"/>
        <v>16.403151073080362</v>
      </c>
      <c r="F31" s="67">
        <f t="shared" ca="1" si="13"/>
        <v>15.486362314048685</v>
      </c>
      <c r="G31" s="27">
        <f t="shared" ca="1" si="13"/>
        <v>10.634619829341087</v>
      </c>
      <c r="H31" s="27">
        <f t="shared" ca="1" si="13"/>
        <v>10.529219399161835</v>
      </c>
      <c r="I31" s="27">
        <f t="shared" ca="1" si="13"/>
        <v>9.805768814947541</v>
      </c>
      <c r="J31" s="27">
        <f t="shared" ca="1" si="13"/>
        <v>8.723959589903366</v>
      </c>
      <c r="K31" s="27">
        <f t="shared" ca="1" si="13"/>
        <v>7.2358418078313242</v>
      </c>
      <c r="M31" s="83"/>
    </row>
    <row r="32" spans="1:13" x14ac:dyDescent="0.35">
      <c r="B32" s="27"/>
      <c r="C32" s="27"/>
      <c r="D32" s="27"/>
      <c r="E32" s="27"/>
      <c r="F32" s="67"/>
      <c r="G32" s="27"/>
      <c r="H32" s="27"/>
      <c r="I32" s="27"/>
      <c r="J32" s="27"/>
      <c r="K32" s="27"/>
    </row>
    <row r="33" spans="1:13" x14ac:dyDescent="0.35">
      <c r="A33" s="3" t="s">
        <v>19</v>
      </c>
      <c r="B33" s="27">
        <v>2</v>
      </c>
      <c r="C33" s="27">
        <v>0</v>
      </c>
      <c r="D33" s="27">
        <v>-2</v>
      </c>
      <c r="E33" s="27">
        <v>1</v>
      </c>
      <c r="F33" s="67">
        <v>0</v>
      </c>
      <c r="G33" s="27">
        <f>[1]Assumptions!H17</f>
        <v>0</v>
      </c>
      <c r="H33" s="27">
        <f>[1]Assumptions!I17</f>
        <v>0</v>
      </c>
      <c r="I33" s="27">
        <f>[1]Assumptions!J17</f>
        <v>0</v>
      </c>
      <c r="J33" s="27">
        <f>[1]Assumptions!K17</f>
        <v>0</v>
      </c>
      <c r="K33" s="27">
        <f>[1]Assumptions!L17</f>
        <v>0</v>
      </c>
    </row>
    <row r="34" spans="1:13" x14ac:dyDescent="0.35">
      <c r="B34" s="27"/>
      <c r="C34" s="27"/>
      <c r="D34" s="27"/>
      <c r="E34" s="27"/>
      <c r="F34" s="67"/>
      <c r="G34" s="27"/>
      <c r="H34" s="27"/>
      <c r="I34" s="27"/>
      <c r="J34" s="27"/>
      <c r="K34" s="27"/>
    </row>
    <row r="35" spans="1:13" x14ac:dyDescent="0.35">
      <c r="A35" s="3" t="s">
        <v>20</v>
      </c>
      <c r="B35" s="27">
        <f t="shared" ref="B35:K35" si="14">B22-B31+B33</f>
        <v>28.999999999999996</v>
      </c>
      <c r="C35" s="27">
        <f t="shared" ca="1" si="14"/>
        <v>25.439154786150716</v>
      </c>
      <c r="D35" s="27">
        <f t="shared" ca="1" si="14"/>
        <v>28.04155760926826</v>
      </c>
      <c r="E35" s="27">
        <f t="shared" ca="1" si="14"/>
        <v>34.696848926919643</v>
      </c>
      <c r="F35" s="67">
        <f t="shared" ca="1" si="14"/>
        <v>39.513637685951316</v>
      </c>
      <c r="G35" s="27">
        <f t="shared" ca="1" si="14"/>
        <v>45.691380170658903</v>
      </c>
      <c r="H35" s="27">
        <f t="shared" ca="1" si="14"/>
        <v>48.726280600838194</v>
      </c>
      <c r="I35" s="27">
        <f t="shared" ca="1" si="14"/>
        <v>52.525706185052456</v>
      </c>
      <c r="J35" s="27">
        <f t="shared" ca="1" si="14"/>
        <v>56.837289160096638</v>
      </c>
      <c r="K35" s="27">
        <f t="shared" ca="1" si="14"/>
        <v>61.716669379668701</v>
      </c>
    </row>
    <row r="36" spans="1:13" x14ac:dyDescent="0.35">
      <c r="B36" s="27"/>
      <c r="C36" s="27"/>
      <c r="D36" s="27"/>
      <c r="E36" s="27"/>
      <c r="F36" s="67"/>
      <c r="G36" s="27"/>
      <c r="H36" s="27"/>
      <c r="I36" s="27"/>
      <c r="J36" s="27"/>
      <c r="K36" s="27"/>
    </row>
    <row r="37" spans="1:13" ht="15" x14ac:dyDescent="0.4">
      <c r="A37" s="3" t="s">
        <v>21</v>
      </c>
      <c r="B37" s="27">
        <f>+B35*0.4</f>
        <v>11.6</v>
      </c>
      <c r="C37" s="27">
        <f ca="1">+C35*0.4</f>
        <v>10.175661914460287</v>
      </c>
      <c r="D37" s="27">
        <f ca="1">+D35*0.4</f>
        <v>11.216623043707305</v>
      </c>
      <c r="E37" s="27">
        <f ca="1">+E35*0.4</f>
        <v>13.878739570767857</v>
      </c>
      <c r="F37" s="67">
        <f ca="1">+F35*0.4</f>
        <v>15.805455074380527</v>
      </c>
      <c r="G37" s="27">
        <f ca="1">G35*[1]Assumptions!H19</f>
        <v>18.276552068263562</v>
      </c>
      <c r="H37" s="27">
        <f ca="1">H35*[1]Assumptions!I19</f>
        <v>19.490512240335278</v>
      </c>
      <c r="I37" s="27">
        <f ca="1">I35*[1]Assumptions!J19</f>
        <v>21.010282474020983</v>
      </c>
      <c r="J37" s="27">
        <f ca="1">J35*[1]Assumptions!K19</f>
        <v>22.734915664038656</v>
      </c>
      <c r="K37" s="27">
        <f ca="1">K35*[1]Assumptions!L19</f>
        <v>24.686667751867482</v>
      </c>
      <c r="M37" s="5"/>
    </row>
    <row r="38" spans="1:13" ht="15" x14ac:dyDescent="0.4">
      <c r="A38" s="4" t="s">
        <v>23</v>
      </c>
      <c r="B38" s="68">
        <f t="shared" ref="B38:K38" si="15">B37/B35</f>
        <v>0.4</v>
      </c>
      <c r="C38" s="68">
        <f t="shared" ca="1" si="15"/>
        <v>0.4</v>
      </c>
      <c r="D38" s="68">
        <f t="shared" ca="1" si="15"/>
        <v>0.4</v>
      </c>
      <c r="E38" s="68">
        <f t="shared" ca="1" si="15"/>
        <v>0.4</v>
      </c>
      <c r="F38" s="69">
        <f t="shared" ca="1" si="15"/>
        <v>0.4</v>
      </c>
      <c r="G38" s="68">
        <f t="shared" ca="1" si="15"/>
        <v>0.4</v>
      </c>
      <c r="H38" s="68">
        <f t="shared" ca="1" si="15"/>
        <v>0.4</v>
      </c>
      <c r="I38" s="68">
        <f t="shared" ca="1" si="15"/>
        <v>0.4</v>
      </c>
      <c r="J38" s="68">
        <f t="shared" ca="1" si="15"/>
        <v>0.4</v>
      </c>
      <c r="K38" s="68">
        <f t="shared" ca="1" si="15"/>
        <v>0.4</v>
      </c>
      <c r="M38" s="5"/>
    </row>
    <row r="39" spans="1:13" x14ac:dyDescent="0.35">
      <c r="B39" s="27"/>
      <c r="C39" s="27"/>
      <c r="D39" s="27"/>
      <c r="E39" s="27"/>
      <c r="F39" s="67"/>
      <c r="G39" s="27"/>
      <c r="H39" s="27"/>
      <c r="I39" s="27"/>
      <c r="J39" s="27"/>
      <c r="K39" s="27"/>
    </row>
    <row r="40" spans="1:13" ht="13.15" x14ac:dyDescent="0.4">
      <c r="A40" s="3" t="s">
        <v>24</v>
      </c>
      <c r="B40" s="27">
        <f t="shared" ref="B40:K40" si="16">B35-B37</f>
        <v>17.399999999999999</v>
      </c>
      <c r="C40" s="27">
        <f t="shared" ca="1" si="16"/>
        <v>15.263492871690429</v>
      </c>
      <c r="D40" s="27">
        <f t="shared" ca="1" si="16"/>
        <v>16.824934565560955</v>
      </c>
      <c r="E40" s="27">
        <f t="shared" ca="1" si="16"/>
        <v>20.818109356151787</v>
      </c>
      <c r="F40" s="67">
        <f t="shared" ca="1" si="16"/>
        <v>23.708182611570791</v>
      </c>
      <c r="G40" s="27">
        <f t="shared" ca="1" si="16"/>
        <v>27.41482810239534</v>
      </c>
      <c r="H40" s="27">
        <f t="shared" ca="1" si="16"/>
        <v>29.235768360502917</v>
      </c>
      <c r="I40" s="27">
        <f t="shared" ca="1" si="16"/>
        <v>31.515423711031474</v>
      </c>
      <c r="J40" s="27">
        <f t="shared" ca="1" si="16"/>
        <v>34.102373496057979</v>
      </c>
      <c r="K40" s="27">
        <f t="shared" ca="1" si="16"/>
        <v>37.030001627801219</v>
      </c>
      <c r="M40" s="74"/>
    </row>
    <row r="41" spans="1:13" x14ac:dyDescent="0.35">
      <c r="A41" s="4" t="s">
        <v>102</v>
      </c>
      <c r="B41" s="68">
        <f t="shared" ref="B41:K41" si="17">B40/B7</f>
        <v>0.10874999999999999</v>
      </c>
      <c r="C41" s="68">
        <f t="shared" ca="1" si="17"/>
        <v>8.9785252186414297E-2</v>
      </c>
      <c r="D41" s="68">
        <f t="shared" ca="1" si="17"/>
        <v>9.3471858697560861E-2</v>
      </c>
      <c r="E41" s="68">
        <f t="shared" ca="1" si="17"/>
        <v>0.1095689966113252</v>
      </c>
      <c r="F41" s="69">
        <f t="shared" ca="1" si="17"/>
        <v>0.11854091305785396</v>
      </c>
      <c r="G41" s="68">
        <f t="shared" ca="1" si="17"/>
        <v>0.13054680048759687</v>
      </c>
      <c r="H41" s="68">
        <f t="shared" ca="1" si="17"/>
        <v>0.1325885186417366</v>
      </c>
      <c r="I41" s="68">
        <f t="shared" ca="1" si="17"/>
        <v>0.13612103967619685</v>
      </c>
      <c r="J41" s="68">
        <f t="shared" ca="1" si="17"/>
        <v>0.14028053535741991</v>
      </c>
      <c r="K41" s="68">
        <f t="shared" ca="1" si="17"/>
        <v>0.1450698760987594</v>
      </c>
    </row>
    <row r="42" spans="1:13" x14ac:dyDescent="0.35">
      <c r="A42" s="71" t="s">
        <v>25</v>
      </c>
      <c r="B42" s="77" t="s">
        <v>4</v>
      </c>
      <c r="C42" s="77">
        <f t="shared" ref="C42:K42" ca="1" si="18">C40/B40-1</f>
        <v>-0.12278776599480279</v>
      </c>
      <c r="D42" s="77">
        <f t="shared" ca="1" si="18"/>
        <v>0.10229910722247393</v>
      </c>
      <c r="E42" s="77">
        <f t="shared" ca="1" si="18"/>
        <v>0.23733672039144094</v>
      </c>
      <c r="F42" s="78">
        <f t="shared" ca="1" si="18"/>
        <v>0.138824962727222</v>
      </c>
      <c r="G42" s="77">
        <f t="shared" ca="1" si="18"/>
        <v>0.15634456472490288</v>
      </c>
      <c r="H42" s="77">
        <f t="shared" ca="1" si="18"/>
        <v>6.6421728099344657E-2</v>
      </c>
      <c r="I42" s="77">
        <f t="shared" ca="1" si="18"/>
        <v>7.797487387430313E-2</v>
      </c>
      <c r="J42" s="77">
        <f t="shared" ca="1" si="18"/>
        <v>8.2085197671671661E-2</v>
      </c>
      <c r="K42" s="77">
        <f t="shared" ca="1" si="18"/>
        <v>8.5848222033039878E-2</v>
      </c>
    </row>
    <row r="43" spans="1:13" x14ac:dyDescent="0.35">
      <c r="A43" s="4" t="s">
        <v>6</v>
      </c>
      <c r="B43" s="16"/>
      <c r="C43" s="16"/>
      <c r="D43" s="16"/>
      <c r="E43" s="16"/>
      <c r="F43" s="84"/>
      <c r="G43" s="16"/>
      <c r="H43" s="16"/>
      <c r="I43" s="16"/>
      <c r="J43" s="16"/>
      <c r="K43" s="16"/>
    </row>
    <row r="44" spans="1:13" x14ac:dyDescent="0.35">
      <c r="A44" s="4"/>
      <c r="B44" s="16"/>
      <c r="C44" s="16"/>
      <c r="D44" s="16"/>
      <c r="E44" s="16"/>
      <c r="F44" s="85"/>
      <c r="G44" s="16"/>
      <c r="H44" s="16"/>
      <c r="I44" s="16"/>
      <c r="J44" s="16"/>
      <c r="K44" s="16"/>
    </row>
    <row r="45" spans="1:13" ht="15" x14ac:dyDescent="0.4">
      <c r="A45" s="7" t="s">
        <v>27</v>
      </c>
      <c r="B45" s="16"/>
      <c r="C45" s="16"/>
      <c r="D45" s="16"/>
      <c r="E45" s="16"/>
      <c r="F45" s="85"/>
      <c r="G45" s="16"/>
      <c r="H45" s="16"/>
      <c r="I45" s="16"/>
      <c r="J45" s="16"/>
      <c r="K45" s="16"/>
    </row>
    <row r="46" spans="1:13" ht="13.15" x14ac:dyDescent="0.4">
      <c r="A46" s="8" t="s">
        <v>36</v>
      </c>
      <c r="B46" s="16"/>
      <c r="C46" s="16"/>
      <c r="D46" s="16"/>
      <c r="E46" s="16"/>
      <c r="F46" s="85"/>
      <c r="G46" s="16"/>
      <c r="H46" s="16"/>
      <c r="I46" s="16"/>
      <c r="J46" s="16"/>
      <c r="K46" s="16"/>
    </row>
    <row r="47" spans="1:13" x14ac:dyDescent="0.35">
      <c r="A47" s="3" t="s">
        <v>28</v>
      </c>
      <c r="B47" s="27">
        <v>5</v>
      </c>
      <c r="C47" s="27">
        <f t="shared" ref="C47:K47" ca="1" si="19">C110</f>
        <v>0</v>
      </c>
      <c r="D47" s="27">
        <f t="shared" ca="1" si="19"/>
        <v>0</v>
      </c>
      <c r="E47" s="27">
        <f t="shared" ca="1" si="19"/>
        <v>0</v>
      </c>
      <c r="F47" s="67">
        <f t="shared" ca="1" si="19"/>
        <v>0</v>
      </c>
      <c r="G47" s="27">
        <f t="shared" ca="1" si="19"/>
        <v>0</v>
      </c>
      <c r="H47" s="27">
        <f t="shared" ca="1" si="19"/>
        <v>0</v>
      </c>
      <c r="I47" s="27">
        <f t="shared" ca="1" si="19"/>
        <v>0</v>
      </c>
      <c r="J47" s="27">
        <f t="shared" ca="1" si="19"/>
        <v>0</v>
      </c>
      <c r="K47" s="27">
        <f t="shared" ca="1" si="19"/>
        <v>0</v>
      </c>
    </row>
    <row r="48" spans="1:13" x14ac:dyDescent="0.35">
      <c r="A48" s="3" t="s">
        <v>29</v>
      </c>
      <c r="B48" s="27">
        <v>12</v>
      </c>
      <c r="C48" s="27">
        <v>13</v>
      </c>
      <c r="D48" s="27">
        <v>14</v>
      </c>
      <c r="E48" s="27">
        <v>15</v>
      </c>
      <c r="F48" s="67">
        <v>16</v>
      </c>
      <c r="G48" s="27">
        <f>[1]Assumptions!H22*[1]Model!G7/360</f>
        <v>17.5</v>
      </c>
      <c r="H48" s="27">
        <f>[1]Assumptions!I22*[1]Model!H7/360</f>
        <v>18.375</v>
      </c>
      <c r="I48" s="27">
        <f>[1]Assumptions!J22*[1]Model!I7/360</f>
        <v>19.293749999999999</v>
      </c>
      <c r="J48" s="27">
        <f>[1]Assumptions!K22*[1]Model!J7/360</f>
        <v>20.258437499999999</v>
      </c>
      <c r="K48" s="27">
        <f>[1]Assumptions!L22*[1]Model!K7/360</f>
        <v>21.271359375000003</v>
      </c>
    </row>
    <row r="49" spans="1:12" x14ac:dyDescent="0.35">
      <c r="A49" s="3" t="s">
        <v>30</v>
      </c>
      <c r="B49" s="27">
        <v>8</v>
      </c>
      <c r="C49" s="27">
        <v>8.5</v>
      </c>
      <c r="D49" s="27">
        <v>9</v>
      </c>
      <c r="E49" s="27">
        <v>9.5</v>
      </c>
      <c r="F49" s="67">
        <v>10</v>
      </c>
      <c r="G49" s="27">
        <f>[1]Assumptions!H23*[1]Model!G10/360</f>
        <v>10.5</v>
      </c>
      <c r="H49" s="27">
        <f>[1]Assumptions!I23*[1]Model!H10/360</f>
        <v>11.025</v>
      </c>
      <c r="I49" s="27">
        <f>[1]Assumptions!J23*[1]Model!I10/360</f>
        <v>11.576250000000002</v>
      </c>
      <c r="J49" s="27">
        <f>[1]Assumptions!K23*[1]Model!J10/360</f>
        <v>12.155062500000001</v>
      </c>
      <c r="K49" s="27">
        <f>[1]Assumptions!L23*[1]Model!K10/360</f>
        <v>12.762815625000002</v>
      </c>
    </row>
    <row r="50" spans="1:12" x14ac:dyDescent="0.35">
      <c r="A50" s="3" t="s">
        <v>31</v>
      </c>
      <c r="B50" s="88">
        <v>1</v>
      </c>
      <c r="C50" s="88">
        <v>1</v>
      </c>
      <c r="D50" s="88">
        <v>1</v>
      </c>
      <c r="E50" s="88">
        <v>1</v>
      </c>
      <c r="F50" s="89">
        <v>1</v>
      </c>
      <c r="G50" s="88">
        <f>[1]Assumptions!H24</f>
        <v>1</v>
      </c>
      <c r="H50" s="88">
        <f>[1]Assumptions!I24</f>
        <v>1</v>
      </c>
      <c r="I50" s="88">
        <f>[1]Assumptions!J24</f>
        <v>1</v>
      </c>
      <c r="J50" s="88">
        <f>[1]Assumptions!K24</f>
        <v>1</v>
      </c>
      <c r="K50" s="88">
        <f>[1]Assumptions!L24</f>
        <v>1</v>
      </c>
    </row>
    <row r="51" spans="1:12" x14ac:dyDescent="0.35">
      <c r="A51" s="3" t="s">
        <v>37</v>
      </c>
      <c r="B51" s="27">
        <f t="shared" ref="B51:K51" si="20">SUM(B47:B50)</f>
        <v>26</v>
      </c>
      <c r="C51" s="27">
        <f t="shared" ca="1" si="20"/>
        <v>22.5</v>
      </c>
      <c r="D51" s="27">
        <f t="shared" ca="1" si="20"/>
        <v>24</v>
      </c>
      <c r="E51" s="27">
        <f t="shared" ca="1" si="20"/>
        <v>25.5</v>
      </c>
      <c r="F51" s="67">
        <f t="shared" ca="1" si="20"/>
        <v>27</v>
      </c>
      <c r="G51" s="27">
        <f t="shared" ca="1" si="20"/>
        <v>29</v>
      </c>
      <c r="H51" s="27">
        <f t="shared" ca="1" si="20"/>
        <v>30.4</v>
      </c>
      <c r="I51" s="27">
        <f t="shared" ca="1" si="20"/>
        <v>31.87</v>
      </c>
      <c r="J51" s="27">
        <f t="shared" ca="1" si="20"/>
        <v>33.413499999999999</v>
      </c>
      <c r="K51" s="27">
        <f t="shared" ca="1" si="20"/>
        <v>35.034175000000005</v>
      </c>
    </row>
    <row r="52" spans="1:12" x14ac:dyDescent="0.35">
      <c r="B52" s="27"/>
      <c r="C52" s="27"/>
      <c r="D52" s="27"/>
      <c r="E52" s="27"/>
      <c r="F52" s="67"/>
      <c r="G52" s="27"/>
      <c r="H52" s="27"/>
      <c r="I52" s="27"/>
      <c r="J52" s="27"/>
      <c r="K52" s="27"/>
    </row>
    <row r="53" spans="1:12" x14ac:dyDescent="0.35">
      <c r="A53" s="3" t="s">
        <v>38</v>
      </c>
      <c r="B53" s="27">
        <v>277.2</v>
      </c>
      <c r="C53" s="27">
        <f>+B53-C96</f>
        <v>287.2</v>
      </c>
      <c r="D53" s="27">
        <f>+C53-D96</f>
        <v>298.2</v>
      </c>
      <c r="E53" s="27">
        <f>+D53-E96</f>
        <v>310.2</v>
      </c>
      <c r="F53" s="67">
        <f>+E53-F96</f>
        <v>323.2</v>
      </c>
      <c r="G53" s="27">
        <f>F53-G96</f>
        <v>333.7</v>
      </c>
      <c r="H53" s="27">
        <f>G53-H96</f>
        <v>344.72499999999997</v>
      </c>
      <c r="I53" s="27">
        <f>H53-I96</f>
        <v>356.30124999999998</v>
      </c>
      <c r="J53" s="27">
        <f>I53-J96</f>
        <v>368.45631249999997</v>
      </c>
      <c r="K53" s="27">
        <f>J53-K96</f>
        <v>381.219128125</v>
      </c>
      <c r="L53" s="90"/>
    </row>
    <row r="54" spans="1:12" x14ac:dyDescent="0.35">
      <c r="A54" s="3" t="s">
        <v>103</v>
      </c>
      <c r="B54" s="81">
        <v>25</v>
      </c>
      <c r="C54" s="81">
        <f>+B54+C16</f>
        <v>30</v>
      </c>
      <c r="D54" s="81">
        <f>+C54+D16</f>
        <v>35</v>
      </c>
      <c r="E54" s="81">
        <f>+D54+E16</f>
        <v>40</v>
      </c>
      <c r="F54" s="82">
        <f>+E54+F16</f>
        <v>45</v>
      </c>
      <c r="G54" s="81">
        <f>F54+G16+G17</f>
        <v>51.673999999999999</v>
      </c>
      <c r="H54" s="81">
        <f>G54+H16+H17</f>
        <v>58.5685</v>
      </c>
      <c r="I54" s="81">
        <f>H54+I16+I17</f>
        <v>65.694524999999999</v>
      </c>
      <c r="J54" s="81">
        <f>I54+J16+J17</f>
        <v>73.063651249999992</v>
      </c>
      <c r="K54" s="81">
        <f>J54+K16+K17</f>
        <v>80.688033812499995</v>
      </c>
      <c r="L54" s="90"/>
    </row>
    <row r="55" spans="1:12" x14ac:dyDescent="0.35">
      <c r="A55" s="3" t="s">
        <v>39</v>
      </c>
      <c r="B55" s="27">
        <f t="shared" ref="B55:K55" si="21">B53-B54</f>
        <v>252.2</v>
      </c>
      <c r="C55" s="27">
        <f t="shared" si="21"/>
        <v>257.2</v>
      </c>
      <c r="D55" s="27">
        <f t="shared" si="21"/>
        <v>263.2</v>
      </c>
      <c r="E55" s="27">
        <f t="shared" si="21"/>
        <v>270.2</v>
      </c>
      <c r="F55" s="67">
        <f t="shared" si="21"/>
        <v>278.2</v>
      </c>
      <c r="G55" s="27">
        <f t="shared" si="21"/>
        <v>282.02600000000001</v>
      </c>
      <c r="H55" s="27">
        <f t="shared" si="21"/>
        <v>286.15649999999994</v>
      </c>
      <c r="I55" s="27">
        <f t="shared" si="21"/>
        <v>290.60672499999998</v>
      </c>
      <c r="J55" s="27">
        <f t="shared" si="21"/>
        <v>295.39266124999995</v>
      </c>
      <c r="K55" s="27">
        <f t="shared" si="21"/>
        <v>300.53109431249999</v>
      </c>
      <c r="L55" s="90"/>
    </row>
    <row r="56" spans="1:12" x14ac:dyDescent="0.35">
      <c r="B56" s="27"/>
      <c r="C56" s="27"/>
      <c r="D56" s="27"/>
      <c r="E56" s="27"/>
      <c r="F56" s="67"/>
      <c r="G56" s="27"/>
      <c r="H56" s="27"/>
      <c r="I56" s="27"/>
      <c r="J56" s="27"/>
      <c r="K56" s="27"/>
      <c r="L56" s="90"/>
    </row>
    <row r="57" spans="1:12" x14ac:dyDescent="0.35">
      <c r="A57" s="3" t="s">
        <v>105</v>
      </c>
      <c r="B57" s="27">
        <v>0</v>
      </c>
      <c r="C57" s="27">
        <v>0</v>
      </c>
      <c r="D57" s="27">
        <v>0</v>
      </c>
      <c r="E57" s="27">
        <v>0</v>
      </c>
      <c r="F57" s="67">
        <v>0</v>
      </c>
      <c r="G57" s="27">
        <f>+[1]Assumptions!H25</f>
        <v>0</v>
      </c>
      <c r="H57" s="27">
        <f>+[1]Assumptions!I25</f>
        <v>0</v>
      </c>
      <c r="I57" s="27">
        <f>+[1]Assumptions!J25</f>
        <v>0</v>
      </c>
      <c r="J57" s="27">
        <f>+[1]Assumptions!K25</f>
        <v>0</v>
      </c>
      <c r="K57" s="27">
        <f>+[1]Assumptions!L25</f>
        <v>0</v>
      </c>
      <c r="L57" s="90"/>
    </row>
    <row r="58" spans="1:12" x14ac:dyDescent="0.35">
      <c r="A58" s="3" t="s">
        <v>88</v>
      </c>
      <c r="B58" s="88">
        <v>5</v>
      </c>
      <c r="C58" s="88">
        <v>5</v>
      </c>
      <c r="D58" s="88">
        <v>5</v>
      </c>
      <c r="E58" s="88">
        <v>5</v>
      </c>
      <c r="F58" s="89">
        <v>5</v>
      </c>
      <c r="G58" s="88">
        <f>+F58</f>
        <v>5</v>
      </c>
      <c r="H58" s="88">
        <f>+G58</f>
        <v>5</v>
      </c>
      <c r="I58" s="88">
        <f>+H58</f>
        <v>5</v>
      </c>
      <c r="J58" s="88">
        <f>+I58</f>
        <v>5</v>
      </c>
      <c r="K58" s="88">
        <f>+J58</f>
        <v>5</v>
      </c>
      <c r="L58" s="90"/>
    </row>
    <row r="59" spans="1:12" ht="13.5" thickBot="1" x14ac:dyDescent="0.45">
      <c r="A59" s="74" t="s">
        <v>107</v>
      </c>
      <c r="B59" s="92">
        <f>SUM(B55:B58,B51)</f>
        <v>283.2</v>
      </c>
      <c r="C59" s="92">
        <f ca="1">SUM(C55:C58,C51)</f>
        <v>284.7</v>
      </c>
      <c r="D59" s="92">
        <f ca="1">SUM(D55:D58,D51)</f>
        <v>292.2</v>
      </c>
      <c r="E59" s="92">
        <f ca="1">SUM(E55:E58,E51)</f>
        <v>300.7</v>
      </c>
      <c r="F59" s="93">
        <f ca="1">SUM(F55:F58,F51)</f>
        <v>310.2</v>
      </c>
      <c r="G59" s="92">
        <f ca="1">+G51+SUM(G55:G58)</f>
        <v>316.02600000000001</v>
      </c>
      <c r="H59" s="92">
        <f ca="1">+H51+SUM(H55:H58)</f>
        <v>321.55649999999991</v>
      </c>
      <c r="I59" s="92">
        <f ca="1">+I51+SUM(I55:I58)</f>
        <v>327.47672499999999</v>
      </c>
      <c r="J59" s="92">
        <f ca="1">+J51+SUM(J55:J58)</f>
        <v>333.80616124999995</v>
      </c>
      <c r="K59" s="92">
        <f ca="1">+K51+SUM(K55:K58)</f>
        <v>340.56526931249999</v>
      </c>
      <c r="L59" s="90"/>
    </row>
    <row r="60" spans="1:12" ht="13.15" thickTop="1" x14ac:dyDescent="0.35">
      <c r="B60" s="90"/>
      <c r="C60" s="90"/>
      <c r="D60" s="90"/>
      <c r="E60" s="90"/>
      <c r="F60" s="94"/>
      <c r="G60" s="90"/>
      <c r="H60" s="90"/>
      <c r="I60" s="90"/>
      <c r="J60" s="90"/>
      <c r="K60" s="90"/>
      <c r="L60" s="90"/>
    </row>
    <row r="61" spans="1:12" ht="13.15" x14ac:dyDescent="0.4">
      <c r="A61" s="8" t="s">
        <v>40</v>
      </c>
      <c r="B61" s="90"/>
      <c r="C61" s="90"/>
      <c r="D61" s="90"/>
      <c r="E61" s="90"/>
      <c r="F61" s="94"/>
      <c r="G61" s="90"/>
      <c r="H61" s="90"/>
      <c r="I61" s="90"/>
      <c r="J61" s="90"/>
      <c r="K61" s="90"/>
      <c r="L61" s="90"/>
    </row>
    <row r="62" spans="1:12" x14ac:dyDescent="0.35">
      <c r="A62" s="3" t="s">
        <v>32</v>
      </c>
      <c r="B62" s="27">
        <v>8.5</v>
      </c>
      <c r="C62" s="27">
        <v>9</v>
      </c>
      <c r="D62" s="27">
        <v>9.5</v>
      </c>
      <c r="E62" s="27">
        <v>10</v>
      </c>
      <c r="F62" s="67">
        <v>11</v>
      </c>
      <c r="G62" s="27">
        <f>[1]Assumptions!H29*[1]Model!G10/360</f>
        <v>11.666666666666666</v>
      </c>
      <c r="H62" s="27">
        <f>[1]Assumptions!I29*[1]Model!H10/360</f>
        <v>12.25</v>
      </c>
      <c r="I62" s="27">
        <f>[1]Assumptions!J29*[1]Model!I10/360</f>
        <v>12.862500000000002</v>
      </c>
      <c r="J62" s="27">
        <f>[1]Assumptions!K29*[1]Model!J10/360</f>
        <v>13.505625000000002</v>
      </c>
      <c r="K62" s="27">
        <f>[1]Assumptions!L29*[1]Model!K10/360</f>
        <v>14.180906250000003</v>
      </c>
      <c r="L62" s="90"/>
    </row>
    <row r="63" spans="1:12" x14ac:dyDescent="0.35">
      <c r="A63" s="3" t="s">
        <v>33</v>
      </c>
      <c r="B63" s="27">
        <v>2</v>
      </c>
      <c r="C63" s="27">
        <v>2.1</v>
      </c>
      <c r="D63" s="27">
        <v>2.2000000000000002</v>
      </c>
      <c r="E63" s="27">
        <v>2.2999999999999998</v>
      </c>
      <c r="F63" s="67">
        <v>2.4</v>
      </c>
      <c r="G63" s="27">
        <f>[1]Assumptions!H30*[1]Model!G10</f>
        <v>2.52</v>
      </c>
      <c r="H63" s="27">
        <f>[1]Assumptions!I30*[1]Model!H10</f>
        <v>2.6459999999999999</v>
      </c>
      <c r="I63" s="27">
        <f>[1]Assumptions!J30*[1]Model!I10</f>
        <v>2.7783000000000002</v>
      </c>
      <c r="J63" s="27">
        <f>[1]Assumptions!K30*[1]Model!J10</f>
        <v>2.9172150000000001</v>
      </c>
      <c r="K63" s="27">
        <f>[1]Assumptions!L30*[1]Model!K10</f>
        <v>3.0630757500000003</v>
      </c>
      <c r="L63" s="90"/>
    </row>
    <row r="64" spans="1:12" x14ac:dyDescent="0.35">
      <c r="A64" s="3" t="s">
        <v>34</v>
      </c>
      <c r="B64" s="88">
        <v>1</v>
      </c>
      <c r="C64" s="88">
        <v>0</v>
      </c>
      <c r="D64" s="88">
        <v>2</v>
      </c>
      <c r="E64" s="88">
        <v>1</v>
      </c>
      <c r="F64" s="89">
        <v>0</v>
      </c>
      <c r="G64" s="88">
        <f>+G10*[1]Assumptions!H31</f>
        <v>1.68</v>
      </c>
      <c r="H64" s="88">
        <f>+H10*[1]Assumptions!I31</f>
        <v>1.764</v>
      </c>
      <c r="I64" s="88">
        <f>+I10*[1]Assumptions!J31</f>
        <v>1.8522000000000003</v>
      </c>
      <c r="J64" s="88">
        <f>+J10*[1]Assumptions!K31</f>
        <v>1.9448100000000004</v>
      </c>
      <c r="K64" s="88">
        <f>+K10*[1]Assumptions!L31</f>
        <v>2.0420505000000002</v>
      </c>
      <c r="L64" s="90"/>
    </row>
    <row r="65" spans="1:13" ht="15" x14ac:dyDescent="0.4">
      <c r="A65" s="3" t="s">
        <v>41</v>
      </c>
      <c r="B65" s="27">
        <f t="shared" ref="B65:K65" si="22">SUM(B62:B64)</f>
        <v>11.5</v>
      </c>
      <c r="C65" s="27">
        <f t="shared" si="22"/>
        <v>11.1</v>
      </c>
      <c r="D65" s="27">
        <f t="shared" si="22"/>
        <v>13.7</v>
      </c>
      <c r="E65" s="27">
        <f t="shared" si="22"/>
        <v>13.3</v>
      </c>
      <c r="F65" s="67">
        <f t="shared" si="22"/>
        <v>13.4</v>
      </c>
      <c r="G65" s="27">
        <f t="shared" si="22"/>
        <v>15.866666666666665</v>
      </c>
      <c r="H65" s="27">
        <f t="shared" si="22"/>
        <v>16.66</v>
      </c>
      <c r="I65" s="27">
        <f t="shared" si="22"/>
        <v>17.493000000000002</v>
      </c>
      <c r="J65" s="27">
        <f t="shared" si="22"/>
        <v>18.367650000000001</v>
      </c>
      <c r="K65" s="27">
        <f t="shared" si="22"/>
        <v>19.286032500000005</v>
      </c>
      <c r="L65" s="90"/>
      <c r="M65" s="80"/>
    </row>
    <row r="66" spans="1:13" x14ac:dyDescent="0.35">
      <c r="B66" s="90"/>
      <c r="C66" s="90"/>
      <c r="D66" s="90"/>
      <c r="E66" s="90"/>
      <c r="F66" s="94"/>
      <c r="G66" s="90"/>
      <c r="H66" s="90"/>
      <c r="I66" s="90"/>
      <c r="J66" s="90"/>
      <c r="K66" s="90"/>
      <c r="L66" s="90"/>
    </row>
    <row r="67" spans="1:13" ht="15" x14ac:dyDescent="0.4">
      <c r="A67" s="3" t="s">
        <v>45</v>
      </c>
      <c r="B67" s="27">
        <v>13.299999999999983</v>
      </c>
      <c r="C67" s="27">
        <f ca="1">+C117</f>
        <v>18.93650712830955</v>
      </c>
      <c r="D67" s="27">
        <f ca="1">+D117</f>
        <v>28.011572562748594</v>
      </c>
      <c r="E67" s="27">
        <f ca="1">+E117</f>
        <v>37.093463206596809</v>
      </c>
      <c r="F67" s="67">
        <f ca="1">+F117</f>
        <v>40.785280595026016</v>
      </c>
      <c r="G67" s="27">
        <f ca="1">G117</f>
        <v>36.729785825964015</v>
      </c>
      <c r="H67" s="27">
        <f ca="1">H117</f>
        <v>32.231184132127758</v>
      </c>
      <c r="I67" s="27">
        <f ca="1">I117</f>
        <v>25.802985421096288</v>
      </c>
      <c r="J67" s="27">
        <f ca="1">J117</f>
        <v>17.155398175038314</v>
      </c>
      <c r="K67" s="27">
        <f ca="1">K117</f>
        <v>5.9661221097370998</v>
      </c>
      <c r="L67" s="90"/>
      <c r="M67" s="80"/>
    </row>
    <row r="68" spans="1:13" ht="15" x14ac:dyDescent="0.4">
      <c r="A68" s="3" t="s">
        <v>46</v>
      </c>
      <c r="B68" s="27">
        <v>180</v>
      </c>
      <c r="C68" s="27">
        <v>160</v>
      </c>
      <c r="D68" s="27">
        <v>140</v>
      </c>
      <c r="E68" s="27">
        <v>120</v>
      </c>
      <c r="F68" s="67">
        <v>100</v>
      </c>
      <c r="G68" s="27">
        <f>G124</f>
        <v>80</v>
      </c>
      <c r="H68" s="27">
        <f>H124</f>
        <v>60</v>
      </c>
      <c r="I68" s="27">
        <f>I124</f>
        <v>40</v>
      </c>
      <c r="J68" s="27">
        <f>J124</f>
        <v>20</v>
      </c>
      <c r="K68" s="27">
        <f>K124</f>
        <v>0</v>
      </c>
      <c r="L68" s="90"/>
      <c r="M68" s="80"/>
    </row>
    <row r="69" spans="1:13" ht="15" x14ac:dyDescent="0.4">
      <c r="A69" s="3" t="s">
        <v>42</v>
      </c>
      <c r="B69" s="27">
        <v>50</v>
      </c>
      <c r="C69" s="27">
        <v>50</v>
      </c>
      <c r="D69" s="27">
        <v>50</v>
      </c>
      <c r="E69" s="27">
        <v>50</v>
      </c>
      <c r="F69" s="67">
        <v>50</v>
      </c>
      <c r="G69" s="27">
        <f>G131</f>
        <v>50</v>
      </c>
      <c r="H69" s="27">
        <f>H131</f>
        <v>50</v>
      </c>
      <c r="I69" s="27">
        <f>I131</f>
        <v>50</v>
      </c>
      <c r="J69" s="27">
        <f>J131</f>
        <v>50</v>
      </c>
      <c r="K69" s="27">
        <f>K131</f>
        <v>50</v>
      </c>
      <c r="L69" s="90"/>
      <c r="M69" s="80"/>
    </row>
    <row r="70" spans="1:13" x14ac:dyDescent="0.35">
      <c r="A70" s="3" t="s">
        <v>35</v>
      </c>
      <c r="B70" s="88">
        <v>1</v>
      </c>
      <c r="C70" s="88">
        <v>2</v>
      </c>
      <c r="D70" s="88">
        <v>1</v>
      </c>
      <c r="E70" s="88">
        <v>0</v>
      </c>
      <c r="F70" s="89">
        <v>2</v>
      </c>
      <c r="G70" s="88">
        <f>[1]Assumptions!H32</f>
        <v>2</v>
      </c>
      <c r="H70" s="88">
        <f>[1]Assumptions!I32</f>
        <v>2</v>
      </c>
      <c r="I70" s="88">
        <f>[1]Assumptions!J32</f>
        <v>2</v>
      </c>
      <c r="J70" s="88">
        <f>[1]Assumptions!K32</f>
        <v>2</v>
      </c>
      <c r="K70" s="88">
        <f>[1]Assumptions!L32</f>
        <v>2</v>
      </c>
      <c r="L70" s="90"/>
    </row>
    <row r="71" spans="1:13" ht="13.15" x14ac:dyDescent="0.4">
      <c r="A71" s="74" t="s">
        <v>47</v>
      </c>
      <c r="B71" s="27">
        <f t="shared" ref="B71:K71" si="23">SUM(B65:B70)</f>
        <v>255.79999999999998</v>
      </c>
      <c r="C71" s="27">
        <f t="shared" ca="1" si="23"/>
        <v>242.03650712830955</v>
      </c>
      <c r="D71" s="27">
        <f t="shared" ca="1" si="23"/>
        <v>232.71157256274859</v>
      </c>
      <c r="E71" s="27">
        <f t="shared" ca="1" si="23"/>
        <v>220.39346320659681</v>
      </c>
      <c r="F71" s="67">
        <f t="shared" ca="1" si="23"/>
        <v>206.18528059502603</v>
      </c>
      <c r="G71" s="27">
        <f t="shared" ca="1" si="23"/>
        <v>184.59645249263068</v>
      </c>
      <c r="H71" s="27">
        <f t="shared" ca="1" si="23"/>
        <v>160.89118413212776</v>
      </c>
      <c r="I71" s="27">
        <f t="shared" ca="1" si="23"/>
        <v>135.2959854210963</v>
      </c>
      <c r="J71" s="27">
        <f t="shared" ca="1" si="23"/>
        <v>107.52304817503831</v>
      </c>
      <c r="K71" s="27">
        <f t="shared" ca="1" si="23"/>
        <v>77.252154609737104</v>
      </c>
      <c r="L71" s="90"/>
    </row>
    <row r="72" spans="1:13" ht="15" x14ac:dyDescent="0.4">
      <c r="B72" s="27"/>
      <c r="C72" s="27"/>
      <c r="D72" s="27"/>
      <c r="E72" s="27"/>
      <c r="F72" s="67"/>
      <c r="G72" s="27"/>
      <c r="H72" s="27"/>
      <c r="I72" s="27"/>
      <c r="J72" s="27"/>
      <c r="K72" s="27"/>
      <c r="L72" s="90"/>
      <c r="M72" s="5"/>
    </row>
    <row r="73" spans="1:13" ht="15" x14ac:dyDescent="0.4">
      <c r="A73" s="8" t="s">
        <v>43</v>
      </c>
      <c r="B73" s="90"/>
      <c r="C73" s="90"/>
      <c r="D73" s="90"/>
      <c r="E73" s="90"/>
      <c r="F73" s="94"/>
      <c r="G73" s="90"/>
      <c r="H73" s="90"/>
      <c r="I73" s="90"/>
      <c r="J73" s="90"/>
      <c r="K73" s="90"/>
      <c r="L73" s="90"/>
      <c r="M73" s="5"/>
    </row>
    <row r="74" spans="1:13" x14ac:dyDescent="0.35">
      <c r="A74" s="3" t="s">
        <v>95</v>
      </c>
      <c r="B74" s="27">
        <f>+B40</f>
        <v>17.399999999999999</v>
      </c>
      <c r="C74" s="27">
        <f ca="1">+B74+C40</f>
        <v>32.66349287169043</v>
      </c>
      <c r="D74" s="27">
        <f ca="1">+C74+D40</f>
        <v>49.488427437251389</v>
      </c>
      <c r="E74" s="27">
        <f ca="1">+D74+E40</f>
        <v>70.306536793403183</v>
      </c>
      <c r="F74" s="67">
        <f ca="1">+E74+F40</f>
        <v>94.014719404973974</v>
      </c>
      <c r="G74" s="27">
        <f ca="1">F74+G40</f>
        <v>121.42954750736931</v>
      </c>
      <c r="H74" s="27">
        <f ca="1">G74+H40</f>
        <v>150.66531586787221</v>
      </c>
      <c r="I74" s="27">
        <f ca="1">H74+I40</f>
        <v>182.18073957890368</v>
      </c>
      <c r="J74" s="27">
        <f ca="1">I74+J40</f>
        <v>216.28311307496165</v>
      </c>
      <c r="K74" s="27">
        <f ca="1">J74+K40</f>
        <v>253.31311470276287</v>
      </c>
      <c r="L74" s="90"/>
    </row>
    <row r="75" spans="1:13" x14ac:dyDescent="0.35">
      <c r="A75" s="3" t="s">
        <v>97</v>
      </c>
      <c r="B75" s="88">
        <v>10</v>
      </c>
      <c r="C75" s="88">
        <v>10</v>
      </c>
      <c r="D75" s="88">
        <v>10</v>
      </c>
      <c r="E75" s="88">
        <v>10</v>
      </c>
      <c r="F75" s="89">
        <v>10</v>
      </c>
      <c r="G75" s="88">
        <f>[1]Assumptions!H34</f>
        <v>10</v>
      </c>
      <c r="H75" s="88">
        <f>[1]Assumptions!I34</f>
        <v>10</v>
      </c>
      <c r="I75" s="88">
        <f>[1]Assumptions!J34</f>
        <v>10</v>
      </c>
      <c r="J75" s="88">
        <f>[1]Assumptions!K34</f>
        <v>10</v>
      </c>
      <c r="K75" s="88">
        <f>[1]Assumptions!L34</f>
        <v>10</v>
      </c>
      <c r="L75" s="90"/>
    </row>
    <row r="76" spans="1:13" ht="13.15" x14ac:dyDescent="0.4">
      <c r="A76" s="74" t="s">
        <v>86</v>
      </c>
      <c r="B76" s="27">
        <f>B75+B74</f>
        <v>27.4</v>
      </c>
      <c r="C76" s="27">
        <f ca="1">C75+C74</f>
        <v>42.66349287169043</v>
      </c>
      <c r="D76" s="27">
        <f ca="1">D75+D74</f>
        <v>59.488427437251389</v>
      </c>
      <c r="E76" s="27">
        <f ca="1">E75+E74</f>
        <v>80.306536793403183</v>
      </c>
      <c r="F76" s="67">
        <f ca="1">F75+F74</f>
        <v>104.01471940497397</v>
      </c>
      <c r="G76" s="27">
        <f ca="1">SUM(G74:G75)</f>
        <v>131.42954750736931</v>
      </c>
      <c r="H76" s="27">
        <f ca="1">SUM(H74:H75)</f>
        <v>160.66531586787221</v>
      </c>
      <c r="I76" s="27">
        <f ca="1">SUM(I74:I75)</f>
        <v>192.18073957890368</v>
      </c>
      <c r="J76" s="27">
        <f ca="1">SUM(J74:J75)</f>
        <v>226.28311307496165</v>
      </c>
      <c r="K76" s="27">
        <f ca="1">SUM(K74:K75)</f>
        <v>263.31311470276285</v>
      </c>
      <c r="L76" s="90"/>
    </row>
    <row r="77" spans="1:13" x14ac:dyDescent="0.35">
      <c r="B77" s="88"/>
      <c r="C77" s="88"/>
      <c r="D77" s="88"/>
      <c r="E77" s="88"/>
      <c r="F77" s="89"/>
      <c r="G77" s="88"/>
      <c r="H77" s="88"/>
      <c r="I77" s="88"/>
      <c r="J77" s="88"/>
      <c r="K77" s="88"/>
      <c r="L77" s="90"/>
    </row>
    <row r="78" spans="1:13" ht="13.5" thickBot="1" x14ac:dyDescent="0.45">
      <c r="A78" s="74" t="s">
        <v>106</v>
      </c>
      <c r="B78" s="92">
        <f>B76+B71</f>
        <v>283.2</v>
      </c>
      <c r="C78" s="92">
        <f ca="1">C76+C71</f>
        <v>284.7</v>
      </c>
      <c r="D78" s="92">
        <f ca="1">D76+D71</f>
        <v>292.2</v>
      </c>
      <c r="E78" s="92">
        <f ca="1">E76+E71</f>
        <v>300.7</v>
      </c>
      <c r="F78" s="93">
        <f ca="1">F76+F71</f>
        <v>310.2</v>
      </c>
      <c r="G78" s="92">
        <f ca="1">G71+G76</f>
        <v>316.02599999999995</v>
      </c>
      <c r="H78" s="92">
        <f ca="1">H71+H76</f>
        <v>321.55649999999997</v>
      </c>
      <c r="I78" s="92">
        <f ca="1">I71+I76</f>
        <v>327.47672499999999</v>
      </c>
      <c r="J78" s="92">
        <f ca="1">J71+J76</f>
        <v>333.80616124999995</v>
      </c>
      <c r="K78" s="92">
        <f ca="1">K71+K76</f>
        <v>340.56526931249994</v>
      </c>
      <c r="L78" s="90"/>
    </row>
    <row r="79" spans="1:13" ht="13.15" thickTop="1" x14ac:dyDescent="0.35">
      <c r="A79" s="71" t="s">
        <v>85</v>
      </c>
      <c r="B79" s="100">
        <f t="shared" ref="B79:K79" si="24">B59-B78</f>
        <v>0</v>
      </c>
      <c r="C79" s="100">
        <f t="shared" ca="1" si="24"/>
        <v>0</v>
      </c>
      <c r="D79" s="100">
        <f t="shared" ca="1" si="24"/>
        <v>0</v>
      </c>
      <c r="E79" s="100">
        <f t="shared" ca="1" si="24"/>
        <v>0</v>
      </c>
      <c r="F79" s="101">
        <f t="shared" ca="1" si="24"/>
        <v>0</v>
      </c>
      <c r="G79" s="100">
        <f t="shared" ca="1" si="24"/>
        <v>0</v>
      </c>
      <c r="H79" s="100">
        <f t="shared" ca="1" si="24"/>
        <v>0</v>
      </c>
      <c r="I79" s="100">
        <f t="shared" ca="1" si="24"/>
        <v>0</v>
      </c>
      <c r="J79" s="100">
        <f t="shared" ca="1" si="24"/>
        <v>0</v>
      </c>
      <c r="K79" s="100">
        <f t="shared" ca="1" si="24"/>
        <v>0</v>
      </c>
      <c r="L79" s="90"/>
    </row>
    <row r="80" spans="1:13" x14ac:dyDescent="0.35">
      <c r="A80" s="4"/>
      <c r="B80" s="103"/>
      <c r="C80" s="103"/>
      <c r="D80" s="103"/>
      <c r="E80" s="103"/>
      <c r="F80" s="104"/>
      <c r="G80" s="103"/>
      <c r="H80" s="103"/>
      <c r="I80" s="103"/>
      <c r="J80" s="103"/>
      <c r="K80" s="103"/>
      <c r="L80" s="90"/>
    </row>
    <row r="81" spans="1:13" ht="15" x14ac:dyDescent="0.4">
      <c r="A81" s="7" t="s">
        <v>48</v>
      </c>
      <c r="B81" s="27"/>
      <c r="C81" s="27"/>
      <c r="D81" s="27"/>
      <c r="E81" s="27"/>
      <c r="F81" s="67"/>
      <c r="G81" s="27"/>
      <c r="H81" s="27"/>
      <c r="I81" s="27"/>
      <c r="J81" s="27"/>
      <c r="K81" s="27"/>
      <c r="L81" s="90"/>
    </row>
    <row r="82" spans="1:13" x14ac:dyDescent="0.35">
      <c r="A82" s="3" t="s">
        <v>24</v>
      </c>
      <c r="B82" s="103" t="s">
        <v>4</v>
      </c>
      <c r="C82" s="27">
        <f t="shared" ref="C82:K82" ca="1" si="25">C40</f>
        <v>15.263492871690429</v>
      </c>
      <c r="D82" s="27">
        <f t="shared" ca="1" si="25"/>
        <v>16.824934565560955</v>
      </c>
      <c r="E82" s="27">
        <f t="shared" ca="1" si="25"/>
        <v>20.818109356151787</v>
      </c>
      <c r="F82" s="67">
        <f t="shared" ca="1" si="25"/>
        <v>23.708182611570791</v>
      </c>
      <c r="G82" s="27">
        <f t="shared" ca="1" si="25"/>
        <v>27.41482810239534</v>
      </c>
      <c r="H82" s="27">
        <f t="shared" ca="1" si="25"/>
        <v>29.235768360502917</v>
      </c>
      <c r="I82" s="27">
        <f t="shared" ca="1" si="25"/>
        <v>31.515423711031474</v>
      </c>
      <c r="J82" s="27">
        <f t="shared" ca="1" si="25"/>
        <v>34.102373496057979</v>
      </c>
      <c r="K82" s="27">
        <f t="shared" ca="1" si="25"/>
        <v>37.030001627801219</v>
      </c>
      <c r="L82" s="90"/>
    </row>
    <row r="83" spans="1:13" x14ac:dyDescent="0.35">
      <c r="A83" s="105" t="s">
        <v>49</v>
      </c>
      <c r="B83" s="90"/>
      <c r="C83" s="90"/>
      <c r="D83" s="90"/>
      <c r="E83" s="90"/>
      <c r="F83" s="94"/>
      <c r="G83" s="90"/>
      <c r="H83" s="90"/>
      <c r="I83" s="90"/>
      <c r="J83" s="90"/>
      <c r="K83" s="90"/>
      <c r="L83" s="90"/>
    </row>
    <row r="84" spans="1:13" x14ac:dyDescent="0.35">
      <c r="A84" s="3" t="s">
        <v>109</v>
      </c>
      <c r="B84" s="103" t="s">
        <v>4</v>
      </c>
      <c r="C84" s="27">
        <f t="shared" ref="C84:K84" si="26">C16+C17</f>
        <v>5</v>
      </c>
      <c r="D84" s="27">
        <f t="shared" si="26"/>
        <v>5</v>
      </c>
      <c r="E84" s="27">
        <f t="shared" si="26"/>
        <v>5</v>
      </c>
      <c r="F84" s="67">
        <f t="shared" si="26"/>
        <v>5</v>
      </c>
      <c r="G84" s="27">
        <f t="shared" si="26"/>
        <v>6.6739999999999995</v>
      </c>
      <c r="H84" s="27">
        <f t="shared" si="26"/>
        <v>6.8944999999999999</v>
      </c>
      <c r="I84" s="27">
        <f t="shared" si="26"/>
        <v>7.1260249999999994</v>
      </c>
      <c r="J84" s="27">
        <f t="shared" si="26"/>
        <v>7.3691262499999999</v>
      </c>
      <c r="K84" s="27">
        <f t="shared" si="26"/>
        <v>7.6243825625000001</v>
      </c>
      <c r="L84" s="90"/>
    </row>
    <row r="85" spans="1:13" x14ac:dyDescent="0.35">
      <c r="A85" s="3" t="s">
        <v>110</v>
      </c>
      <c r="B85" s="90"/>
      <c r="F85" s="106"/>
      <c r="H85" s="107"/>
      <c r="L85" s="90"/>
    </row>
    <row r="86" spans="1:13" x14ac:dyDescent="0.35">
      <c r="A86" s="3" t="s">
        <v>50</v>
      </c>
      <c r="B86" s="103" t="s">
        <v>4</v>
      </c>
      <c r="C86" s="27">
        <f t="shared" ref="C86:K88" si="27">B48-C48</f>
        <v>-1</v>
      </c>
      <c r="D86" s="27">
        <f t="shared" si="27"/>
        <v>-1</v>
      </c>
      <c r="E86" s="27">
        <f t="shared" si="27"/>
        <v>-1</v>
      </c>
      <c r="F86" s="67">
        <f t="shared" si="27"/>
        <v>-1</v>
      </c>
      <c r="G86" s="27">
        <f>F48-G48</f>
        <v>-1.5</v>
      </c>
      <c r="H86" s="27">
        <f>G48-H48</f>
        <v>-0.875</v>
      </c>
      <c r="I86" s="27">
        <f>H48-I48</f>
        <v>-0.91874999999999929</v>
      </c>
      <c r="J86" s="27">
        <f>I48-J48</f>
        <v>-0.96468750000000014</v>
      </c>
      <c r="K86" s="27">
        <f>J48-K48</f>
        <v>-1.0129218750000035</v>
      </c>
      <c r="L86" s="90"/>
    </row>
    <row r="87" spans="1:13" x14ac:dyDescent="0.35">
      <c r="A87" s="3" t="s">
        <v>51</v>
      </c>
      <c r="B87" s="103" t="s">
        <v>4</v>
      </c>
      <c r="C87" s="27">
        <f t="shared" si="27"/>
        <v>-0.5</v>
      </c>
      <c r="D87" s="27">
        <f t="shared" si="27"/>
        <v>-0.5</v>
      </c>
      <c r="E87" s="27">
        <f t="shared" si="27"/>
        <v>-0.5</v>
      </c>
      <c r="F87" s="67">
        <f t="shared" si="27"/>
        <v>-0.5</v>
      </c>
      <c r="G87" s="27">
        <f t="shared" si="27"/>
        <v>-0.5</v>
      </c>
      <c r="H87" s="27">
        <f t="shared" si="27"/>
        <v>-0.52500000000000036</v>
      </c>
      <c r="I87" s="27">
        <f t="shared" si="27"/>
        <v>-0.55125000000000135</v>
      </c>
      <c r="J87" s="27">
        <f t="shared" si="27"/>
        <v>-0.57881249999999973</v>
      </c>
      <c r="K87" s="27">
        <f t="shared" si="27"/>
        <v>-0.60775312500000034</v>
      </c>
      <c r="L87" s="90"/>
    </row>
    <row r="88" spans="1:13" x14ac:dyDescent="0.35">
      <c r="A88" s="3" t="s">
        <v>52</v>
      </c>
      <c r="B88" s="103" t="s">
        <v>4</v>
      </c>
      <c r="C88" s="27">
        <f t="shared" si="27"/>
        <v>0</v>
      </c>
      <c r="D88" s="27">
        <f t="shared" si="27"/>
        <v>0</v>
      </c>
      <c r="E88" s="27">
        <f t="shared" si="27"/>
        <v>0</v>
      </c>
      <c r="F88" s="67">
        <f t="shared" si="27"/>
        <v>0</v>
      </c>
      <c r="G88" s="27">
        <f t="shared" si="27"/>
        <v>0</v>
      </c>
      <c r="H88" s="27">
        <f t="shared" si="27"/>
        <v>0</v>
      </c>
      <c r="I88" s="27">
        <f t="shared" si="27"/>
        <v>0</v>
      </c>
      <c r="J88" s="27">
        <f t="shared" si="27"/>
        <v>0</v>
      </c>
      <c r="K88" s="27">
        <f t="shared" si="27"/>
        <v>0</v>
      </c>
      <c r="L88" s="90"/>
    </row>
    <row r="89" spans="1:13" x14ac:dyDescent="0.35">
      <c r="A89" s="3" t="s">
        <v>53</v>
      </c>
      <c r="B89" s="103" t="s">
        <v>4</v>
      </c>
      <c r="C89" s="27">
        <f t="shared" ref="C89:F91" si="28">C62-B62</f>
        <v>0.5</v>
      </c>
      <c r="D89" s="27">
        <f t="shared" si="28"/>
        <v>0.5</v>
      </c>
      <c r="E89" s="27">
        <f t="shared" si="28"/>
        <v>0.5</v>
      </c>
      <c r="F89" s="67">
        <f t="shared" si="28"/>
        <v>1</v>
      </c>
      <c r="G89" s="27">
        <f t="shared" ref="G89:K91" si="29">+G62-F62</f>
        <v>0.66666666666666607</v>
      </c>
      <c r="H89" s="27">
        <f t="shared" si="29"/>
        <v>0.58333333333333393</v>
      </c>
      <c r="I89" s="27">
        <f t="shared" si="29"/>
        <v>0.61250000000000249</v>
      </c>
      <c r="J89" s="27">
        <f t="shared" si="29"/>
        <v>0.6431249999999995</v>
      </c>
      <c r="K89" s="27">
        <f t="shared" si="29"/>
        <v>0.67528125000000117</v>
      </c>
      <c r="L89" s="90"/>
    </row>
    <row r="90" spans="1:13" x14ac:dyDescent="0.35">
      <c r="A90" s="3" t="s">
        <v>54</v>
      </c>
      <c r="B90" s="103" t="s">
        <v>4</v>
      </c>
      <c r="C90" s="27">
        <f t="shared" si="28"/>
        <v>0.10000000000000009</v>
      </c>
      <c r="D90" s="27">
        <f t="shared" si="28"/>
        <v>0.10000000000000009</v>
      </c>
      <c r="E90" s="27">
        <f t="shared" si="28"/>
        <v>9.9999999999999645E-2</v>
      </c>
      <c r="F90" s="67">
        <f t="shared" si="28"/>
        <v>0.10000000000000009</v>
      </c>
      <c r="G90" s="27">
        <f t="shared" si="29"/>
        <v>0.12000000000000011</v>
      </c>
      <c r="H90" s="27">
        <f t="shared" si="29"/>
        <v>0.12599999999999989</v>
      </c>
      <c r="I90" s="27">
        <f t="shared" si="29"/>
        <v>0.13230000000000031</v>
      </c>
      <c r="J90" s="27">
        <f t="shared" si="29"/>
        <v>0.1389149999999999</v>
      </c>
      <c r="K90" s="27">
        <f t="shared" si="29"/>
        <v>0.14586075000000021</v>
      </c>
      <c r="L90" s="90"/>
    </row>
    <row r="91" spans="1:13" x14ac:dyDescent="0.35">
      <c r="A91" s="3" t="s">
        <v>89</v>
      </c>
      <c r="B91" s="103" t="s">
        <v>4</v>
      </c>
      <c r="C91" s="27">
        <f t="shared" si="28"/>
        <v>-1</v>
      </c>
      <c r="D91" s="27">
        <f t="shared" si="28"/>
        <v>2</v>
      </c>
      <c r="E91" s="27">
        <f t="shared" si="28"/>
        <v>-1</v>
      </c>
      <c r="F91" s="67">
        <f t="shared" si="28"/>
        <v>-1</v>
      </c>
      <c r="G91" s="27">
        <f t="shared" si="29"/>
        <v>1.68</v>
      </c>
      <c r="H91" s="27">
        <f t="shared" si="29"/>
        <v>8.4000000000000075E-2</v>
      </c>
      <c r="I91" s="27">
        <f t="shared" si="29"/>
        <v>8.8200000000000278E-2</v>
      </c>
      <c r="J91" s="27">
        <f t="shared" si="29"/>
        <v>9.2610000000000081E-2</v>
      </c>
      <c r="K91" s="27">
        <f t="shared" si="29"/>
        <v>9.7240499999999841E-2</v>
      </c>
      <c r="L91" s="90"/>
    </row>
    <row r="92" spans="1:13" x14ac:dyDescent="0.35">
      <c r="A92" s="3" t="s">
        <v>111</v>
      </c>
      <c r="B92" s="103" t="s">
        <v>4</v>
      </c>
      <c r="C92" s="88">
        <f t="shared" ref="C92:K92" si="30">C70-B70</f>
        <v>1</v>
      </c>
      <c r="D92" s="88">
        <f t="shared" si="30"/>
        <v>-1</v>
      </c>
      <c r="E92" s="88">
        <f t="shared" si="30"/>
        <v>-1</v>
      </c>
      <c r="F92" s="89">
        <f t="shared" si="30"/>
        <v>2</v>
      </c>
      <c r="G92" s="108">
        <f t="shared" si="30"/>
        <v>0</v>
      </c>
      <c r="H92" s="88">
        <f t="shared" si="30"/>
        <v>0</v>
      </c>
      <c r="I92" s="108">
        <f t="shared" si="30"/>
        <v>0</v>
      </c>
      <c r="J92" s="108">
        <f t="shared" si="30"/>
        <v>0</v>
      </c>
      <c r="K92" s="108">
        <f t="shared" si="30"/>
        <v>0</v>
      </c>
      <c r="L92" s="90"/>
    </row>
    <row r="93" spans="1:13" ht="13.15" x14ac:dyDescent="0.4">
      <c r="A93" s="109" t="s">
        <v>108</v>
      </c>
      <c r="B93" s="103" t="s">
        <v>4</v>
      </c>
      <c r="C93" s="27">
        <f t="shared" ref="C93:K93" ca="1" si="31">SUM(C82:C92)</f>
        <v>19.363492871690433</v>
      </c>
      <c r="D93" s="27">
        <f t="shared" ca="1" si="31"/>
        <v>21.924934565560957</v>
      </c>
      <c r="E93" s="27">
        <f t="shared" ca="1" si="31"/>
        <v>22.918109356151788</v>
      </c>
      <c r="F93" s="67">
        <f t="shared" ca="1" si="31"/>
        <v>29.308182611570793</v>
      </c>
      <c r="G93" s="27">
        <f t="shared" ca="1" si="31"/>
        <v>34.555494769062001</v>
      </c>
      <c r="H93" s="27">
        <f t="shared" ca="1" si="31"/>
        <v>35.523601693836255</v>
      </c>
      <c r="I93" s="27">
        <f t="shared" ca="1" si="31"/>
        <v>38.004448711031472</v>
      </c>
      <c r="J93" s="27">
        <f t="shared" ca="1" si="31"/>
        <v>40.802649746057973</v>
      </c>
      <c r="K93" s="27">
        <f t="shared" ca="1" si="31"/>
        <v>43.952091690301216</v>
      </c>
      <c r="L93" s="90"/>
    </row>
    <row r="94" spans="1:13" x14ac:dyDescent="0.35">
      <c r="B94" s="90"/>
      <c r="C94" s="90"/>
      <c r="D94" s="90"/>
      <c r="E94" s="90"/>
      <c r="F94" s="94"/>
      <c r="G94" s="90"/>
      <c r="H94" s="90"/>
      <c r="I94" s="90"/>
      <c r="J94" s="90"/>
      <c r="K94" s="90"/>
      <c r="L94" s="90"/>
    </row>
    <row r="95" spans="1:13" ht="13.15" x14ac:dyDescent="0.4">
      <c r="A95" s="8" t="s">
        <v>112</v>
      </c>
      <c r="B95" s="90"/>
      <c r="C95" s="90"/>
      <c r="D95" s="90"/>
      <c r="E95" s="90"/>
      <c r="F95" s="94"/>
      <c r="G95" s="90"/>
      <c r="H95" s="90"/>
      <c r="I95" s="90"/>
      <c r="J95" s="90"/>
      <c r="K95" s="90"/>
      <c r="L95" s="90"/>
    </row>
    <row r="96" spans="1:13" ht="13.15" x14ac:dyDescent="0.4">
      <c r="A96" s="3" t="s">
        <v>44</v>
      </c>
      <c r="B96" s="103" t="s">
        <v>4</v>
      </c>
      <c r="C96" s="27">
        <v>-10</v>
      </c>
      <c r="D96" s="27">
        <v>-11</v>
      </c>
      <c r="E96" s="27">
        <v>-12</v>
      </c>
      <c r="F96" s="67">
        <v>-13</v>
      </c>
      <c r="G96" s="27">
        <f>-[1]Assumptions!H27*[1]Model!G7</f>
        <v>-10.5</v>
      </c>
      <c r="H96" s="27">
        <f>-[1]Assumptions!I27*[1]Model!H7</f>
        <v>-11.025</v>
      </c>
      <c r="I96" s="27">
        <f>-[1]Assumptions!J27*[1]Model!I7</f>
        <v>-11.576250000000002</v>
      </c>
      <c r="J96" s="27">
        <f>-[1]Assumptions!K27*[1]Model!J7</f>
        <v>-12.155062500000001</v>
      </c>
      <c r="K96" s="27">
        <f>-[1]Assumptions!L27*[1]Model!K7</f>
        <v>-12.762815625000002</v>
      </c>
      <c r="L96" s="90"/>
      <c r="M96" s="74"/>
    </row>
    <row r="97" spans="1:13" x14ac:dyDescent="0.35">
      <c r="A97" s="3" t="s">
        <v>96</v>
      </c>
      <c r="B97" s="103" t="s">
        <v>4</v>
      </c>
      <c r="C97" s="88">
        <v>0</v>
      </c>
      <c r="D97" s="88">
        <v>0</v>
      </c>
      <c r="E97" s="88">
        <v>0</v>
      </c>
      <c r="F97" s="89">
        <v>0</v>
      </c>
      <c r="G97" s="88">
        <f>[1]Assumptions!H28</f>
        <v>0</v>
      </c>
      <c r="H97" s="88">
        <f>[1]Assumptions!I28</f>
        <v>0</v>
      </c>
      <c r="I97" s="88">
        <f>[1]Assumptions!J28</f>
        <v>0</v>
      </c>
      <c r="J97" s="88">
        <f>[1]Assumptions!K28</f>
        <v>0</v>
      </c>
      <c r="K97" s="88">
        <f>[1]Assumptions!L28</f>
        <v>0</v>
      </c>
    </row>
    <row r="98" spans="1:13" ht="13.15" x14ac:dyDescent="0.4">
      <c r="A98" s="109" t="s">
        <v>112</v>
      </c>
      <c r="B98" s="103" t="s">
        <v>4</v>
      </c>
      <c r="C98" s="27">
        <f t="shared" ref="C98:K98" si="32">C96+C97</f>
        <v>-10</v>
      </c>
      <c r="D98" s="27">
        <f t="shared" si="32"/>
        <v>-11</v>
      </c>
      <c r="E98" s="27">
        <f t="shared" si="32"/>
        <v>-12</v>
      </c>
      <c r="F98" s="67">
        <f t="shared" si="32"/>
        <v>-13</v>
      </c>
      <c r="G98" s="27">
        <f t="shared" si="32"/>
        <v>-10.5</v>
      </c>
      <c r="H98" s="27">
        <f t="shared" si="32"/>
        <v>-11.025</v>
      </c>
      <c r="I98" s="27">
        <f t="shared" si="32"/>
        <v>-11.576250000000002</v>
      </c>
      <c r="J98" s="27">
        <f t="shared" si="32"/>
        <v>-12.155062500000001</v>
      </c>
      <c r="K98" s="27">
        <f t="shared" si="32"/>
        <v>-12.762815625000002</v>
      </c>
    </row>
    <row r="99" spans="1:13" x14ac:dyDescent="0.35">
      <c r="B99" s="16"/>
      <c r="C99" s="16"/>
      <c r="D99" s="16"/>
      <c r="E99" s="16"/>
      <c r="F99" s="85"/>
      <c r="G99" s="16"/>
      <c r="H99" s="16"/>
      <c r="I99" s="16"/>
      <c r="J99" s="16"/>
      <c r="K99" s="16"/>
    </row>
    <row r="100" spans="1:13" ht="13.15" x14ac:dyDescent="0.4">
      <c r="A100" s="8" t="s">
        <v>61</v>
      </c>
      <c r="B100" s="16"/>
      <c r="C100" s="16"/>
      <c r="D100" s="16"/>
      <c r="E100" s="16"/>
      <c r="F100" s="85"/>
      <c r="G100" s="16"/>
      <c r="H100" s="16"/>
      <c r="I100" s="16"/>
      <c r="J100" s="16"/>
      <c r="K100" s="16"/>
    </row>
    <row r="101" spans="1:13" x14ac:dyDescent="0.35">
      <c r="A101" s="3" t="s">
        <v>62</v>
      </c>
      <c r="B101" s="103" t="s">
        <v>4</v>
      </c>
      <c r="C101" s="27">
        <f t="shared" ref="C101:K103" ca="1" si="33">C67-B67</f>
        <v>5.6365071283095673</v>
      </c>
      <c r="D101" s="27">
        <f t="shared" ca="1" si="33"/>
        <v>9.0750654344390433</v>
      </c>
      <c r="E101" s="27">
        <f t="shared" ca="1" si="33"/>
        <v>9.0818906438482152</v>
      </c>
      <c r="F101" s="67">
        <f t="shared" ca="1" si="33"/>
        <v>3.6918173884292074</v>
      </c>
      <c r="G101" s="27">
        <f ca="1">G67-F67</f>
        <v>-4.0554947690620011</v>
      </c>
      <c r="H101" s="27">
        <f ca="1">H67-G67</f>
        <v>-4.4986016938362567</v>
      </c>
      <c r="I101" s="27">
        <f ca="1">I67-H67</f>
        <v>-6.4281987110314702</v>
      </c>
      <c r="J101" s="27">
        <f ca="1">J67-I67</f>
        <v>-8.6475872460579737</v>
      </c>
      <c r="K101" s="27">
        <f ca="1">K67-J67</f>
        <v>-11.189276065301215</v>
      </c>
    </row>
    <row r="102" spans="1:13" ht="15" x14ac:dyDescent="0.4">
      <c r="A102" s="3" t="s">
        <v>63</v>
      </c>
      <c r="B102" s="103" t="s">
        <v>4</v>
      </c>
      <c r="C102" s="27">
        <f t="shared" si="33"/>
        <v>-20</v>
      </c>
      <c r="D102" s="27">
        <f t="shared" si="33"/>
        <v>-20</v>
      </c>
      <c r="E102" s="27">
        <f t="shared" si="33"/>
        <v>-20</v>
      </c>
      <c r="F102" s="67">
        <f t="shared" si="33"/>
        <v>-20</v>
      </c>
      <c r="G102" s="27">
        <f t="shared" si="33"/>
        <v>-20</v>
      </c>
      <c r="H102" s="27">
        <f t="shared" si="33"/>
        <v>-20</v>
      </c>
      <c r="I102" s="27">
        <f t="shared" si="33"/>
        <v>-20</v>
      </c>
      <c r="J102" s="27">
        <f t="shared" si="33"/>
        <v>-20</v>
      </c>
      <c r="K102" s="27">
        <f t="shared" si="33"/>
        <v>-20</v>
      </c>
      <c r="M102" s="5"/>
    </row>
    <row r="103" spans="1:13" ht="15" x14ac:dyDescent="0.4">
      <c r="A103" s="3" t="s">
        <v>64</v>
      </c>
      <c r="B103" s="103" t="s">
        <v>4</v>
      </c>
      <c r="C103" s="88">
        <f t="shared" si="33"/>
        <v>0</v>
      </c>
      <c r="D103" s="88">
        <f t="shared" si="33"/>
        <v>0</v>
      </c>
      <c r="E103" s="88">
        <f t="shared" si="33"/>
        <v>0</v>
      </c>
      <c r="F103" s="89">
        <f t="shared" si="33"/>
        <v>0</v>
      </c>
      <c r="G103" s="88">
        <f t="shared" si="33"/>
        <v>0</v>
      </c>
      <c r="H103" s="88">
        <f t="shared" si="33"/>
        <v>0</v>
      </c>
      <c r="I103" s="88">
        <f t="shared" si="33"/>
        <v>0</v>
      </c>
      <c r="J103" s="88">
        <f t="shared" si="33"/>
        <v>0</v>
      </c>
      <c r="K103" s="88">
        <f t="shared" si="33"/>
        <v>0</v>
      </c>
      <c r="M103" s="5"/>
    </row>
    <row r="104" spans="1:13" ht="13.15" x14ac:dyDescent="0.4">
      <c r="A104" s="109" t="s">
        <v>113</v>
      </c>
      <c r="B104" s="103" t="s">
        <v>4</v>
      </c>
      <c r="C104" s="27">
        <f t="shared" ref="C104:K104" ca="1" si="34">SUM(C101:C103)</f>
        <v>-14.363492871690433</v>
      </c>
      <c r="D104" s="27">
        <f t="shared" ca="1" si="34"/>
        <v>-10.924934565560957</v>
      </c>
      <c r="E104" s="27">
        <f t="shared" ca="1" si="34"/>
        <v>-10.918109356151785</v>
      </c>
      <c r="F104" s="67">
        <f t="shared" ca="1" si="34"/>
        <v>-16.308182611570793</v>
      </c>
      <c r="G104" s="27">
        <f t="shared" ca="1" si="34"/>
        <v>-24.055494769062001</v>
      </c>
      <c r="H104" s="27">
        <f t="shared" ca="1" si="34"/>
        <v>-24.498601693836257</v>
      </c>
      <c r="I104" s="27">
        <f t="shared" ca="1" si="34"/>
        <v>-26.42819871103147</v>
      </c>
      <c r="J104" s="27">
        <f t="shared" ca="1" si="34"/>
        <v>-28.647587246057974</v>
      </c>
      <c r="K104" s="27">
        <f t="shared" ca="1" si="34"/>
        <v>-31.189276065301215</v>
      </c>
    </row>
    <row r="105" spans="1:13" x14ac:dyDescent="0.35">
      <c r="B105" s="16"/>
      <c r="C105" s="16"/>
      <c r="D105" s="16"/>
      <c r="E105" s="16"/>
      <c r="F105" s="85"/>
      <c r="G105" s="16"/>
      <c r="H105" s="16"/>
      <c r="I105" s="16"/>
      <c r="J105" s="16"/>
      <c r="K105" s="16"/>
    </row>
    <row r="106" spans="1:13" ht="13.15" x14ac:dyDescent="0.4">
      <c r="A106" s="109" t="s">
        <v>114</v>
      </c>
      <c r="B106" s="103" t="s">
        <v>4</v>
      </c>
      <c r="C106" s="27">
        <f ca="1">C104+C98+C93</f>
        <v>-5</v>
      </c>
      <c r="D106" s="27">
        <f ca="1">D104+D98+D93</f>
        <v>0</v>
      </c>
      <c r="E106" s="27">
        <f ca="1">E104+E98+E93</f>
        <v>0</v>
      </c>
      <c r="F106" s="67">
        <f ca="1">F104+F98+F93</f>
        <v>0</v>
      </c>
      <c r="G106" s="27">
        <f ca="1">G93+G98+G104</f>
        <v>0</v>
      </c>
      <c r="H106" s="27">
        <f ca="1">H93+H98+H104</f>
        <v>0</v>
      </c>
      <c r="I106" s="27">
        <f ca="1">I93+I98+I104</f>
        <v>0</v>
      </c>
      <c r="J106" s="27">
        <f ca="1">J93+J98+J104</f>
        <v>0</v>
      </c>
      <c r="K106" s="27">
        <f ca="1">K93+K98+K104</f>
        <v>0</v>
      </c>
    </row>
    <row r="107" spans="1:13" x14ac:dyDescent="0.35">
      <c r="B107" s="16"/>
      <c r="C107" s="16"/>
      <c r="D107" s="16"/>
      <c r="E107" s="16"/>
      <c r="F107" s="85"/>
      <c r="G107" s="16"/>
      <c r="H107" s="16"/>
      <c r="I107" s="16"/>
      <c r="J107" s="16"/>
      <c r="K107" s="16"/>
    </row>
    <row r="108" spans="1:13" x14ac:dyDescent="0.35">
      <c r="A108" s="3" t="s">
        <v>65</v>
      </c>
      <c r="B108" s="103" t="s">
        <v>4</v>
      </c>
      <c r="C108" s="27">
        <f>B47</f>
        <v>5</v>
      </c>
      <c r="D108" s="27">
        <f ca="1">C47</f>
        <v>0</v>
      </c>
      <c r="E108" s="27">
        <f ca="1">D47</f>
        <v>0</v>
      </c>
      <c r="F108" s="67">
        <f ca="1">E47</f>
        <v>0</v>
      </c>
      <c r="G108" s="27">
        <f ca="1">F110</f>
        <v>0</v>
      </c>
      <c r="H108" s="27">
        <f ca="1">G110</f>
        <v>0</v>
      </c>
      <c r="I108" s="27">
        <f ca="1">H110</f>
        <v>0</v>
      </c>
      <c r="J108" s="27">
        <f ca="1">I110</f>
        <v>0</v>
      </c>
      <c r="K108" s="27">
        <f ca="1">J110</f>
        <v>0</v>
      </c>
    </row>
    <row r="109" spans="1:13" ht="15" x14ac:dyDescent="0.4">
      <c r="A109" s="3" t="s">
        <v>66</v>
      </c>
      <c r="B109" s="103" t="s">
        <v>4</v>
      </c>
      <c r="C109" s="88">
        <f t="shared" ref="C109:K109" ca="1" si="35">C106</f>
        <v>-5</v>
      </c>
      <c r="D109" s="88">
        <f t="shared" ca="1" si="35"/>
        <v>0</v>
      </c>
      <c r="E109" s="88">
        <f t="shared" ca="1" si="35"/>
        <v>0</v>
      </c>
      <c r="F109" s="89">
        <f t="shared" ca="1" si="35"/>
        <v>0</v>
      </c>
      <c r="G109" s="88">
        <f t="shared" ca="1" si="35"/>
        <v>0</v>
      </c>
      <c r="H109" s="88">
        <f t="shared" ca="1" si="35"/>
        <v>0</v>
      </c>
      <c r="I109" s="88">
        <f t="shared" ca="1" si="35"/>
        <v>0</v>
      </c>
      <c r="J109" s="88">
        <f t="shared" ca="1" si="35"/>
        <v>0</v>
      </c>
      <c r="K109" s="88">
        <f t="shared" ca="1" si="35"/>
        <v>0</v>
      </c>
      <c r="M109" s="83"/>
    </row>
    <row r="110" spans="1:13" ht="15" x14ac:dyDescent="0.4">
      <c r="A110" s="2" t="s">
        <v>67</v>
      </c>
      <c r="B110" s="100" t="s">
        <v>4</v>
      </c>
      <c r="C110" s="88">
        <f ca="1">C108+C109</f>
        <v>0</v>
      </c>
      <c r="D110" s="88">
        <f ca="1">D108+D109</f>
        <v>0</v>
      </c>
      <c r="E110" s="88">
        <f ca="1">E108+E109</f>
        <v>0</v>
      </c>
      <c r="F110" s="89">
        <f ca="1">F108+F109</f>
        <v>0</v>
      </c>
      <c r="G110" s="88">
        <f ca="1">SUM(G108:G109)</f>
        <v>0</v>
      </c>
      <c r="H110" s="88">
        <f ca="1">SUM(H108:H109)</f>
        <v>0</v>
      </c>
      <c r="I110" s="88">
        <f ca="1">SUM(I108:I109)</f>
        <v>0</v>
      </c>
      <c r="J110" s="88">
        <f ca="1">SUM(J108:J109)</f>
        <v>0</v>
      </c>
      <c r="K110" s="88">
        <f ca="1">SUM(K108:K109)</f>
        <v>0</v>
      </c>
      <c r="M110" s="80"/>
    </row>
    <row r="111" spans="1:13" x14ac:dyDescent="0.35">
      <c r="B111" s="16"/>
      <c r="C111" s="16"/>
      <c r="D111" s="16"/>
      <c r="E111" s="16"/>
      <c r="F111" s="85"/>
      <c r="G111" s="16"/>
      <c r="H111" s="16"/>
      <c r="I111" s="16"/>
      <c r="J111" s="16"/>
      <c r="K111" s="16"/>
    </row>
    <row r="112" spans="1:13" ht="15" x14ac:dyDescent="0.4">
      <c r="A112" s="3" t="s">
        <v>104</v>
      </c>
      <c r="B112" s="16"/>
      <c r="C112" s="27">
        <f t="shared" ref="C112:K112" ca="1" si="36">C93+C98+C102+C103+C108</f>
        <v>-5.6365071283095673</v>
      </c>
      <c r="D112" s="27">
        <f t="shared" ca="1" si="36"/>
        <v>-9.0750654344390433</v>
      </c>
      <c r="E112" s="27">
        <f t="shared" ca="1" si="36"/>
        <v>-9.0818906438482117</v>
      </c>
      <c r="F112" s="67">
        <f t="shared" ca="1" si="36"/>
        <v>-3.6918173884292074</v>
      </c>
      <c r="G112" s="27">
        <f t="shared" ca="1" si="36"/>
        <v>4.0554947690620011</v>
      </c>
      <c r="H112" s="27">
        <f t="shared" ca="1" si="36"/>
        <v>4.4986016938362567</v>
      </c>
      <c r="I112" s="27">
        <f t="shared" ca="1" si="36"/>
        <v>6.4281987110314702</v>
      </c>
      <c r="J112" s="27">
        <f t="shared" ca="1" si="36"/>
        <v>8.6475872460579737</v>
      </c>
      <c r="K112" s="27">
        <f t="shared" ca="1" si="36"/>
        <v>11.189276065301215</v>
      </c>
      <c r="M112" s="5"/>
    </row>
    <row r="113" spans="1:23" ht="15" x14ac:dyDescent="0.4">
      <c r="A113" s="7" t="s">
        <v>81</v>
      </c>
      <c r="B113" s="16"/>
      <c r="C113" s="16"/>
      <c r="D113" s="16"/>
      <c r="E113" s="16"/>
      <c r="F113" s="85"/>
      <c r="G113" s="16"/>
      <c r="H113" s="16"/>
      <c r="I113" s="16"/>
      <c r="J113" s="16"/>
      <c r="K113" s="16"/>
      <c r="M113" s="80"/>
    </row>
    <row r="114" spans="1:23" x14ac:dyDescent="0.35">
      <c r="A114" s="43" t="s">
        <v>68</v>
      </c>
      <c r="B114" s="16"/>
      <c r="C114" s="16"/>
      <c r="D114" s="16"/>
      <c r="E114" s="16"/>
      <c r="F114" s="85"/>
      <c r="G114" s="16"/>
      <c r="H114" s="16"/>
      <c r="I114" s="16"/>
      <c r="J114" s="16"/>
      <c r="K114" s="16"/>
    </row>
    <row r="115" spans="1:23" x14ac:dyDescent="0.35">
      <c r="A115" s="3" t="s">
        <v>69</v>
      </c>
      <c r="B115" s="16"/>
      <c r="C115" s="27">
        <f>+B67</f>
        <v>13.299999999999983</v>
      </c>
      <c r="D115" s="27">
        <f ca="1">+C117</f>
        <v>18.93650712830955</v>
      </c>
      <c r="E115" s="27">
        <f ca="1">+D117</f>
        <v>28.011572562748594</v>
      </c>
      <c r="F115" s="67">
        <f ca="1">+E117</f>
        <v>37.093463206596809</v>
      </c>
      <c r="G115" s="27">
        <f ca="1">F117</f>
        <v>40.785280595026016</v>
      </c>
      <c r="H115" s="27">
        <f ca="1">G117</f>
        <v>36.729785825964015</v>
      </c>
      <c r="I115" s="27">
        <f ca="1">H117</f>
        <v>32.231184132127758</v>
      </c>
      <c r="J115" s="27">
        <f ca="1">I117</f>
        <v>25.802985421096288</v>
      </c>
      <c r="K115" s="27">
        <f ca="1">J117</f>
        <v>17.155398175038314</v>
      </c>
    </row>
    <row r="116" spans="1:23" ht="13.15" x14ac:dyDescent="0.4">
      <c r="A116" s="3" t="s">
        <v>75</v>
      </c>
      <c r="C116" s="27">
        <f t="shared" ref="C116:K116" ca="1" si="37">-MIN(C115,C112)</f>
        <v>5.6365071283095673</v>
      </c>
      <c r="D116" s="27">
        <f t="shared" ca="1" si="37"/>
        <v>9.0750654344390433</v>
      </c>
      <c r="E116" s="27">
        <f t="shared" ca="1" si="37"/>
        <v>9.0818906438482117</v>
      </c>
      <c r="F116" s="67">
        <f t="shared" ca="1" si="37"/>
        <v>3.6918173884292074</v>
      </c>
      <c r="G116" s="27">
        <f t="shared" ca="1" si="37"/>
        <v>-4.0554947690620011</v>
      </c>
      <c r="H116" s="27">
        <f t="shared" ca="1" si="37"/>
        <v>-4.4986016938362567</v>
      </c>
      <c r="I116" s="27">
        <f t="shared" ca="1" si="37"/>
        <v>-6.4281987110314702</v>
      </c>
      <c r="J116" s="27">
        <f t="shared" ca="1" si="37"/>
        <v>-8.6475872460579737</v>
      </c>
      <c r="K116" s="27">
        <f t="shared" ca="1" si="37"/>
        <v>-11.189276065301215</v>
      </c>
      <c r="M116" s="74"/>
      <c r="W116" s="27">
        <f>IF(W93+W98+W102+W103+W108&lt;0,-(W93+W98+W102+W103+W108),-MIN(W115,W93+W98+W102+W103+W108))</f>
        <v>0</v>
      </c>
    </row>
    <row r="117" spans="1:23" x14ac:dyDescent="0.35">
      <c r="A117" s="3" t="s">
        <v>70</v>
      </c>
      <c r="C117" s="27">
        <f ca="1">+C115+C116</f>
        <v>18.93650712830955</v>
      </c>
      <c r="D117" s="27">
        <f ca="1">+D115+D116</f>
        <v>28.011572562748594</v>
      </c>
      <c r="E117" s="27">
        <f ca="1">+E115+E116</f>
        <v>37.093463206596809</v>
      </c>
      <c r="F117" s="67">
        <f ca="1">+F115+F116</f>
        <v>40.785280595026016</v>
      </c>
      <c r="G117" s="27">
        <f ca="1">G115+G116</f>
        <v>36.729785825964015</v>
      </c>
      <c r="H117" s="27">
        <f ca="1">H115+H116</f>
        <v>32.231184132127758</v>
      </c>
      <c r="I117" s="27">
        <f ca="1">I115+I116</f>
        <v>25.802985421096288</v>
      </c>
      <c r="J117" s="27">
        <f ca="1">J115+J116</f>
        <v>17.155398175038314</v>
      </c>
      <c r="K117" s="27">
        <f ca="1">K115+K116</f>
        <v>5.9661221097370998</v>
      </c>
    </row>
    <row r="118" spans="1:23" x14ac:dyDescent="0.35">
      <c r="A118" s="3" t="s">
        <v>71</v>
      </c>
      <c r="C118" s="13">
        <v>0.06</v>
      </c>
      <c r="D118" s="13">
        <v>0.06</v>
      </c>
      <c r="E118" s="13">
        <v>0.06</v>
      </c>
      <c r="F118" s="114">
        <v>0.06</v>
      </c>
      <c r="G118" s="115">
        <f>[1]Assumptions!H40</f>
        <v>3.2500000000000001E-2</v>
      </c>
      <c r="H118" s="115">
        <f>[1]Assumptions!I40</f>
        <v>0.04</v>
      </c>
      <c r="I118" s="115">
        <f>[1]Assumptions!J40</f>
        <v>4.4999999999999998E-2</v>
      </c>
      <c r="J118" s="115">
        <f>[1]Assumptions!K40</f>
        <v>0.05</v>
      </c>
      <c r="K118" s="115">
        <f>[1]Assumptions!L40</f>
        <v>5.5000000000000007E-2</v>
      </c>
    </row>
    <row r="119" spans="1:23" x14ac:dyDescent="0.35">
      <c r="A119" s="3" t="s">
        <v>16</v>
      </c>
      <c r="C119" s="27">
        <f ca="1">AVERAGE(C117,C115)*C118</f>
        <v>0.96709521384928598</v>
      </c>
      <c r="D119" s="27">
        <f ca="1">AVERAGE(D117,D115)*D118</f>
        <v>1.4084423907317443</v>
      </c>
      <c r="E119" s="27">
        <f ca="1">AVERAGE(E117,E115)*E118</f>
        <v>1.9531510730803621</v>
      </c>
      <c r="F119" s="67">
        <f ca="1">AVERAGE(F117,F115)*F118</f>
        <v>2.3363623140486847</v>
      </c>
      <c r="G119" s="27">
        <f ca="1">AVERAGE(G115,G117)*G118</f>
        <v>1.2596198293410878</v>
      </c>
      <c r="H119" s="27">
        <f ca="1">AVERAGE(H115,H117)*H118</f>
        <v>1.3792193991618353</v>
      </c>
      <c r="I119" s="27">
        <f ca="1">AVERAGE(I115,I117)*I118</f>
        <v>1.305768814947541</v>
      </c>
      <c r="J119" s="27">
        <f ca="1">AVERAGE(J115,J117)*J118</f>
        <v>1.0739595899033652</v>
      </c>
      <c r="K119" s="27">
        <f ca="1">AVERAGE(K115,K117)*K118</f>
        <v>0.63584180783132394</v>
      </c>
    </row>
    <row r="120" spans="1:23" x14ac:dyDescent="0.35">
      <c r="F120" s="106"/>
    </row>
    <row r="121" spans="1:23" x14ac:dyDescent="0.35">
      <c r="A121" s="43" t="s">
        <v>46</v>
      </c>
      <c r="F121" s="106"/>
    </row>
    <row r="122" spans="1:23" x14ac:dyDescent="0.35">
      <c r="A122" s="3" t="s">
        <v>74</v>
      </c>
      <c r="C122" s="27">
        <f>+B68</f>
        <v>180</v>
      </c>
      <c r="D122" s="27">
        <f>+C124</f>
        <v>160</v>
      </c>
      <c r="E122" s="27">
        <f t="shared" ref="E122:K122" si="38">+D124</f>
        <v>140</v>
      </c>
      <c r="F122" s="67">
        <f t="shared" si="38"/>
        <v>120</v>
      </c>
      <c r="G122" s="27">
        <f t="shared" si="38"/>
        <v>100</v>
      </c>
      <c r="H122" s="27">
        <f t="shared" si="38"/>
        <v>80</v>
      </c>
      <c r="I122" s="27">
        <f t="shared" si="38"/>
        <v>60</v>
      </c>
      <c r="J122" s="27">
        <f t="shared" si="38"/>
        <v>40</v>
      </c>
      <c r="K122" s="27">
        <f t="shared" si="38"/>
        <v>20</v>
      </c>
    </row>
    <row r="123" spans="1:23" ht="13.15" x14ac:dyDescent="0.4">
      <c r="A123" s="3" t="s">
        <v>75</v>
      </c>
      <c r="C123" s="27">
        <v>-20</v>
      </c>
      <c r="D123" s="27">
        <v>-20</v>
      </c>
      <c r="E123" s="27">
        <v>-20</v>
      </c>
      <c r="F123" s="67">
        <v>-20</v>
      </c>
      <c r="G123" s="27">
        <f>-[1]Assumptions!H44</f>
        <v>-20</v>
      </c>
      <c r="H123" s="27">
        <f>-[1]Assumptions!I44</f>
        <v>-20</v>
      </c>
      <c r="I123" s="27">
        <f>-[1]Assumptions!J44</f>
        <v>-20</v>
      </c>
      <c r="J123" s="27">
        <f>-[1]Assumptions!K44</f>
        <v>-20</v>
      </c>
      <c r="K123" s="27">
        <f>-[1]Assumptions!L44</f>
        <v>-20</v>
      </c>
      <c r="M123" s="74"/>
    </row>
    <row r="124" spans="1:23" x14ac:dyDescent="0.35">
      <c r="A124" s="3" t="s">
        <v>76</v>
      </c>
      <c r="C124" s="27">
        <f>+C122+C123</f>
        <v>160</v>
      </c>
      <c r="D124" s="27">
        <f t="shared" ref="D124:K124" si="39">+D122+D123</f>
        <v>140</v>
      </c>
      <c r="E124" s="27">
        <f t="shared" si="39"/>
        <v>120</v>
      </c>
      <c r="F124" s="67">
        <f t="shared" si="39"/>
        <v>100</v>
      </c>
      <c r="G124" s="27">
        <f t="shared" si="39"/>
        <v>80</v>
      </c>
      <c r="H124" s="27">
        <f t="shared" si="39"/>
        <v>60</v>
      </c>
      <c r="I124" s="27">
        <f t="shared" si="39"/>
        <v>40</v>
      </c>
      <c r="J124" s="27">
        <f t="shared" si="39"/>
        <v>20</v>
      </c>
      <c r="K124" s="27">
        <f t="shared" si="39"/>
        <v>0</v>
      </c>
    </row>
    <row r="125" spans="1:23" x14ac:dyDescent="0.35">
      <c r="A125" s="3" t="s">
        <v>71</v>
      </c>
      <c r="C125" s="116">
        <v>6.5000000000000002E-2</v>
      </c>
      <c r="D125" s="116">
        <v>6.5000000000000002E-2</v>
      </c>
      <c r="E125" s="116">
        <v>6.5000000000000002E-2</v>
      </c>
      <c r="F125" s="117">
        <v>6.5000000000000002E-2</v>
      </c>
      <c r="G125" s="116">
        <f>[1]Assumptions!H41</f>
        <v>3.7500000000000006E-2</v>
      </c>
      <c r="H125" s="116">
        <f>[1]Assumptions!I41</f>
        <v>4.4999999999999998E-2</v>
      </c>
      <c r="I125" s="116">
        <f>[1]Assumptions!J41</f>
        <v>0.05</v>
      </c>
      <c r="J125" s="116">
        <f>[1]Assumptions!K41</f>
        <v>5.5E-2</v>
      </c>
      <c r="K125" s="116">
        <f>[1]Assumptions!L41</f>
        <v>6.0000000000000005E-2</v>
      </c>
    </row>
    <row r="126" spans="1:23" x14ac:dyDescent="0.35">
      <c r="A126" s="3" t="s">
        <v>16</v>
      </c>
      <c r="C126" s="27">
        <f>AVERAGE(C124,C122)*C125</f>
        <v>11.05</v>
      </c>
      <c r="D126" s="27">
        <f>AVERAGE(D124,D122)*D125</f>
        <v>9.75</v>
      </c>
      <c r="E126" s="27">
        <f>AVERAGE(E124,E122)*E125</f>
        <v>8.4500000000000011</v>
      </c>
      <c r="F126" s="67">
        <f>AVERAGE(F124,F122)*F125</f>
        <v>7.15</v>
      </c>
      <c r="G126" s="27">
        <f>AVERAGE(G122,G124)*G125</f>
        <v>3.3750000000000004</v>
      </c>
      <c r="H126" s="27">
        <f>AVERAGE(H122,H124)*H125</f>
        <v>3.15</v>
      </c>
      <c r="I126" s="27">
        <f>AVERAGE(I122,I124)*I125</f>
        <v>2.5</v>
      </c>
      <c r="J126" s="27">
        <f>AVERAGE(J122,J124)*J125</f>
        <v>1.65</v>
      </c>
      <c r="K126" s="27">
        <f>AVERAGE(K122,K124)*K125</f>
        <v>0.60000000000000009</v>
      </c>
    </row>
    <row r="127" spans="1:23" x14ac:dyDescent="0.35">
      <c r="F127" s="106"/>
    </row>
    <row r="128" spans="1:23" x14ac:dyDescent="0.35">
      <c r="A128" s="43" t="s">
        <v>42</v>
      </c>
      <c r="F128" s="106"/>
    </row>
    <row r="129" spans="1:13" x14ac:dyDescent="0.35">
      <c r="A129" s="3" t="s">
        <v>77</v>
      </c>
      <c r="C129" s="27">
        <f>+B69</f>
        <v>50</v>
      </c>
      <c r="D129" s="27">
        <f>+C131</f>
        <v>50</v>
      </c>
      <c r="E129" s="27">
        <f t="shared" ref="E129:K129" si="40">+D131</f>
        <v>50</v>
      </c>
      <c r="F129" s="67">
        <f t="shared" si="40"/>
        <v>50</v>
      </c>
      <c r="G129" s="27">
        <f t="shared" si="40"/>
        <v>50</v>
      </c>
      <c r="H129" s="27">
        <f t="shared" si="40"/>
        <v>50</v>
      </c>
      <c r="I129" s="27">
        <f t="shared" si="40"/>
        <v>50</v>
      </c>
      <c r="J129" s="27">
        <f t="shared" si="40"/>
        <v>50</v>
      </c>
      <c r="K129" s="27">
        <f t="shared" si="40"/>
        <v>50</v>
      </c>
    </row>
    <row r="130" spans="1:13" ht="13.15" x14ac:dyDescent="0.4">
      <c r="A130" s="3" t="s">
        <v>75</v>
      </c>
      <c r="C130" s="27">
        <v>0</v>
      </c>
      <c r="D130" s="27">
        <v>0</v>
      </c>
      <c r="E130" s="27">
        <v>0</v>
      </c>
      <c r="F130" s="67">
        <v>0</v>
      </c>
      <c r="G130" s="27">
        <f>-[1]Assumptions!H45</f>
        <v>0</v>
      </c>
      <c r="H130" s="27">
        <f>-[1]Assumptions!I45</f>
        <v>0</v>
      </c>
      <c r="I130" s="27">
        <f>-[1]Assumptions!J45</f>
        <v>0</v>
      </c>
      <c r="J130" s="27">
        <f>-[1]Assumptions!K45</f>
        <v>0</v>
      </c>
      <c r="K130" s="27">
        <f>-[1]Assumptions!L45</f>
        <v>0</v>
      </c>
      <c r="M130" s="74"/>
    </row>
    <row r="131" spans="1:13" x14ac:dyDescent="0.35">
      <c r="A131" s="3" t="s">
        <v>78</v>
      </c>
      <c r="C131" s="27">
        <f>+C129+C130</f>
        <v>50</v>
      </c>
      <c r="D131" s="27">
        <f t="shared" ref="D131:K131" si="41">+D129+D130</f>
        <v>50</v>
      </c>
      <c r="E131" s="27">
        <f t="shared" si="41"/>
        <v>50</v>
      </c>
      <c r="F131" s="67">
        <f t="shared" si="41"/>
        <v>50</v>
      </c>
      <c r="G131" s="27">
        <f t="shared" si="41"/>
        <v>50</v>
      </c>
      <c r="H131" s="27">
        <f t="shared" si="41"/>
        <v>50</v>
      </c>
      <c r="I131" s="27">
        <f t="shared" si="41"/>
        <v>50</v>
      </c>
      <c r="J131" s="27">
        <f t="shared" si="41"/>
        <v>50</v>
      </c>
      <c r="K131" s="27">
        <f t="shared" si="41"/>
        <v>50</v>
      </c>
    </row>
    <row r="132" spans="1:13" x14ac:dyDescent="0.35">
      <c r="A132" s="3" t="s">
        <v>71</v>
      </c>
      <c r="C132" s="118">
        <v>0.12</v>
      </c>
      <c r="D132" s="118">
        <v>0.12</v>
      </c>
      <c r="E132" s="118">
        <v>0.12</v>
      </c>
      <c r="F132" s="119">
        <v>0.12</v>
      </c>
      <c r="G132" s="115">
        <f>[1]Assumptions!H42</f>
        <v>0.12</v>
      </c>
      <c r="H132" s="115">
        <f>[1]Assumptions!I42</f>
        <v>0.12</v>
      </c>
      <c r="I132" s="115">
        <f>[1]Assumptions!J42</f>
        <v>0.12</v>
      </c>
      <c r="J132" s="115">
        <f>[1]Assumptions!K42</f>
        <v>0.12</v>
      </c>
      <c r="K132" s="115">
        <f>[1]Assumptions!L42</f>
        <v>0.12</v>
      </c>
    </row>
    <row r="133" spans="1:13" x14ac:dyDescent="0.35">
      <c r="A133" s="3" t="s">
        <v>16</v>
      </c>
      <c r="C133" s="27">
        <f>AVERAGE(C131,C129)*C132</f>
        <v>6</v>
      </c>
      <c r="D133" s="27">
        <f>AVERAGE(D131,D129)*D132</f>
        <v>6</v>
      </c>
      <c r="E133" s="27">
        <f>AVERAGE(E131,E129)*E132</f>
        <v>6</v>
      </c>
      <c r="F133" s="67">
        <f>AVERAGE(F131,F129)*F132</f>
        <v>6</v>
      </c>
      <c r="G133" s="27">
        <f>AVERAGE(G129,G131)*G132</f>
        <v>6</v>
      </c>
      <c r="H133" s="27">
        <f>AVERAGE(H129,H131)*H132</f>
        <v>6</v>
      </c>
      <c r="I133" s="27">
        <f>AVERAGE(I129,I131)*I132</f>
        <v>6</v>
      </c>
      <c r="J133" s="27">
        <f>AVERAGE(J129,J131)*J132</f>
        <v>6</v>
      </c>
      <c r="K133" s="27">
        <f>AVERAGE(K129,K131)*K132</f>
        <v>6</v>
      </c>
    </row>
    <row r="134" spans="1:13" x14ac:dyDescent="0.35">
      <c r="F134" s="106"/>
    </row>
    <row r="135" spans="1:13" x14ac:dyDescent="0.35">
      <c r="A135" s="3" t="s">
        <v>79</v>
      </c>
      <c r="C135" s="27">
        <f ca="1">+C119+C126+C133</f>
        <v>18.017095213849288</v>
      </c>
      <c r="D135" s="27">
        <f ca="1">+D119+D126+D133</f>
        <v>17.158442390731743</v>
      </c>
      <c r="E135" s="27">
        <f ca="1">+E119+E126+E133</f>
        <v>16.403151073080362</v>
      </c>
      <c r="F135" s="67">
        <f ca="1">+F119+F126+F133</f>
        <v>15.486362314048685</v>
      </c>
      <c r="G135" s="27">
        <f ca="1">G119+G126+G133</f>
        <v>10.634619829341087</v>
      </c>
      <c r="H135" s="27">
        <f ca="1">H119+H126+H133</f>
        <v>10.529219399161835</v>
      </c>
      <c r="I135" s="27">
        <f ca="1">I119+I126+I133</f>
        <v>9.805768814947541</v>
      </c>
      <c r="J135" s="27">
        <f ca="1">J119+J126+J133</f>
        <v>8.723959589903366</v>
      </c>
      <c r="K135" s="27">
        <f ca="1">K119+K126+K133</f>
        <v>7.2358418078313242</v>
      </c>
    </row>
    <row r="136" spans="1:13" x14ac:dyDescent="0.35">
      <c r="C136" s="107"/>
      <c r="D136" s="107"/>
      <c r="E136" s="107"/>
      <c r="F136" s="120"/>
      <c r="G136" s="107"/>
      <c r="H136" s="107"/>
      <c r="I136" s="107"/>
      <c r="J136" s="107"/>
      <c r="K136" s="107"/>
    </row>
    <row r="137" spans="1:13" ht="15.4" thickBot="1" x14ac:dyDescent="0.45">
      <c r="A137" s="58" t="s">
        <v>82</v>
      </c>
      <c r="B137" s="58"/>
      <c r="C137" s="121">
        <f ca="1">AVERAGE(B47:C47)*[1]Assumptions!C38</f>
        <v>6.2500000000000003E-3</v>
      </c>
      <c r="D137" s="121">
        <f ca="1">AVERAGE(C47:D47)*[1]Assumptions!D38</f>
        <v>0</v>
      </c>
      <c r="E137" s="121">
        <f ca="1">AVERAGE(D47:E47)*[1]Assumptions!E38</f>
        <v>0</v>
      </c>
      <c r="F137" s="122">
        <f ca="1">AVERAGE(E47:F47)*[1]Assumptions!F38</f>
        <v>0</v>
      </c>
      <c r="G137" s="121">
        <f ca="1">AVERAGE(G108,G110)*[1]Assumptions!H38</f>
        <v>0</v>
      </c>
      <c r="H137" s="121">
        <f ca="1">AVERAGE(H108,H110)*[1]Assumptions!I38</f>
        <v>0</v>
      </c>
      <c r="I137" s="121">
        <f ca="1">AVERAGE(I108,I110)*[1]Assumptions!J38</f>
        <v>0</v>
      </c>
      <c r="J137" s="121">
        <f ca="1">AVERAGE(J108,J110)*[1]Assumptions!K38</f>
        <v>0</v>
      </c>
      <c r="K137" s="121">
        <f ca="1">AVERAGE(K108,K110)*[1]Assumptions!L38</f>
        <v>0</v>
      </c>
      <c r="M137" s="80"/>
    </row>
    <row r="138" spans="1:13" ht="15" x14ac:dyDescent="0.4">
      <c r="M138" s="80"/>
    </row>
    <row r="139" spans="1:13" ht="15" x14ac:dyDescent="0.4">
      <c r="A139" s="83"/>
      <c r="B139" s="83"/>
      <c r="C139" s="83"/>
      <c r="D139" s="83"/>
      <c r="E139" s="83"/>
      <c r="F139" s="83"/>
      <c r="G139" s="83"/>
      <c r="I139" s="5"/>
    </row>
    <row r="140" spans="1:13" ht="15" x14ac:dyDescent="0.4">
      <c r="A140" s="83"/>
      <c r="B140" s="83"/>
      <c r="C140" s="83"/>
      <c r="D140" s="83"/>
      <c r="E140" s="83"/>
      <c r="F140" s="83"/>
      <c r="G140" s="83"/>
      <c r="I140" s="5"/>
    </row>
    <row r="141" spans="1:13" ht="15" x14ac:dyDescent="0.4">
      <c r="A141" s="83"/>
      <c r="B141" s="83"/>
      <c r="C141" s="83"/>
      <c r="D141" s="83"/>
      <c r="E141" s="83"/>
      <c r="F141" s="83"/>
      <c r="G141" s="83"/>
      <c r="I141" s="5"/>
    </row>
    <row r="142" spans="1:13" ht="15" x14ac:dyDescent="0.4">
      <c r="A142" s="83"/>
      <c r="B142" s="83"/>
      <c r="C142" s="83"/>
      <c r="D142" s="83"/>
      <c r="E142" s="83"/>
      <c r="F142" s="83"/>
      <c r="G142" s="83"/>
      <c r="I142" s="5"/>
    </row>
    <row r="143" spans="1:13" ht="15" x14ac:dyDescent="0.4">
      <c r="A143" s="83"/>
      <c r="B143" s="83"/>
      <c r="C143" s="83"/>
      <c r="D143" s="83"/>
      <c r="E143" s="83"/>
      <c r="F143" s="83"/>
      <c r="G143" s="83"/>
      <c r="I143" s="5"/>
    </row>
    <row r="144" spans="1:13" ht="15" x14ac:dyDescent="0.4">
      <c r="A144" s="83"/>
      <c r="B144" s="83"/>
      <c r="C144" s="83"/>
      <c r="D144" s="83"/>
      <c r="E144" s="83"/>
      <c r="F144" s="83"/>
      <c r="G144" s="83"/>
      <c r="I144" s="5"/>
    </row>
    <row r="145" spans="1:9" ht="15" x14ac:dyDescent="0.4">
      <c r="A145" s="83"/>
      <c r="B145" s="83"/>
      <c r="C145" s="83"/>
      <c r="D145" s="83"/>
      <c r="E145" s="83"/>
      <c r="F145" s="83"/>
      <c r="G145" s="83"/>
      <c r="I145" s="5"/>
    </row>
    <row r="146" spans="1:9" ht="15" x14ac:dyDescent="0.4">
      <c r="A146" s="83"/>
      <c r="B146" s="83"/>
      <c r="C146" s="83"/>
      <c r="D146" s="83"/>
      <c r="E146" s="83"/>
      <c r="F146" s="83"/>
      <c r="G146" s="83"/>
      <c r="I146" s="5"/>
    </row>
    <row r="147" spans="1:9" ht="15" x14ac:dyDescent="0.4">
      <c r="A147" s="83"/>
      <c r="B147" s="83"/>
      <c r="C147" s="83"/>
      <c r="D147" s="83"/>
      <c r="E147" s="83"/>
      <c r="F147" s="83"/>
      <c r="G147" s="83"/>
    </row>
    <row r="148" spans="1:9" ht="15" x14ac:dyDescent="0.4">
      <c r="A148" s="83"/>
      <c r="B148" s="83"/>
      <c r="C148" s="83"/>
      <c r="D148" s="83"/>
      <c r="E148" s="83"/>
      <c r="F148" s="83"/>
      <c r="G148" s="83"/>
    </row>
    <row r="149" spans="1:9" ht="15" x14ac:dyDescent="0.4">
      <c r="A149" s="83"/>
      <c r="B149" s="83"/>
      <c r="C149" s="83"/>
      <c r="D149" s="83"/>
      <c r="E149" s="83"/>
      <c r="F149" s="83"/>
      <c r="G149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Assumptions</vt:lpstr>
      <vt:lpstr>Model</vt:lpstr>
      <vt:lpstr>Assumptions - Complete</vt:lpstr>
      <vt:lpstr>Model - Complete</vt:lpstr>
      <vt:lpstr>Assumptions!Print_Area</vt:lpstr>
      <vt:lpstr>Model!Print_Area</vt:lpstr>
      <vt:lpstr>Assumptions!Print_Titles</vt:lpstr>
      <vt:lpstr>Model!Print_Titles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Reuben Advani</cp:lastModifiedBy>
  <cp:lastPrinted>2013-03-25T19:58:16Z</cp:lastPrinted>
  <dcterms:created xsi:type="dcterms:W3CDTF">2006-11-09T02:14:54Z</dcterms:created>
  <dcterms:modified xsi:type="dcterms:W3CDTF">2020-01-09T18:28:07Z</dcterms:modified>
</cp:coreProperties>
</file>