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tempo_anotacao\"/>
    </mc:Choice>
  </mc:AlternateContent>
  <xr:revisionPtr revIDLastSave="0" documentId="13_ncr:1_{D247E43E-E388-4AF6-963D-B9001F9E8DB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otal - semiauto" sheetId="4" r:id="rId1"/>
    <sheet name="Total - petrobras" sheetId="5" r:id="rId2"/>
    <sheet name="Rede 1" sheetId="1" r:id="rId3"/>
    <sheet name="Rede 2" sheetId="2" r:id="rId4"/>
    <sheet name="Rede 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E9" i="4"/>
  <c r="D9" i="4"/>
  <c r="C12" i="5"/>
  <c r="D12" i="5"/>
  <c r="B12" i="5"/>
  <c r="C10" i="5"/>
  <c r="D9" i="5"/>
  <c r="D8" i="5"/>
  <c r="D7" i="5"/>
  <c r="D6" i="5"/>
  <c r="D4" i="5"/>
  <c r="B5" i="5"/>
  <c r="D5" i="5" s="1"/>
  <c r="C3" i="5"/>
  <c r="C11" i="5" s="1"/>
  <c r="B3" i="5"/>
  <c r="B10" i="5" s="1"/>
  <c r="C2" i="5"/>
  <c r="B2" i="5"/>
  <c r="C8" i="4"/>
  <c r="C7" i="4"/>
  <c r="C6" i="4"/>
  <c r="C5" i="4"/>
  <c r="C4" i="4"/>
  <c r="E8" i="4"/>
  <c r="D8" i="4"/>
  <c r="E7" i="4"/>
  <c r="D7" i="4"/>
  <c r="E6" i="4"/>
  <c r="D6" i="4"/>
  <c r="E5" i="4"/>
  <c r="D5" i="4"/>
  <c r="E4" i="4"/>
  <c r="D4" i="4"/>
  <c r="E3" i="4"/>
  <c r="D3" i="4"/>
  <c r="K33" i="3"/>
  <c r="K27" i="3"/>
  <c r="K20" i="3"/>
  <c r="K12" i="3"/>
  <c r="D20" i="2"/>
  <c r="E6" i="1"/>
  <c r="E7" i="1"/>
  <c r="E8" i="1"/>
  <c r="E9" i="1"/>
  <c r="E10" i="1"/>
  <c r="E12" i="1"/>
  <c r="J27" i="3"/>
  <c r="J33" i="3"/>
  <c r="J31" i="3"/>
  <c r="J32" i="3"/>
  <c r="J24" i="3"/>
  <c r="J25" i="3"/>
  <c r="J26" i="3"/>
  <c r="J20" i="3"/>
  <c r="J16" i="3"/>
  <c r="J17" i="3"/>
  <c r="J18" i="3"/>
  <c r="J19" i="3"/>
  <c r="J12" i="3"/>
  <c r="J10" i="3"/>
  <c r="J11" i="3"/>
  <c r="J6" i="3"/>
  <c r="K6" i="3" s="1"/>
  <c r="J5" i="3"/>
  <c r="D13" i="1"/>
  <c r="B11" i="5" l="1"/>
  <c r="D3" i="5"/>
  <c r="D2" i="5"/>
  <c r="D10" i="5" s="1"/>
  <c r="E13" i="1"/>
  <c r="F13" i="1"/>
  <c r="B20" i="2"/>
  <c r="D11" i="5" l="1"/>
  <c r="I33" i="3"/>
  <c r="I27" i="3"/>
  <c r="I20" i="3"/>
  <c r="I31" i="3"/>
  <c r="I32" i="3"/>
  <c r="C33" i="3"/>
  <c r="I24" i="3"/>
  <c r="I25" i="3"/>
  <c r="I26" i="3"/>
  <c r="C27" i="3"/>
  <c r="I16" i="3"/>
  <c r="I17" i="3"/>
  <c r="I18" i="3"/>
  <c r="I19" i="3"/>
  <c r="C20" i="3"/>
  <c r="C12" i="3"/>
  <c r="I11" i="3"/>
  <c r="I10" i="3"/>
  <c r="I12" i="3" l="1"/>
  <c r="C6" i="3"/>
  <c r="I5" i="3"/>
  <c r="I6" i="3" s="1"/>
  <c r="C19" i="2" l="1"/>
  <c r="C18" i="2"/>
  <c r="C17" i="2"/>
  <c r="C16" i="2"/>
  <c r="C15" i="2"/>
  <c r="C14" i="2"/>
  <c r="C13" i="2"/>
  <c r="C12" i="2"/>
  <c r="C13" i="1"/>
  <c r="C20" i="2" l="1"/>
  <c r="C21" i="2" l="1"/>
</calcChain>
</file>

<file path=xl/sharedStrings.xml><?xml version="1.0" encoding="utf-8"?>
<sst xmlns="http://schemas.openxmlformats.org/spreadsheetml/2006/main" count="177" uniqueCount="48">
  <si>
    <t>It</t>
  </si>
  <si>
    <t>manual</t>
  </si>
  <si>
    <t>Total</t>
  </si>
  <si>
    <t>-</t>
  </si>
  <si>
    <t>rede2</t>
  </si>
  <si>
    <t>iteration</t>
  </si>
  <si>
    <t>tempo de anotação (m)</t>
  </si>
  <si>
    <t>img/min</t>
  </si>
  <si>
    <t>rede 1</t>
  </si>
  <si>
    <t>rede3_anodo</t>
  </si>
  <si>
    <t>imagens manuais</t>
  </si>
  <si>
    <t>Class</t>
  </si>
  <si>
    <t>Anode</t>
  </si>
  <si>
    <t>Buried</t>
  </si>
  <si>
    <t>Damage</t>
  </si>
  <si>
    <t>Flange</t>
  </si>
  <si>
    <t>Repair</t>
  </si>
  <si>
    <t>.</t>
  </si>
  <si>
    <t>it</t>
  </si>
  <si>
    <t>?</t>
  </si>
  <si>
    <t>tempo anotacao (m)</t>
  </si>
  <si>
    <t>Coluna1</t>
  </si>
  <si>
    <t>Coluna2</t>
  </si>
  <si>
    <t>Coluna3</t>
  </si>
  <si>
    <t>Coluna4</t>
  </si>
  <si>
    <t>Coluna5</t>
  </si>
  <si>
    <t>Level</t>
  </si>
  <si>
    <t>u_t (img/min)</t>
  </si>
  <si>
    <t>sigma_t (img/min)</t>
  </si>
  <si>
    <t>Coluna6</t>
  </si>
  <si>
    <t>Images</t>
  </si>
  <si>
    <t>Video</t>
  </si>
  <si>
    <t>Tempo video (min)</t>
  </si>
  <si>
    <t>Tempo anotacao (min)</t>
  </si>
  <si>
    <t>TCOpm16-140_OK/DVD-2/VTS_01_5.VOB</t>
  </si>
  <si>
    <t>FAmls16-119_OK/VTS_07_1</t>
  </si>
  <si>
    <t>GHmls16-263_OK\DVD-1\20161102023734109@DVR-SPARE_Ch1.wmv</t>
  </si>
  <si>
    <t>FSll16-224_OK\DVD-2\VTS_01_4.VOB</t>
  </si>
  <si>
    <t>Soma</t>
  </si>
  <si>
    <t>Média</t>
  </si>
  <si>
    <t>Soma Acumulada</t>
  </si>
  <si>
    <t>Contagem</t>
  </si>
  <si>
    <t>Veloc anotacao media (min/min)</t>
  </si>
  <si>
    <t>GHmls16-263_OK/DVD-1/20161101205058500@DVR-SPARE_Ch1.wmv</t>
  </si>
  <si>
    <t>GHmls16-263_OK/DVD-1/20161101215100437@DVR-SPARE_Ch1.wmv</t>
  </si>
  <si>
    <t>GHmls16-263_OK/DVD-1/20161101222101578@DVR-SPARE_Ch1.wmv</t>
  </si>
  <si>
    <t>GHmls16-263_OK/DVD-1/20161101225102250@DVR-SPARE_Ch1.wmv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</si>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</sst>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/>
    <xf numFmtId="0" fontId="0" fillId="0" borderId="2" xfId="0" applyBorder="1"/>
    <xf numFmtId="1" fontId="0" fillId="0" borderId="2" xfId="0" applyNumberFormat="1" applyBorder="1"/>
    <xf numFmtId="165" fontId="0" fillId="0" borderId="2" xfId="0" applyNumberFormat="1" applyBorder="1"/>
    <xf numFmtId="0" fontId="0" fillId="0" borderId="0" xfId="0" applyBorder="1"/>
    <xf numFmtId="1" fontId="0" fillId="0" borderId="0" xfId="0" applyNumberFormat="1" applyFont="1" applyBorder="1"/>
    <xf numFmtId="165" fontId="0" fillId="0" borderId="0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165" fontId="1" fillId="0" borderId="3" xfId="0" applyNumberFormat="1" applyFont="1" applyBorder="1"/>
    <xf numFmtId="0" fontId="1" fillId="0" borderId="4" xfId="0" applyFont="1" applyBorder="1"/>
    <xf numFmtId="165" fontId="1" fillId="0" borderId="4" xfId="0" applyNumberFormat="1" applyFont="1" applyBorder="1"/>
  </cellXfs>
  <cellStyles count="1">
    <cellStyle name="Normal" xfId="0" builtinId="0"/>
  </cellStyles>
  <dxfs count="90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%"/>
    </dxf>
    <dxf>
      <numFmt numFmtId="164" formatCode="0.0%"/>
    </dxf>
    <dxf>
      <numFmt numFmtId="164" formatCode="0.0%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164" formatCode="0.0%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0D7A92-C3B1-4E4F-9308-672DF3FE6BF9}" name="Tabela3" displayName="Tabela3" ref="A1:D10" totalsRowCount="1">
  <autoFilter ref="A1:D9" xr:uid="{C52C9E56-66E3-4B76-9C73-DD5A36BFADA6}"/>
  <tableColumns count="4">
    <tableColumn id="1" xr3:uid="{24063401-CEDB-44F1-95F1-A5796650D6D5}" name="Video" totalsRowLabel="Média"/>
    <tableColumn id="2" xr3:uid="{29330AAE-BD5F-429D-B4BD-A268A571AE0B}" name="Tempo video (min)" totalsRowFunction="average" dataDxfId="1" totalsRowDxfId="0"/>
    <tableColumn id="3" xr3:uid="{B4D8FC5C-C9B8-40B6-988C-4B6E68E351E9}" name="Tempo anotacao (min)" totalsRowFunction="average" dataDxfId="3" totalsRowDxfId="2"/>
    <tableColumn id="4" xr3:uid="{450EB327-6898-42E1-9F9C-C07045BD9757}" name="Veloc anotacao media (min/min)" totalsRowFunction="average" dataDxfId="5" totalsRowDxfId="4">
      <calculatedColumnFormula>B2/C2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E1ABF-3398-4FAB-A839-46B97A2B48AD}" name="Tabela1" displayName="Tabela1" ref="A2:D20" totalsRowCount="1">
  <autoFilter ref="A2:D19" xr:uid="{95CEC84B-E252-493B-858E-9DE9C490938E}"/>
  <tableColumns count="4">
    <tableColumn id="1" xr3:uid="{1E1ED506-1A68-4AE8-BF85-4326B710E75D}" name="iteration" totalsRowLabel="."/>
    <tableColumn id="2" xr3:uid="{B6964C40-D3E8-47A9-BAE9-4A6388A6B9EE}" name="manual" totalsRowFunction="custom" dataDxfId="53" totalsRowDxfId="52">
      <totalsRowFormula>SUM(Tabela1[manual])</totalsRowFormula>
    </tableColumn>
    <tableColumn id="4" xr3:uid="{24AE9389-4EF9-42F2-B77C-64A372A5AEDB}" name="tempo de anotação (m)" totalsRowFunction="custom" dataDxfId="89" totalsRowDxfId="51">
      <totalsRowFormula>SUM(Tabela1[tempo de anotação (m)])</totalsRowFormula>
    </tableColumn>
    <tableColumn id="3" xr3:uid="{B1110663-EC68-4B9B-8481-DD73C225AFAA}" name="Coluna1" totalsRowFunction="custom">
      <totalsRowFormula>_xlfn.STDEV.S(Tabela1[tempo de anotação (m)])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98628A-2B11-4454-A9BE-D06AEEBDFF78}" name="Tabela19" displayName="Tabela19" ref="B2:K6" totalsRowCount="1">
  <autoFilter ref="B2:K5" xr:uid="{71EB153F-8004-4046-912E-ECBAE4E26523}"/>
  <tableColumns count="10">
    <tableColumn id="1" xr3:uid="{CA396343-4F25-4CB4-A5A1-A2CA9089CE25}" name="it" totalsRowLabel="."/>
    <tableColumn id="2" xr3:uid="{B6FEF5E0-8C17-4FFB-8D39-30AB1F58E550}" name="manual" totalsRowFunction="custom" dataDxfId="88" totalsRowDxfId="50">
      <totalsRowFormula>SUM(Tabela19[manual])</totalsRowFormula>
    </tableColumn>
    <tableColumn id="7" xr3:uid="{CD776EA8-6487-4588-BE43-4D7A4A464627}" name="Coluna1" dataDxfId="87"/>
    <tableColumn id="3" xr3:uid="{08C9A2DC-5C58-421B-9C81-D52256DDD954}" name="Coluna2" dataDxfId="86" totalsRowDxfId="49"/>
    <tableColumn id="8" xr3:uid="{D757FCB4-6A88-4065-86D6-336627EABF89}" name="Coluna3" dataDxfId="85" totalsRowDxfId="48"/>
    <tableColumn id="9" xr3:uid="{65AF9171-C77F-4507-A84C-FB2F313544A1}" name="Coluna4" dataDxfId="84" totalsRowDxfId="47"/>
    <tableColumn id="10" xr3:uid="{F70FECCD-965A-4E6A-B867-F7A614F6AB38}" name="Coluna5" dataDxfId="83" totalsRowDxfId="46"/>
    <tableColumn id="4" xr3:uid="{6817ADE7-6AF0-452E-B69F-671E9D44679B}" name="tempo de anotação (m)" totalsRowFunction="custom" dataDxfId="82" totalsRowDxfId="45">
      <totalsRowFormula>SUM(Tabela19[tempo de anotação (m)])</totalsRowFormula>
    </tableColumn>
    <tableColumn id="5" xr3:uid="{AAF7CCA6-CB86-458E-9058-9431E5E47286}" name="img/min" totalsRowFunction="custom" dataDxfId="26" totalsRowDxfId="25">
      <calculatedColumnFormula>Tabela19[[#This Row],[manual]]/Tabela19[[#This Row],[tempo de anotação (m)]]</calculatedColumnFormula>
      <totalsRowFormula>MEDIAN(Tabela19[img/min])</totalsRowFormula>
    </tableColumn>
    <tableColumn id="6" xr3:uid="{7FD4F664-6EA6-4835-919B-A7B1DC9479E2}" name="Coluna6" totalsRowFunction="custom" dataDxfId="17">
      <totalsRowFormula>_xlfn.STDEV.S(Tabela19[[#Data],[#Totals],[img/min]])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2BE2A7-F482-46E1-924F-5DD94C46AD8D}" name="Tabela134753" displayName="Tabela134753" ref="B7:K12" totalsRowCount="1">
  <autoFilter ref="B7:K11" xr:uid="{60109788-B135-459F-B83D-588D0B406C9B}"/>
  <tableColumns count="10">
    <tableColumn id="1" xr3:uid="{BBAB0019-906E-4184-A7D8-4617CE339288}" name="iteration" totalsRowLabel="."/>
    <tableColumn id="2" xr3:uid="{6885BE3C-CD60-443B-BFCE-0F8FA4B5B050}" name="manual" totalsRowFunction="custom" dataDxfId="81" totalsRowDxfId="15">
      <totalsRowFormula>SUM(Tabela134753[manual])</totalsRowFormula>
    </tableColumn>
    <tableColumn id="12" xr3:uid="{8469E117-8536-4E73-83E8-450CFADE19F0}" name="Coluna1" dataDxfId="80"/>
    <tableColumn id="3" xr3:uid="{6B85D22E-D0A0-4331-BF87-1256D3B36D80}" name="Coluna2" dataDxfId="79" totalsRowDxfId="14"/>
    <tableColumn id="4" xr3:uid="{F984EAB2-A890-45CD-8513-1038839C8447}" name="Coluna3" dataDxfId="78" totalsRowDxfId="13"/>
    <tableColumn id="13" xr3:uid="{D7CAA98B-8496-4EFF-AA92-0AD62148DC9A}" name="Coluna4" dataDxfId="77" totalsRowDxfId="12"/>
    <tableColumn id="7" xr3:uid="{1D28B27F-AC4F-4683-B016-C25C44CA3A13}" name="Coluna5" dataDxfId="76" totalsRowDxfId="11"/>
    <tableColumn id="8" xr3:uid="{AF590393-1A89-4E7B-B255-2578B3826AD0}" name="tempo de anotação (m)" totalsRowFunction="custom" dataDxfId="75" totalsRowDxfId="10">
      <totalsRowFormula>SUM(Tabela134753[tempo de anotação (m)])</totalsRowFormula>
    </tableColumn>
    <tableColumn id="5" xr3:uid="{19A2AE5B-00B8-45CA-A66C-817393E5C4B6}" name="img/min" totalsRowFunction="custom" dataDxfId="24" totalsRowDxfId="9">
      <calculatedColumnFormula>Tabela134753[[#This Row],[manual]]/Tabela134753[[#This Row],[tempo de anotação (m)]]</calculatedColumnFormula>
      <totalsRowFormula>MEDIAN(Tabela134753[img/min])</totalsRowFormula>
    </tableColumn>
    <tableColumn id="6" xr3:uid="{017C5C21-ADF9-4BD4-8EA0-0D6DFAD0147E}" name="Coluna6" totalsRowFunction="custom" dataDxfId="16">
      <totalsRowFormula>_xlfn.STDEV.S(Tabela134753[img/min])</totalsRow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FB52B7-9E45-451E-A0A0-60935E3387AA}" name="Tabela134" displayName="Tabela134" ref="B13:K20" totalsRowCount="1">
  <autoFilter ref="B13:K19" xr:uid="{DD970305-E2DB-44FF-8DBD-7EF267A0648D}"/>
  <tableColumns count="10">
    <tableColumn id="1" xr3:uid="{C8EE00A1-EAD4-443D-B5E8-9138184837ED}" name="iteration" totalsRowLabel="."/>
    <tableColumn id="2" xr3:uid="{8FBD5F81-411A-4CB1-9411-9463A37172AD}" name="imagens manuais" totalsRowFunction="custom" dataDxfId="74" totalsRowDxfId="44">
      <totalsRowFormula>SUM(Tabela134[imagens manuais])</totalsRowFormula>
    </tableColumn>
    <tableColumn id="7" xr3:uid="{18F1EF93-CE88-4358-B9DA-970073705497}" name="Coluna1" dataDxfId="73"/>
    <tableColumn id="3" xr3:uid="{2ACC9E1B-AA54-4EF5-87C1-C452746A4615}" name="Coluna2" dataDxfId="72" totalsRowDxfId="43"/>
    <tableColumn id="8" xr3:uid="{186E1B62-C293-4C99-93CA-ED9588ACC971}" name="Coluna3" dataDxfId="71" totalsRowDxfId="42"/>
    <tableColumn id="9" xr3:uid="{73A24166-3EFD-4B03-83D2-FDAF2BCDB0D2}" name="Coluna4" dataDxfId="70" totalsRowDxfId="41"/>
    <tableColumn id="10" xr3:uid="{144B9441-7110-4AA3-ADC2-8A23243A543A}" name="Coluna5" dataDxfId="69" totalsRowDxfId="40"/>
    <tableColumn id="4" xr3:uid="{65F1079D-6787-4F21-95A6-3178709870D0}" name="tempo de anotação (m)" totalsRowFunction="custom" dataDxfId="68" totalsRowDxfId="39">
      <totalsRowFormula>SUM(Tabela134[tempo de anotação (m)])</totalsRowFormula>
    </tableColumn>
    <tableColumn id="5" xr3:uid="{C54F1C9F-9FEE-4FD5-B08E-8C13310501C5}" name="img/min" totalsRowFunction="custom" dataDxfId="23" totalsRowDxfId="22">
      <calculatedColumnFormula>Tabela134[[#This Row],[imagens manuais]]/Tabela134[[#This Row],[tempo de anotação (m)]]</calculatedColumnFormula>
      <totalsRowFormula>MEDIAN(Tabela134[img/min])</totalsRowFormula>
    </tableColumn>
    <tableColumn id="6" xr3:uid="{1DC31D7F-8C5D-4B4E-B936-0CA8498D16F5}" name="Coluna6" totalsRowFunction="custom" dataDxfId="8">
      <totalsRowFormula>_xlfn.STDEV.S(Tabela134[img/min])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3B8E76-CE60-4687-85AD-4EA0A06DF58F}" name="Tabela1346" displayName="Tabela1346" ref="B21:K27" totalsRowCount="1">
  <autoFilter ref="B21:K26" xr:uid="{20E1078E-9096-4B13-8A96-95B6651F894C}"/>
  <tableColumns count="10">
    <tableColumn id="1" xr3:uid="{3BFD7ACB-485F-4FCC-90B9-2E3591193B7E}" name="iteration" totalsRowLabel="."/>
    <tableColumn id="2" xr3:uid="{A288C998-EA8F-4C28-85AD-A8751E6CF5C6}" name="imagens manuais" totalsRowFunction="custom" dataDxfId="67" totalsRowDxfId="32">
      <totalsRowFormula>SUM(Tabela1346[imagens manuais])</totalsRowFormula>
    </tableColumn>
    <tableColumn id="7" xr3:uid="{54BC1442-F5CC-4E65-9F0B-0185CD52480E}" name="Coluna1" dataDxfId="66"/>
    <tableColumn id="3" xr3:uid="{F1876EE3-84C3-4193-B409-F982C2A70009}" name="Coluna2" dataDxfId="65" totalsRowDxfId="31"/>
    <tableColumn id="8" xr3:uid="{F0CB262D-B105-4BF3-832F-D2F6D8083E40}" name="Coluna3" dataDxfId="64" totalsRowDxfId="30"/>
    <tableColumn id="9" xr3:uid="{7EAC52D8-1C9B-46EB-95C2-C01AF5A90377}" name="Coluna4" dataDxfId="63" totalsRowDxfId="29"/>
    <tableColumn id="10" xr3:uid="{DE10610D-88DA-420C-8E7B-94C984F42201}" name="Coluna5" dataDxfId="62" totalsRowDxfId="28"/>
    <tableColumn id="4" xr3:uid="{F09E7A04-1A0F-40AB-99E6-2D3636399CE7}" name="tempo de anotação (m)" totalsRowFunction="custom" dataDxfId="61" totalsRowDxfId="27">
      <totalsRowFormula>SUM(Tabela1346[[#Headers],[#Data],[tempo de anotação (m)]])</totalsRowFormula>
    </tableColumn>
    <tableColumn id="5" xr3:uid="{73B3CD86-CF29-4F49-8A09-304A39DC86BF}" name="img/min" totalsRowFunction="custom" dataDxfId="21" totalsRowDxfId="20">
      <calculatedColumnFormula>Tabela1346[[#This Row],[imagens manuais]]/Tabela1346[[#This Row],[tempo de anotação (m)]]</calculatedColumnFormula>
      <totalsRowFormula>MEDIAN(Tabela1346[[#Headers],[#Data],[img/min]])</totalsRowFormula>
    </tableColumn>
    <tableColumn id="6" xr3:uid="{A8A74C96-89BC-40AD-A320-584F8AF324D0}" name="Coluna6" totalsRowFunction="custom" dataDxfId="7">
      <totalsRowFormula>_xlfn.STDEV.S(Tabela1346[img/min])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30FBB7-B8B0-4FE8-8572-A5798FA8DCAD}" name="Tabela1347" displayName="Tabela1347" ref="B28:K33" totalsRowCount="1">
  <autoFilter ref="B28:K32" xr:uid="{BC43D5E2-5097-460E-BA77-B393A92CE86F}"/>
  <tableColumns count="10">
    <tableColumn id="1" xr3:uid="{FFB8DE13-150A-4BD8-9538-8FD6DD571B6D}" name="iteration" totalsRowLabel="."/>
    <tableColumn id="2" xr3:uid="{56D8DC3E-138A-4D3F-B61E-F8876CDFF91A}" name="imagens manuais" totalsRowFunction="custom" dataDxfId="60" totalsRowDxfId="38">
      <totalsRowFormula>SUM(Tabela1347[imagens manuais])</totalsRowFormula>
    </tableColumn>
    <tableColumn id="7" xr3:uid="{3A2B5B25-F952-43E1-B7ED-EC51A2EE002A}" name="Coluna1" dataDxfId="59"/>
    <tableColumn id="3" xr3:uid="{3777FF3A-4FD0-4F3C-BE3E-E05A4344F632}" name="Coluna2" dataDxfId="58" totalsRowDxfId="37"/>
    <tableColumn id="8" xr3:uid="{3B7869F3-5144-42C8-8438-734065FDC89A}" name="Coluna3" dataDxfId="57" totalsRowDxfId="36"/>
    <tableColumn id="9" xr3:uid="{18D89CCB-F233-4BA2-8F04-8486EC9DDF19}" name="Coluna4" dataDxfId="56" totalsRowDxfId="35"/>
    <tableColumn id="10" xr3:uid="{B3EE4710-5D67-4A70-8B28-67AF678DE07C}" name="Coluna5" dataDxfId="55" totalsRowDxfId="34"/>
    <tableColumn id="4" xr3:uid="{F1CFD973-0C6A-4718-A567-3820C6C59CF4}" name="tempo de anotação (m)" totalsRowFunction="custom" dataDxfId="54" totalsRowDxfId="33">
      <totalsRowFormula>SUM(Tabela1347[[#Headers],[#Data],[tempo de anotação (m)]])</totalsRowFormula>
    </tableColumn>
    <tableColumn id="5" xr3:uid="{038ED53C-E4E9-4573-BED5-EA434F363958}" name="img/min" totalsRowFunction="custom" dataDxfId="19" totalsRowDxfId="18">
      <calculatedColumnFormula>Tabela1347[[#This Row],[imagens manuais]]/Tabela1347[[#This Row],[tempo de anotação (m)]]</calculatedColumnFormula>
      <totalsRowFormula>MEDIAN(Tabela1347[img/min])</totalsRowFormula>
    </tableColumn>
    <tableColumn id="6" xr3:uid="{9BC8283C-E6B1-4D62-9E65-4C69B7F15E9B}" name="Coluna6" totalsRowFunction="custom" dataDxfId="6">
      <totalsRowFormula>_xlfn.STDEV.S(Tabela1347[img/min])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BAA0-0C9D-4AAB-AC1D-4C9A6C7A4A73}">
  <dimension ref="A1:E9"/>
  <sheetViews>
    <sheetView tabSelected="1" workbookViewId="0">
      <selection activeCell="C10" sqref="C10"/>
    </sheetView>
  </sheetViews>
  <sheetFormatPr defaultRowHeight="14.5" x14ac:dyDescent="0.35"/>
  <cols>
    <col min="4" max="4" width="12.36328125" bestFit="1" customWidth="1"/>
    <col min="5" max="5" width="16.1796875" bestFit="1" customWidth="1"/>
  </cols>
  <sheetData>
    <row r="1" spans="1:5" x14ac:dyDescent="0.35">
      <c r="A1" s="2" t="s">
        <v>26</v>
      </c>
      <c r="B1" s="2" t="s">
        <v>11</v>
      </c>
      <c r="C1" s="2" t="s">
        <v>30</v>
      </c>
      <c r="D1" s="2" t="s">
        <v>27</v>
      </c>
      <c r="E1" s="2" t="s">
        <v>28</v>
      </c>
    </row>
    <row r="2" spans="1:5" x14ac:dyDescent="0.35">
      <c r="A2" s="19">
        <v>1</v>
      </c>
      <c r="B2" s="13" t="s">
        <v>3</v>
      </c>
      <c r="C2" s="14">
        <v>10016</v>
      </c>
      <c r="D2" s="15">
        <v>20</v>
      </c>
      <c r="E2" s="15">
        <v>7.1849287861053979</v>
      </c>
    </row>
    <row r="3" spans="1:5" x14ac:dyDescent="0.35">
      <c r="A3" s="20">
        <v>2</v>
      </c>
      <c r="B3" s="16" t="s">
        <v>3</v>
      </c>
      <c r="C3" s="17">
        <f>Tabela1[[#Totals],[manual]]-'Rede 2'!B4</f>
        <v>6781</v>
      </c>
      <c r="D3" s="18">
        <f>SUM(Tabela1[tempo de anotação (m)])</f>
        <v>116.63333333333333</v>
      </c>
      <c r="E3" s="18">
        <f>_xlfn.STDEV.S(Tabela1[tempo de anotação (m)])</f>
        <v>18.686438167303887</v>
      </c>
    </row>
    <row r="4" spans="1:5" x14ac:dyDescent="0.35">
      <c r="A4" s="21">
        <v>3</v>
      </c>
      <c r="B4" s="16" t="s">
        <v>12</v>
      </c>
      <c r="C4" s="17">
        <f>Tabela19[[#Totals],[manual]]-'Rede 3'!E1</f>
        <v>680</v>
      </c>
      <c r="D4" s="18">
        <f>MEDIAN(Tabela19[img/min])</f>
        <v>69.035532994923855</v>
      </c>
      <c r="E4" s="18">
        <f>_xlfn.STDEV.S(Tabela19[[#Data],[#Totals],[img/min]])</f>
        <v>0</v>
      </c>
    </row>
    <row r="5" spans="1:5" x14ac:dyDescent="0.35">
      <c r="A5" s="21"/>
      <c r="B5" s="16" t="s">
        <v>13</v>
      </c>
      <c r="C5" s="17">
        <f>Tabela134753[[#Totals],[manual]]-'Rede 3'!E1</f>
        <v>2239</v>
      </c>
      <c r="D5" s="18">
        <f>MEDIAN(Tabela134753[img/min])</f>
        <v>46.322658868839596</v>
      </c>
      <c r="E5" s="18">
        <f>_xlfn.STDEV.S(Tabela134753[img/min])</f>
        <v>25.104030635406868</v>
      </c>
    </row>
    <row r="6" spans="1:5" x14ac:dyDescent="0.35">
      <c r="A6" s="21"/>
      <c r="B6" s="16" t="s">
        <v>14</v>
      </c>
      <c r="C6" s="17">
        <f>Tabela134[[#Totals],[imagens manuais]]-'Rede 3'!E1</f>
        <v>3517</v>
      </c>
      <c r="D6" s="18">
        <f>MEDIAN(Tabela134[img/min])</f>
        <v>53.687707641196013</v>
      </c>
      <c r="E6" s="18">
        <f>_xlfn.STDEV.S(Tabela134[img/min])</f>
        <v>55.315899387722489</v>
      </c>
    </row>
    <row r="7" spans="1:5" x14ac:dyDescent="0.35">
      <c r="A7" s="21"/>
      <c r="B7" s="16" t="s">
        <v>15</v>
      </c>
      <c r="C7" s="17">
        <f>Tabela1346[[#Totals],[imagens manuais]]-'Rede 3'!E1</f>
        <v>2733</v>
      </c>
      <c r="D7" s="18">
        <f>MEDIAN(Tabela1346[[#Headers],[#Data],[img/min]])</f>
        <v>72.289156626506028</v>
      </c>
      <c r="E7" s="18">
        <f>_xlfn.STDEV.S(Tabela1346[img/min])</f>
        <v>38.517519791110431</v>
      </c>
    </row>
    <row r="8" spans="1:5" x14ac:dyDescent="0.35">
      <c r="A8" s="21"/>
      <c r="B8" s="16" t="s">
        <v>16</v>
      </c>
      <c r="C8" s="17">
        <f>Tabela1347[[#Totals],[imagens manuais]]-'Rede 3'!E1</f>
        <v>2706</v>
      </c>
      <c r="D8" s="18">
        <f>MEDIAN(Tabela1347[img/min])</f>
        <v>53.31716710648314</v>
      </c>
      <c r="E8" s="18">
        <f>_xlfn.STDEV.S(Tabela1347[img/min])</f>
        <v>34.995759047212687</v>
      </c>
    </row>
    <row r="9" spans="1:5" x14ac:dyDescent="0.35">
      <c r="A9" t="s">
        <v>2</v>
      </c>
      <c r="C9" s="11"/>
      <c r="D9" s="8">
        <f>MEDIAN('Rede 1'!E6:E12,'Rede 2'!C6:C19,'Rede 3'!I24:I26,'Rede 3'!I31:I32,'Rede 3'!I16:I19,'Rede 3'!I5,'Rede 3'!I10:I11)</f>
        <v>5.25</v>
      </c>
      <c r="E9" s="8">
        <f>_xlfn.STDEV.S('Rede 1'!E6:E12,'Rede 2'!C6:C19,'Rede 3'!I24:I26,'Rede 3'!I31:I32,'Rede 3'!I16:I19,'Rede 3'!I5,'Rede 3'!I10:I11)</f>
        <v>14.88164574955792</v>
      </c>
    </row>
  </sheetData>
  <mergeCells count="1">
    <mergeCell ref="A4:A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F91D-4FDB-41C3-A8DF-39D44F9BBAC4}">
  <dimension ref="A1:D12"/>
  <sheetViews>
    <sheetView workbookViewId="0">
      <selection activeCell="H16" sqref="H16"/>
    </sheetView>
  </sheetViews>
  <sheetFormatPr defaultRowHeight="14.5" x14ac:dyDescent="0.35"/>
  <cols>
    <col min="1" max="1" width="60.08984375" bestFit="1" customWidth="1"/>
    <col min="2" max="2" width="18.54296875" customWidth="1"/>
    <col min="3" max="3" width="21.7265625" customWidth="1"/>
    <col min="4" max="4" width="30.81640625" bestFit="1" customWidth="1"/>
  </cols>
  <sheetData>
    <row r="1" spans="1:4" x14ac:dyDescent="0.35">
      <c r="A1" t="s">
        <v>31</v>
      </c>
      <c r="B1" t="s">
        <v>32</v>
      </c>
      <c r="C1" t="s">
        <v>33</v>
      </c>
      <c r="D1" t="s">
        <v>42</v>
      </c>
    </row>
    <row r="2" spans="1:4" x14ac:dyDescent="0.35">
      <c r="A2" t="s">
        <v>34</v>
      </c>
      <c r="B2" s="12">
        <f>54+12/60</f>
        <v>54.2</v>
      </c>
      <c r="C2" s="12">
        <f>10/60</f>
        <v>0.16666666666666666</v>
      </c>
      <c r="D2" s="12">
        <f>B2/C2</f>
        <v>325.20000000000005</v>
      </c>
    </row>
    <row r="3" spans="1:4" x14ac:dyDescent="0.35">
      <c r="A3" t="s">
        <v>35</v>
      </c>
      <c r="B3" s="12">
        <f>24+22/60</f>
        <v>24.366666666666667</v>
      </c>
      <c r="C3" s="12">
        <f>5/60</f>
        <v>8.3333333333333329E-2</v>
      </c>
      <c r="D3" s="12">
        <f t="shared" ref="D3:D5" si="0">B3/C3</f>
        <v>292.40000000000003</v>
      </c>
    </row>
    <row r="4" spans="1:4" x14ac:dyDescent="0.35">
      <c r="A4" t="s">
        <v>36</v>
      </c>
      <c r="B4" s="12">
        <v>30</v>
      </c>
      <c r="C4" s="12">
        <v>14</v>
      </c>
      <c r="D4" s="12">
        <f t="shared" si="0"/>
        <v>2.1428571428571428</v>
      </c>
    </row>
    <row r="5" spans="1:4" x14ac:dyDescent="0.35">
      <c r="A5" t="s">
        <v>37</v>
      </c>
      <c r="B5" s="12">
        <f>24+45/60</f>
        <v>24.75</v>
      </c>
      <c r="C5" s="12">
        <v>4</v>
      </c>
      <c r="D5" s="12">
        <f t="shared" si="0"/>
        <v>6.1875</v>
      </c>
    </row>
    <row r="6" spans="1:4" x14ac:dyDescent="0.35">
      <c r="A6" t="s">
        <v>43</v>
      </c>
      <c r="B6" s="12">
        <v>30</v>
      </c>
      <c r="C6" s="12">
        <v>37</v>
      </c>
      <c r="D6" s="12">
        <f>B6/C6</f>
        <v>0.81081081081081086</v>
      </c>
    </row>
    <row r="7" spans="1:4" x14ac:dyDescent="0.35">
      <c r="A7" t="s">
        <v>44</v>
      </c>
      <c r="B7" s="12">
        <v>30</v>
      </c>
      <c r="C7" s="12">
        <v>15</v>
      </c>
      <c r="D7" s="12">
        <f>B7/C7</f>
        <v>2</v>
      </c>
    </row>
    <row r="8" spans="1:4" x14ac:dyDescent="0.35">
      <c r="A8" t="s">
        <v>45</v>
      </c>
      <c r="B8" s="12">
        <v>30</v>
      </c>
      <c r="C8" s="12">
        <v>20</v>
      </c>
      <c r="D8" s="12">
        <f>B8/C8</f>
        <v>1.5</v>
      </c>
    </row>
    <row r="9" spans="1:4" x14ac:dyDescent="0.35">
      <c r="A9" t="s">
        <v>46</v>
      </c>
      <c r="B9" s="12">
        <v>30</v>
      </c>
      <c r="C9" s="12">
        <v>15</v>
      </c>
      <c r="D9" s="12">
        <f>B9/C9</f>
        <v>2</v>
      </c>
    </row>
    <row r="10" spans="1:4" x14ac:dyDescent="0.35">
      <c r="A10" t="s">
        <v>39</v>
      </c>
      <c r="B10" s="12">
        <f>SUBTOTAL(101,Tabela3[Tempo video (min)])</f>
        <v>31.664583333333333</v>
      </c>
      <c r="C10" s="12">
        <f>SUBTOTAL(101,Tabela3[Tempo anotacao (min)])</f>
        <v>13.15625</v>
      </c>
      <c r="D10" s="12">
        <f>SUBTOTAL(101,Tabela3[Veloc anotacao media (min/min)])</f>
        <v>79.03014599420851</v>
      </c>
    </row>
    <row r="11" spans="1:4" x14ac:dyDescent="0.35">
      <c r="A11" s="22" t="s">
        <v>47</v>
      </c>
      <c r="B11" s="23">
        <f>_xlfn.STDEV.S(Tabela3[Tempo video (min)])</f>
        <v>9.4322413868266395</v>
      </c>
      <c r="C11" s="23">
        <f>_xlfn.STDEV.S(Tabela3[Tempo anotacao (min)])</f>
        <v>12.226081078241958</v>
      </c>
      <c r="D11" s="23">
        <f>_xlfn.STDEV.S(Tabela3[Veloc anotacao media (min/min)])</f>
        <v>142.09678422028739</v>
      </c>
    </row>
    <row r="12" spans="1:4" x14ac:dyDescent="0.35">
      <c r="A12" s="24" t="s">
        <v>38</v>
      </c>
      <c r="B12" s="25">
        <f>SUM(Tabela3[Tempo video (min)])</f>
        <v>253.31666666666666</v>
      </c>
      <c r="C12" s="25">
        <f>SUM(Tabela3[Tempo anotacao (min)])</f>
        <v>105.25</v>
      </c>
      <c r="D12" s="25">
        <f>SUM(Tabela3[Veloc anotacao media (min/min)])</f>
        <v>632.24116795366808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topLeftCell="B1" workbookViewId="0">
      <selection activeCell="H14" sqref="H14"/>
    </sheetView>
  </sheetViews>
  <sheetFormatPr defaultRowHeight="14.5" x14ac:dyDescent="0.35"/>
  <cols>
    <col min="2" max="2" width="6.08984375" bestFit="1" customWidth="1"/>
    <col min="3" max="3" width="7.08984375" bestFit="1" customWidth="1"/>
    <col min="4" max="4" width="7.81640625" customWidth="1"/>
    <col min="10" max="10" width="12.36328125" bestFit="1" customWidth="1"/>
  </cols>
  <sheetData>
    <row r="1" spans="2:6" x14ac:dyDescent="0.35">
      <c r="B1" t="s">
        <v>8</v>
      </c>
    </row>
    <row r="2" spans="2:6" x14ac:dyDescent="0.35">
      <c r="B2" s="1" t="s">
        <v>0</v>
      </c>
      <c r="C2" s="1" t="s">
        <v>1</v>
      </c>
      <c r="D2" s="2" t="s">
        <v>20</v>
      </c>
      <c r="E2" s="2" t="s">
        <v>7</v>
      </c>
    </row>
    <row r="3" spans="2:6" x14ac:dyDescent="0.35">
      <c r="B3" s="3">
        <v>0</v>
      </c>
      <c r="C3" s="4">
        <v>0</v>
      </c>
      <c r="D3" s="10" t="s">
        <v>3</v>
      </c>
    </row>
    <row r="4" spans="2:6" x14ac:dyDescent="0.35">
      <c r="B4" s="5">
        <v>1</v>
      </c>
      <c r="C4">
        <v>4675</v>
      </c>
      <c r="D4" s="10" t="s">
        <v>3</v>
      </c>
    </row>
    <row r="5" spans="2:6" x14ac:dyDescent="0.35">
      <c r="B5" s="3">
        <v>2</v>
      </c>
      <c r="C5" s="4">
        <v>440</v>
      </c>
      <c r="D5" s="10" t="s">
        <v>19</v>
      </c>
    </row>
    <row r="6" spans="2:6" x14ac:dyDescent="0.35">
      <c r="B6" s="5">
        <v>3</v>
      </c>
      <c r="C6">
        <v>269</v>
      </c>
      <c r="D6">
        <v>17</v>
      </c>
      <c r="E6">
        <f>C6/D6</f>
        <v>15.823529411764707</v>
      </c>
    </row>
    <row r="7" spans="2:6" x14ac:dyDescent="0.35">
      <c r="B7" s="3">
        <v>4</v>
      </c>
      <c r="C7" s="4">
        <v>193</v>
      </c>
      <c r="D7">
        <v>9</v>
      </c>
      <c r="E7">
        <f>C7/D7</f>
        <v>21.444444444444443</v>
      </c>
    </row>
    <row r="8" spans="2:6" x14ac:dyDescent="0.35">
      <c r="B8" s="5">
        <v>5</v>
      </c>
      <c r="C8">
        <v>108</v>
      </c>
      <c r="D8">
        <v>6</v>
      </c>
      <c r="E8">
        <f>C8/D8</f>
        <v>18</v>
      </c>
    </row>
    <row r="9" spans="2:6" x14ac:dyDescent="0.35">
      <c r="B9" s="3">
        <v>6</v>
      </c>
      <c r="C9" s="4">
        <v>100</v>
      </c>
      <c r="D9">
        <v>5</v>
      </c>
      <c r="E9">
        <f>C9/D9</f>
        <v>20</v>
      </c>
    </row>
    <row r="10" spans="2:6" x14ac:dyDescent="0.35">
      <c r="B10" s="5">
        <v>7</v>
      </c>
      <c r="C10">
        <v>100</v>
      </c>
      <c r="D10">
        <v>5</v>
      </c>
      <c r="E10">
        <f>C10/D10</f>
        <v>20</v>
      </c>
    </row>
    <row r="11" spans="2:6" x14ac:dyDescent="0.35">
      <c r="B11" s="3">
        <v>8</v>
      </c>
      <c r="C11" s="4">
        <v>100</v>
      </c>
      <c r="D11" s="10" t="s">
        <v>19</v>
      </c>
    </row>
    <row r="12" spans="2:6" x14ac:dyDescent="0.35">
      <c r="B12" s="5">
        <v>9</v>
      </c>
      <c r="C12">
        <v>4031</v>
      </c>
      <c r="D12">
        <v>112</v>
      </c>
      <c r="E12">
        <f>C12/D12</f>
        <v>35.991071428571431</v>
      </c>
    </row>
    <row r="13" spans="2:6" x14ac:dyDescent="0.35">
      <c r="B13" s="1" t="s">
        <v>2</v>
      </c>
      <c r="C13" s="1">
        <f>SUM(C4:C12)</f>
        <v>10016</v>
      </c>
      <c r="D13">
        <f>SUM(D3:D12)</f>
        <v>154</v>
      </c>
      <c r="E13">
        <f>MEDIAN(E2:E12)</f>
        <v>20</v>
      </c>
      <c r="F13">
        <f>_xlfn.STDEV.S(E3:E12)</f>
        <v>7.1849287861053979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07B9-8C69-45D4-A7BD-078D9101654B}">
  <dimension ref="A1:D22"/>
  <sheetViews>
    <sheetView workbookViewId="0">
      <selection activeCell="C19" sqref="C19"/>
    </sheetView>
  </sheetViews>
  <sheetFormatPr defaultRowHeight="14.5" x14ac:dyDescent="0.35"/>
  <cols>
    <col min="1" max="1" width="10.36328125" bestFit="1" customWidth="1"/>
    <col min="2" max="2" width="9.36328125" bestFit="1" customWidth="1"/>
    <col min="3" max="3" width="23" bestFit="1" customWidth="1"/>
  </cols>
  <sheetData>
    <row r="1" spans="1:4" x14ac:dyDescent="0.35">
      <c r="A1" t="s">
        <v>4</v>
      </c>
    </row>
    <row r="2" spans="1:4" x14ac:dyDescent="0.35">
      <c r="A2" t="s">
        <v>5</v>
      </c>
      <c r="B2" t="s">
        <v>1</v>
      </c>
      <c r="C2" t="s">
        <v>6</v>
      </c>
      <c r="D2" t="s">
        <v>21</v>
      </c>
    </row>
    <row r="3" spans="1:4" x14ac:dyDescent="0.35">
      <c r="A3">
        <v>0</v>
      </c>
      <c r="B3" s="6">
        <v>0</v>
      </c>
      <c r="C3" s="7" t="s">
        <v>3</v>
      </c>
    </row>
    <row r="4" spans="1:4" x14ac:dyDescent="0.35">
      <c r="A4">
        <v>1</v>
      </c>
      <c r="B4" s="6">
        <v>7755</v>
      </c>
      <c r="C4" s="7" t="s">
        <v>3</v>
      </c>
    </row>
    <row r="5" spans="1:4" x14ac:dyDescent="0.35">
      <c r="A5">
        <v>2</v>
      </c>
      <c r="B5" s="6">
        <v>462</v>
      </c>
      <c r="C5" s="8" t="s">
        <v>19</v>
      </c>
    </row>
    <row r="6" spans="1:4" x14ac:dyDescent="0.35">
      <c r="A6">
        <v>3</v>
      </c>
      <c r="B6" s="6">
        <v>397</v>
      </c>
      <c r="C6" s="8">
        <v>13.6</v>
      </c>
    </row>
    <row r="7" spans="1:4" x14ac:dyDescent="0.35">
      <c r="A7">
        <v>4</v>
      </c>
      <c r="B7" s="6">
        <v>338</v>
      </c>
      <c r="C7" s="8">
        <v>8</v>
      </c>
    </row>
    <row r="8" spans="1:4" x14ac:dyDescent="0.35">
      <c r="A8">
        <v>5</v>
      </c>
      <c r="B8" s="6">
        <v>241</v>
      </c>
      <c r="C8" s="8">
        <v>7</v>
      </c>
    </row>
    <row r="9" spans="1:4" x14ac:dyDescent="0.35">
      <c r="A9">
        <v>6</v>
      </c>
      <c r="B9" s="6">
        <v>193</v>
      </c>
      <c r="C9" s="8" t="s">
        <v>19</v>
      </c>
    </row>
    <row r="10" spans="1:4" x14ac:dyDescent="0.35">
      <c r="A10">
        <v>7</v>
      </c>
      <c r="B10" s="6">
        <v>151</v>
      </c>
      <c r="C10" s="8">
        <v>3</v>
      </c>
    </row>
    <row r="11" spans="1:4" x14ac:dyDescent="0.35">
      <c r="A11">
        <v>8</v>
      </c>
      <c r="B11" s="6">
        <v>130</v>
      </c>
      <c r="C11" s="8" t="s">
        <v>19</v>
      </c>
    </row>
    <row r="12" spans="1:4" x14ac:dyDescent="0.35">
      <c r="A12">
        <v>9</v>
      </c>
      <c r="B12" s="6">
        <v>112</v>
      </c>
      <c r="C12" s="8">
        <f>2+20/60</f>
        <v>2.3333333333333335</v>
      </c>
    </row>
    <row r="13" spans="1:4" x14ac:dyDescent="0.35">
      <c r="A13">
        <v>10</v>
      </c>
      <c r="B13" s="6">
        <v>100</v>
      </c>
      <c r="C13" s="8">
        <f>3+11/60</f>
        <v>3.1833333333333331</v>
      </c>
    </row>
    <row r="14" spans="1:4" x14ac:dyDescent="0.35">
      <c r="A14">
        <v>11</v>
      </c>
      <c r="B14" s="6">
        <v>100</v>
      </c>
      <c r="C14" s="8">
        <f>1+37/60</f>
        <v>1.6166666666666667</v>
      </c>
    </row>
    <row r="15" spans="1:4" x14ac:dyDescent="0.35">
      <c r="A15">
        <v>12</v>
      </c>
      <c r="B15" s="6">
        <v>100</v>
      </c>
      <c r="C15" s="8">
        <f>3+9/60</f>
        <v>3.15</v>
      </c>
    </row>
    <row r="16" spans="1:4" x14ac:dyDescent="0.35">
      <c r="A16">
        <v>13</v>
      </c>
      <c r="B16" s="6">
        <v>100</v>
      </c>
      <c r="C16" s="8">
        <f>1+47/60</f>
        <v>1.7833333333333332</v>
      </c>
    </row>
    <row r="17" spans="1:4" x14ac:dyDescent="0.35">
      <c r="A17">
        <v>14</v>
      </c>
      <c r="B17" s="6">
        <v>100</v>
      </c>
      <c r="C17" s="8">
        <f>2+21/60</f>
        <v>2.35</v>
      </c>
    </row>
    <row r="18" spans="1:4" x14ac:dyDescent="0.35">
      <c r="A18">
        <v>15</v>
      </c>
      <c r="B18" s="6">
        <v>100</v>
      </c>
      <c r="C18" s="8">
        <f>2+37/60</f>
        <v>2.6166666666666667</v>
      </c>
    </row>
    <row r="19" spans="1:4" x14ac:dyDescent="0.35">
      <c r="A19">
        <v>16</v>
      </c>
      <c r="B19" s="6">
        <v>4157</v>
      </c>
      <c r="C19" s="8">
        <f>68</f>
        <v>68</v>
      </c>
    </row>
    <row r="20" spans="1:4" x14ac:dyDescent="0.35">
      <c r="A20" t="s">
        <v>17</v>
      </c>
      <c r="B20" s="6">
        <f>SUM(Tabela1[manual])</f>
        <v>14536</v>
      </c>
      <c r="C20" s="8">
        <f>SUM(Tabela1[tempo de anotação (m)])</f>
        <v>116.63333333333333</v>
      </c>
      <c r="D20">
        <f>_xlfn.STDEV.S(Tabela1[tempo de anotação (m)])</f>
        <v>18.686438167303887</v>
      </c>
    </row>
    <row r="21" spans="1:4" x14ac:dyDescent="0.35">
      <c r="C21" s="8">
        <f>SUM(B5:B19)/Tabela1[[#Totals],[tempo de anotação (m)]]</f>
        <v>58.139468419548443</v>
      </c>
      <c r="D21" t="s">
        <v>7</v>
      </c>
    </row>
    <row r="22" spans="1:4" x14ac:dyDescent="0.35">
      <c r="C22" s="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C809-6DAF-436E-AB85-CCFE227EDE6E}">
  <dimension ref="A1:K33"/>
  <sheetViews>
    <sheetView workbookViewId="0">
      <selection activeCell="E2" sqref="E2"/>
    </sheetView>
  </sheetViews>
  <sheetFormatPr defaultRowHeight="14.5" x14ac:dyDescent="0.35"/>
  <cols>
    <col min="9" max="9" width="23" bestFit="1" customWidth="1"/>
    <col min="10" max="10" width="10.08984375" style="8" bestFit="1" customWidth="1"/>
    <col min="50" max="50" width="23" bestFit="1" customWidth="1"/>
  </cols>
  <sheetData>
    <row r="1" spans="1:11" x14ac:dyDescent="0.35">
      <c r="B1" t="s">
        <v>9</v>
      </c>
      <c r="E1">
        <v>7119</v>
      </c>
    </row>
    <row r="2" spans="1:11" x14ac:dyDescent="0.35">
      <c r="A2" t="s">
        <v>11</v>
      </c>
      <c r="B2" t="s">
        <v>18</v>
      </c>
      <c r="C2" t="s">
        <v>1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6</v>
      </c>
      <c r="J2" s="8" t="s">
        <v>7</v>
      </c>
      <c r="K2" t="s">
        <v>29</v>
      </c>
    </row>
    <row r="3" spans="1:11" x14ac:dyDescent="0.35">
      <c r="A3" t="s">
        <v>12</v>
      </c>
      <c r="B3">
        <v>0</v>
      </c>
      <c r="C3" s="6">
        <v>0</v>
      </c>
      <c r="E3" s="6"/>
      <c r="F3" s="9"/>
      <c r="G3" s="9"/>
      <c r="H3" s="9"/>
      <c r="I3" s="7" t="s">
        <v>3</v>
      </c>
      <c r="K3" s="9"/>
    </row>
    <row r="4" spans="1:11" x14ac:dyDescent="0.35">
      <c r="A4" t="s">
        <v>17</v>
      </c>
      <c r="B4">
        <v>1</v>
      </c>
      <c r="C4" s="6">
        <v>7119</v>
      </c>
      <c r="E4" s="6"/>
      <c r="F4" s="9"/>
      <c r="G4" s="9"/>
      <c r="H4" s="9"/>
      <c r="I4" s="7" t="s">
        <v>3</v>
      </c>
      <c r="K4" s="9"/>
    </row>
    <row r="5" spans="1:11" x14ac:dyDescent="0.35">
      <c r="A5" t="s">
        <v>17</v>
      </c>
      <c r="B5">
        <v>2</v>
      </c>
      <c r="C5" s="6">
        <v>680</v>
      </c>
      <c r="D5" s="6"/>
      <c r="E5" s="6"/>
      <c r="F5" s="9"/>
      <c r="G5" s="9"/>
      <c r="H5" s="9"/>
      <c r="I5" s="8">
        <f>9+51/60</f>
        <v>9.85</v>
      </c>
      <c r="J5" s="8">
        <f>Tabela19[[#This Row],[manual]]/Tabela19[[#This Row],[tempo de anotação (m)]]</f>
        <v>69.035532994923855</v>
      </c>
      <c r="K5" s="9"/>
    </row>
    <row r="6" spans="1:11" x14ac:dyDescent="0.35">
      <c r="A6" t="s">
        <v>17</v>
      </c>
      <c r="B6" t="s">
        <v>17</v>
      </c>
      <c r="C6" s="6">
        <f>SUM(Tabela19[manual])</f>
        <v>7799</v>
      </c>
      <c r="E6" s="6"/>
      <c r="F6" s="9"/>
      <c r="G6" s="9"/>
      <c r="H6" s="9"/>
      <c r="I6" s="8">
        <f>SUM(Tabela19[tempo de anotação (m)])</f>
        <v>9.85</v>
      </c>
      <c r="J6" s="8">
        <f>MEDIAN(Tabela19[img/min])</f>
        <v>69.035532994923855</v>
      </c>
      <c r="K6">
        <f>_xlfn.STDEV.S(Tabela19[[#Data],[#Totals],[img/min]])</f>
        <v>0</v>
      </c>
    </row>
    <row r="7" spans="1:11" x14ac:dyDescent="0.35">
      <c r="A7" t="s">
        <v>17</v>
      </c>
      <c r="B7" t="s">
        <v>5</v>
      </c>
      <c r="C7" t="s">
        <v>1</v>
      </c>
      <c r="D7" t="s">
        <v>21</v>
      </c>
      <c r="E7" t="s">
        <v>22</v>
      </c>
      <c r="F7" s="9" t="s">
        <v>23</v>
      </c>
      <c r="G7" s="9" t="s">
        <v>24</v>
      </c>
      <c r="H7" s="9" t="s">
        <v>25</v>
      </c>
      <c r="I7" t="s">
        <v>6</v>
      </c>
      <c r="J7" s="8" t="s">
        <v>7</v>
      </c>
      <c r="K7" t="s">
        <v>29</v>
      </c>
    </row>
    <row r="8" spans="1:11" x14ac:dyDescent="0.35">
      <c r="A8" t="s">
        <v>13</v>
      </c>
      <c r="B8">
        <v>0</v>
      </c>
      <c r="C8" s="6">
        <v>0</v>
      </c>
      <c r="E8" s="6"/>
      <c r="F8" s="9"/>
      <c r="G8" s="9"/>
      <c r="H8" s="9"/>
      <c r="I8" s="7" t="s">
        <v>3</v>
      </c>
      <c r="K8" s="9"/>
    </row>
    <row r="9" spans="1:11" x14ac:dyDescent="0.35">
      <c r="A9" t="s">
        <v>17</v>
      </c>
      <c r="B9">
        <v>1</v>
      </c>
      <c r="C9" s="6">
        <v>7119</v>
      </c>
      <c r="E9" s="6"/>
      <c r="F9" s="9"/>
      <c r="G9" s="9"/>
      <c r="H9" s="9"/>
      <c r="I9" s="7" t="s">
        <v>3</v>
      </c>
      <c r="K9" s="9"/>
    </row>
    <row r="10" spans="1:11" x14ac:dyDescent="0.35">
      <c r="A10" t="s">
        <v>17</v>
      </c>
      <c r="B10">
        <v>2</v>
      </c>
      <c r="C10" s="6">
        <v>100</v>
      </c>
      <c r="E10" s="6"/>
      <c r="F10" s="9"/>
      <c r="G10" s="9"/>
      <c r="H10" s="9"/>
      <c r="I10" s="8">
        <f>3+30/60</f>
        <v>3.5</v>
      </c>
      <c r="J10" s="8">
        <f>Tabela134753[[#This Row],[manual]]/Tabela134753[[#This Row],[tempo de anotação (m)]]</f>
        <v>28.571428571428573</v>
      </c>
      <c r="K10" s="9"/>
    </row>
    <row r="11" spans="1:11" x14ac:dyDescent="0.35">
      <c r="A11" t="s">
        <v>17</v>
      </c>
      <c r="B11">
        <v>3</v>
      </c>
      <c r="C11" s="6">
        <v>2139</v>
      </c>
      <c r="E11" s="6"/>
      <c r="F11" s="9"/>
      <c r="G11" s="9"/>
      <c r="H11" s="9"/>
      <c r="I11" s="8">
        <f>33+23/60</f>
        <v>33.383333333333333</v>
      </c>
      <c r="J11" s="8">
        <f>Tabela134753[[#This Row],[manual]]/Tabela134753[[#This Row],[tempo de anotação (m)]]</f>
        <v>64.073889166250623</v>
      </c>
      <c r="K11" s="9"/>
    </row>
    <row r="12" spans="1:11" x14ac:dyDescent="0.35">
      <c r="A12" t="s">
        <v>17</v>
      </c>
      <c r="B12" t="s">
        <v>17</v>
      </c>
      <c r="C12" s="6">
        <f>SUM(Tabela134753[manual])</f>
        <v>9358</v>
      </c>
      <c r="E12" s="6"/>
      <c r="F12" s="9"/>
      <c r="G12" s="9"/>
      <c r="H12" s="9"/>
      <c r="I12" s="8">
        <f>SUM(Tabela134753[tempo de anotação (m)])</f>
        <v>36.883333333333333</v>
      </c>
      <c r="J12" s="8">
        <f>MEDIAN(Tabela134753[img/min])</f>
        <v>46.322658868839596</v>
      </c>
      <c r="K12">
        <f>_xlfn.STDEV.S(Tabela134753[img/min])</f>
        <v>25.104030635406868</v>
      </c>
    </row>
    <row r="13" spans="1:11" x14ac:dyDescent="0.35">
      <c r="A13" t="s">
        <v>17</v>
      </c>
      <c r="B13" t="s">
        <v>5</v>
      </c>
      <c r="C13" t="s">
        <v>10</v>
      </c>
      <c r="D13" t="s">
        <v>21</v>
      </c>
      <c r="E13" t="s">
        <v>22</v>
      </c>
      <c r="F13" s="9" t="s">
        <v>23</v>
      </c>
      <c r="G13" s="9" t="s">
        <v>24</v>
      </c>
      <c r="H13" s="9" t="s">
        <v>25</v>
      </c>
      <c r="I13" t="s">
        <v>6</v>
      </c>
      <c r="J13" s="8" t="s">
        <v>7</v>
      </c>
      <c r="K13" t="s">
        <v>29</v>
      </c>
    </row>
    <row r="14" spans="1:11" x14ac:dyDescent="0.35">
      <c r="A14" t="s">
        <v>14</v>
      </c>
      <c r="B14">
        <v>0</v>
      </c>
      <c r="C14" s="6">
        <v>0</v>
      </c>
      <c r="E14" s="6"/>
      <c r="F14" s="9"/>
      <c r="G14" s="9"/>
      <c r="H14" s="9"/>
      <c r="I14" s="7" t="s">
        <v>3</v>
      </c>
      <c r="K14" s="9"/>
    </row>
    <row r="15" spans="1:11" x14ac:dyDescent="0.35">
      <c r="A15" t="s">
        <v>17</v>
      </c>
      <c r="B15">
        <v>1</v>
      </c>
      <c r="C15" s="6">
        <v>7119</v>
      </c>
      <c r="E15" s="6"/>
      <c r="F15" s="9"/>
      <c r="G15" s="9"/>
      <c r="H15" s="9"/>
      <c r="I15" s="7" t="s">
        <v>3</v>
      </c>
      <c r="K15" s="9"/>
    </row>
    <row r="16" spans="1:11" x14ac:dyDescent="0.35">
      <c r="A16" t="s">
        <v>17</v>
      </c>
      <c r="B16">
        <v>2</v>
      </c>
      <c r="C16" s="6">
        <v>108</v>
      </c>
      <c r="D16" s="6"/>
      <c r="E16" s="6"/>
      <c r="F16" s="9"/>
      <c r="G16" s="9"/>
      <c r="H16" s="9"/>
      <c r="I16" s="8">
        <f>2+9/60</f>
        <v>2.15</v>
      </c>
      <c r="J16" s="8">
        <f>Tabela134[[#This Row],[imagens manuais]]/Tabela134[[#This Row],[tempo de anotação (m)]]</f>
        <v>50.232558139534888</v>
      </c>
      <c r="K16" s="9"/>
    </row>
    <row r="17" spans="1:11" x14ac:dyDescent="0.35">
      <c r="A17" t="s">
        <v>17</v>
      </c>
      <c r="B17">
        <v>3</v>
      </c>
      <c r="C17" s="6">
        <v>100</v>
      </c>
      <c r="E17" s="6"/>
      <c r="F17" s="9"/>
      <c r="G17" s="9"/>
      <c r="H17" s="9"/>
      <c r="I17" s="8">
        <f>1+45/60</f>
        <v>1.75</v>
      </c>
      <c r="J17" s="8">
        <f>Tabela134[[#This Row],[imagens manuais]]/Tabela134[[#This Row],[tempo de anotação (m)]]</f>
        <v>57.142857142857146</v>
      </c>
      <c r="K17" s="9"/>
    </row>
    <row r="18" spans="1:11" x14ac:dyDescent="0.35">
      <c r="A18" t="s">
        <v>17</v>
      </c>
      <c r="B18">
        <v>4</v>
      </c>
      <c r="C18" s="6">
        <v>100</v>
      </c>
      <c r="E18" s="6"/>
      <c r="F18" s="9"/>
      <c r="G18" s="9"/>
      <c r="H18" s="9"/>
      <c r="I18" s="8">
        <f>3+15/60</f>
        <v>3.25</v>
      </c>
      <c r="J18" s="8">
        <f>Tabela134[[#This Row],[imagens manuais]]/Tabela134[[#This Row],[tempo de anotação (m)]]</f>
        <v>30.76923076923077</v>
      </c>
      <c r="K18" s="9"/>
    </row>
    <row r="19" spans="1:11" x14ac:dyDescent="0.35">
      <c r="A19" t="s">
        <v>17</v>
      </c>
      <c r="B19">
        <v>5</v>
      </c>
      <c r="C19" s="6">
        <v>3209</v>
      </c>
      <c r="E19" s="6"/>
      <c r="F19" s="9"/>
      <c r="G19" s="9"/>
      <c r="H19" s="9"/>
      <c r="I19" s="8">
        <f>10+51/60+9+56/60</f>
        <v>20.783333333333335</v>
      </c>
      <c r="J19" s="8">
        <f>Tabela134[[#This Row],[imagens manuais]]/Tabela134[[#This Row],[tempo de anotação (m)]]</f>
        <v>154.40256615878107</v>
      </c>
      <c r="K19" s="9"/>
    </row>
    <row r="20" spans="1:11" x14ac:dyDescent="0.35">
      <c r="A20" t="s">
        <v>17</v>
      </c>
      <c r="B20" t="s">
        <v>17</v>
      </c>
      <c r="C20" s="6">
        <f>SUM(Tabela134[imagens manuais])</f>
        <v>10636</v>
      </c>
      <c r="E20" s="6"/>
      <c r="F20" s="9"/>
      <c r="G20" s="9"/>
      <c r="H20" s="9"/>
      <c r="I20" s="8">
        <f>SUM(Tabela134[tempo de anotação (m)])</f>
        <v>27.933333333333337</v>
      </c>
      <c r="J20" s="8">
        <f>MEDIAN(Tabela134[img/min])</f>
        <v>53.687707641196013</v>
      </c>
      <c r="K20">
        <f>_xlfn.STDEV.S(Tabela134[img/min])</f>
        <v>55.315899387722489</v>
      </c>
    </row>
    <row r="21" spans="1:11" x14ac:dyDescent="0.35">
      <c r="A21" t="s">
        <v>17</v>
      </c>
      <c r="B21" t="s">
        <v>5</v>
      </c>
      <c r="C21" t="s">
        <v>10</v>
      </c>
      <c r="D21" t="s">
        <v>21</v>
      </c>
      <c r="E21" t="s">
        <v>22</v>
      </c>
      <c r="F21" s="9" t="s">
        <v>23</v>
      </c>
      <c r="G21" s="9" t="s">
        <v>24</v>
      </c>
      <c r="H21" s="9" t="s">
        <v>25</v>
      </c>
      <c r="I21" t="s">
        <v>6</v>
      </c>
      <c r="J21" s="8" t="s">
        <v>7</v>
      </c>
      <c r="K21" t="s">
        <v>29</v>
      </c>
    </row>
    <row r="22" spans="1:11" x14ac:dyDescent="0.35">
      <c r="A22" t="s">
        <v>15</v>
      </c>
      <c r="B22">
        <v>0</v>
      </c>
      <c r="C22" s="6">
        <v>0</v>
      </c>
      <c r="E22" s="6"/>
      <c r="F22" s="9"/>
      <c r="G22" s="9"/>
      <c r="H22" s="9"/>
      <c r="I22" s="7" t="s">
        <v>3</v>
      </c>
      <c r="K22" s="9"/>
    </row>
    <row r="23" spans="1:11" x14ac:dyDescent="0.35">
      <c r="A23" t="s">
        <v>17</v>
      </c>
      <c r="B23">
        <v>1</v>
      </c>
      <c r="C23" s="6">
        <v>7119</v>
      </c>
      <c r="E23" s="6"/>
      <c r="F23" s="9"/>
      <c r="G23" s="9"/>
      <c r="H23" s="9"/>
      <c r="I23" s="7" t="s">
        <v>3</v>
      </c>
      <c r="K23" s="9"/>
    </row>
    <row r="24" spans="1:11" x14ac:dyDescent="0.35">
      <c r="A24" t="s">
        <v>17</v>
      </c>
      <c r="B24">
        <v>2</v>
      </c>
      <c r="C24" s="6">
        <v>100</v>
      </c>
      <c r="E24" s="6"/>
      <c r="F24" s="9"/>
      <c r="G24" s="9"/>
      <c r="H24" s="9"/>
      <c r="I24" s="8">
        <f>1+42/60</f>
        <v>1.7</v>
      </c>
      <c r="J24" s="8">
        <f>Tabela1346[[#This Row],[imagens manuais]]/Tabela1346[[#This Row],[tempo de anotação (m)]]</f>
        <v>58.82352941176471</v>
      </c>
      <c r="K24" s="9"/>
    </row>
    <row r="25" spans="1:11" x14ac:dyDescent="0.35">
      <c r="A25" t="s">
        <v>17</v>
      </c>
      <c r="B25">
        <v>3</v>
      </c>
      <c r="C25" s="6">
        <v>100</v>
      </c>
      <c r="E25" s="6"/>
      <c r="F25" s="9"/>
      <c r="G25" s="9"/>
      <c r="H25" s="9"/>
      <c r="I25" s="8">
        <f>1+23/60</f>
        <v>1.3833333333333333</v>
      </c>
      <c r="J25" s="8">
        <f>Tabela1346[[#This Row],[imagens manuais]]/Tabela1346[[#This Row],[tempo de anotação (m)]]</f>
        <v>72.289156626506028</v>
      </c>
      <c r="K25" s="9"/>
    </row>
    <row r="26" spans="1:11" x14ac:dyDescent="0.35">
      <c r="A26" t="s">
        <v>17</v>
      </c>
      <c r="B26">
        <v>4</v>
      </c>
      <c r="C26" s="6">
        <v>2533</v>
      </c>
      <c r="E26" s="6"/>
      <c r="F26" s="9"/>
      <c r="G26" s="9"/>
      <c r="H26" s="9"/>
      <c r="I26" s="8">
        <f>19+18/60</f>
        <v>19.3</v>
      </c>
      <c r="J26" s="8">
        <f>Tabela1346[[#This Row],[imagens manuais]]/Tabela1346[[#This Row],[tempo de anotação (m)]]</f>
        <v>131.24352331606218</v>
      </c>
      <c r="K26" s="9"/>
    </row>
    <row r="27" spans="1:11" x14ac:dyDescent="0.35">
      <c r="A27" t="s">
        <v>17</v>
      </c>
      <c r="B27" t="s">
        <v>17</v>
      </c>
      <c r="C27" s="6">
        <f>SUM(Tabela1346[imagens manuais])</f>
        <v>9852</v>
      </c>
      <c r="E27" s="6"/>
      <c r="F27" s="9"/>
      <c r="G27" s="9"/>
      <c r="H27" s="9"/>
      <c r="I27" s="8">
        <f>SUM(Tabela1346[[#Headers],[#Data],[tempo de anotação (m)]])</f>
        <v>22.383333333333333</v>
      </c>
      <c r="J27" s="8">
        <f>MEDIAN(Tabela1346[[#Headers],[#Data],[img/min]])</f>
        <v>72.289156626506028</v>
      </c>
      <c r="K27">
        <f>_xlfn.STDEV.S(Tabela1346[img/min])</f>
        <v>38.517519791110431</v>
      </c>
    </row>
    <row r="28" spans="1:11" x14ac:dyDescent="0.35">
      <c r="A28" t="s">
        <v>17</v>
      </c>
      <c r="B28" t="s">
        <v>5</v>
      </c>
      <c r="C28" t="s">
        <v>10</v>
      </c>
      <c r="D28" t="s">
        <v>21</v>
      </c>
      <c r="E28" t="s">
        <v>22</v>
      </c>
      <c r="F28" s="9" t="s">
        <v>23</v>
      </c>
      <c r="G28" s="9" t="s">
        <v>24</v>
      </c>
      <c r="H28" s="9" t="s">
        <v>25</v>
      </c>
      <c r="I28" t="s">
        <v>6</v>
      </c>
      <c r="J28" s="8" t="s">
        <v>7</v>
      </c>
      <c r="K28" t="s">
        <v>29</v>
      </c>
    </row>
    <row r="29" spans="1:11" x14ac:dyDescent="0.35">
      <c r="A29" t="s">
        <v>16</v>
      </c>
      <c r="B29">
        <v>0</v>
      </c>
      <c r="C29" s="6">
        <v>0</v>
      </c>
      <c r="E29" s="6"/>
      <c r="F29" s="9"/>
      <c r="G29" s="9"/>
      <c r="H29" s="9"/>
      <c r="I29" s="7" t="s">
        <v>3</v>
      </c>
      <c r="K29" s="9"/>
    </row>
    <row r="30" spans="1:11" x14ac:dyDescent="0.35">
      <c r="A30" t="s">
        <v>17</v>
      </c>
      <c r="B30">
        <v>1</v>
      </c>
      <c r="C30" s="6">
        <v>7119</v>
      </c>
      <c r="E30" s="6"/>
      <c r="F30" s="9"/>
      <c r="G30" s="9"/>
      <c r="H30" s="9"/>
      <c r="I30" s="7" t="s">
        <v>3</v>
      </c>
      <c r="K30" s="9"/>
    </row>
    <row r="31" spans="1:11" x14ac:dyDescent="0.35">
      <c r="A31" t="s">
        <v>17</v>
      </c>
      <c r="B31">
        <v>2</v>
      </c>
      <c r="C31" s="6">
        <v>100</v>
      </c>
      <c r="E31" s="6"/>
      <c r="F31" s="9"/>
      <c r="G31" s="9"/>
      <c r="H31" s="9"/>
      <c r="I31" s="8">
        <f>3+30/60</f>
        <v>3.5</v>
      </c>
      <c r="J31" s="8">
        <f>Tabela1347[[#This Row],[imagens manuais]]/Tabela1347[[#This Row],[tempo de anotação (m)]]</f>
        <v>28.571428571428573</v>
      </c>
      <c r="K31" s="9"/>
    </row>
    <row r="32" spans="1:11" x14ac:dyDescent="0.35">
      <c r="A32" t="s">
        <v>17</v>
      </c>
      <c r="B32">
        <v>3</v>
      </c>
      <c r="C32" s="6">
        <v>2606</v>
      </c>
      <c r="E32" s="6"/>
      <c r="F32" s="9"/>
      <c r="G32" s="9"/>
      <c r="H32" s="9"/>
      <c r="I32" s="8">
        <f>33+23/60</f>
        <v>33.383333333333333</v>
      </c>
      <c r="J32" s="8">
        <f>Tabela1347[[#This Row],[imagens manuais]]/Tabela1347[[#This Row],[tempo de anotação (m)]]</f>
        <v>78.062905641537697</v>
      </c>
      <c r="K32" s="9"/>
    </row>
    <row r="33" spans="1:11" x14ac:dyDescent="0.35">
      <c r="A33" t="s">
        <v>17</v>
      </c>
      <c r="B33" t="s">
        <v>17</v>
      </c>
      <c r="C33" s="6">
        <f>SUM(Tabela1347[imagens manuais])</f>
        <v>9825</v>
      </c>
      <c r="E33" s="6"/>
      <c r="F33" s="9"/>
      <c r="G33" s="9"/>
      <c r="H33" s="9"/>
      <c r="I33" s="8">
        <f>SUM(Tabela1347[[#Headers],[#Data],[tempo de anotação (m)]])</f>
        <v>36.883333333333333</v>
      </c>
      <c r="J33" s="8">
        <f>MEDIAN(Tabela1347[img/min])</f>
        <v>53.31716710648314</v>
      </c>
      <c r="K33">
        <f>_xlfn.STDEV.S(Tabela1347[img/min])</f>
        <v>34.995759047212687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Total - semiauto</vt:lpstr>
      <vt:lpstr>Total - petrobras</vt:lpstr>
      <vt:lpstr>Rede 1</vt:lpstr>
      <vt:lpstr>Rede 2</vt:lpstr>
      <vt:lpstr>Rede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2020-02-10T22:58:14Z</dcterms:modified>
</cp:coreProperties>
</file>