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A1E765E4-700D-4A2A-8AA6-917DB505AA3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de 1" sheetId="1" r:id="rId1"/>
    <sheet name="Rede 2" sheetId="2" r:id="rId2"/>
    <sheet name="Red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3" i="3" l="1"/>
  <c r="I27" i="3"/>
  <c r="I20" i="3"/>
  <c r="F29" i="3"/>
  <c r="F33" i="3" s="1"/>
  <c r="G29" i="3"/>
  <c r="H29" i="3"/>
  <c r="H33" i="3" s="1"/>
  <c r="F30" i="3"/>
  <c r="G30" i="3"/>
  <c r="H30" i="3"/>
  <c r="E31" i="3"/>
  <c r="E32" i="3" s="1"/>
  <c r="F31" i="3"/>
  <c r="G31" i="3"/>
  <c r="H31" i="3"/>
  <c r="I31" i="3"/>
  <c r="F32" i="3"/>
  <c r="G32" i="3"/>
  <c r="H32" i="3"/>
  <c r="I32" i="3"/>
  <c r="C33" i="3"/>
  <c r="D33" i="3"/>
  <c r="F22" i="3"/>
  <c r="G22" i="3"/>
  <c r="H22" i="3"/>
  <c r="F23" i="3"/>
  <c r="G23" i="3"/>
  <c r="H23" i="3"/>
  <c r="F24" i="3"/>
  <c r="G24" i="3"/>
  <c r="H24" i="3"/>
  <c r="I24" i="3"/>
  <c r="F25" i="3"/>
  <c r="G25" i="3"/>
  <c r="H25" i="3"/>
  <c r="I25" i="3"/>
  <c r="F26" i="3"/>
  <c r="G26" i="3"/>
  <c r="H26" i="3"/>
  <c r="I26" i="3"/>
  <c r="C27" i="3"/>
  <c r="D27" i="3"/>
  <c r="F14" i="3"/>
  <c r="G14" i="3"/>
  <c r="H14" i="3"/>
  <c r="F15" i="3"/>
  <c r="G15" i="3"/>
  <c r="H15" i="3"/>
  <c r="F16" i="3"/>
  <c r="G16" i="3"/>
  <c r="H16" i="3"/>
  <c r="I16" i="3"/>
  <c r="F17" i="3"/>
  <c r="G17" i="3"/>
  <c r="H17" i="3"/>
  <c r="I17" i="3"/>
  <c r="F18" i="3"/>
  <c r="G18" i="3"/>
  <c r="H18" i="3"/>
  <c r="I18" i="3"/>
  <c r="F19" i="3"/>
  <c r="G19" i="3"/>
  <c r="H19" i="3"/>
  <c r="I19" i="3"/>
  <c r="C20" i="3"/>
  <c r="D20" i="3"/>
  <c r="H8" i="3"/>
  <c r="H9" i="3"/>
  <c r="H10" i="3"/>
  <c r="H11" i="3"/>
  <c r="G8" i="3"/>
  <c r="G9" i="3"/>
  <c r="G10" i="3"/>
  <c r="G11" i="3"/>
  <c r="F8" i="3"/>
  <c r="F9" i="3"/>
  <c r="F10" i="3"/>
  <c r="F11" i="3"/>
  <c r="D12" i="3"/>
  <c r="C12" i="3"/>
  <c r="I11" i="3"/>
  <c r="I10" i="3"/>
  <c r="G33" i="3" l="1"/>
  <c r="F27" i="3"/>
  <c r="F20" i="3"/>
  <c r="G20" i="3"/>
  <c r="G27" i="3"/>
  <c r="G12" i="3"/>
  <c r="H27" i="3"/>
  <c r="H20" i="3"/>
  <c r="H12" i="3"/>
  <c r="F12" i="3"/>
  <c r="I12" i="3"/>
  <c r="E10" i="3"/>
  <c r="E11" i="3" s="1"/>
  <c r="C6" i="3"/>
  <c r="F5" i="3"/>
  <c r="D6" i="3"/>
  <c r="I5" i="3"/>
  <c r="I6" i="3" s="1"/>
  <c r="H4" i="3"/>
  <c r="G4" i="3"/>
  <c r="F4" i="3"/>
  <c r="H3" i="3"/>
  <c r="G3" i="3"/>
  <c r="F3" i="3"/>
  <c r="F6" i="3" l="1"/>
  <c r="G5" i="3"/>
  <c r="G6" i="3" s="1"/>
  <c r="H5" i="3"/>
  <c r="H6" i="3" s="1"/>
  <c r="C20" i="2"/>
  <c r="B20" i="2"/>
  <c r="H19" i="2"/>
  <c r="G19" i="2"/>
  <c r="F19" i="2"/>
  <c r="E19" i="2"/>
  <c r="J18" i="2"/>
  <c r="I18" i="2"/>
  <c r="H18" i="2"/>
  <c r="G18" i="2"/>
  <c r="F18" i="2"/>
  <c r="E18" i="2"/>
  <c r="I17" i="2"/>
  <c r="J17" i="2" s="1"/>
  <c r="H17" i="2"/>
  <c r="G17" i="2"/>
  <c r="F17" i="2"/>
  <c r="E17" i="2"/>
  <c r="J16" i="2"/>
  <c r="I16" i="2"/>
  <c r="H16" i="2"/>
  <c r="G16" i="2"/>
  <c r="F16" i="2"/>
  <c r="E16" i="2"/>
  <c r="I15" i="2"/>
  <c r="J15" i="2" s="1"/>
  <c r="H15" i="2"/>
  <c r="G15" i="2"/>
  <c r="F15" i="2"/>
  <c r="E15" i="2"/>
  <c r="J14" i="2"/>
  <c r="I14" i="2"/>
  <c r="H14" i="2"/>
  <c r="G14" i="2"/>
  <c r="F14" i="2"/>
  <c r="E14" i="2"/>
  <c r="I13" i="2"/>
  <c r="J13" i="2" s="1"/>
  <c r="H13" i="2"/>
  <c r="G13" i="2"/>
  <c r="F13" i="2"/>
  <c r="E13" i="2"/>
  <c r="J12" i="2"/>
  <c r="I12" i="2"/>
  <c r="H12" i="2"/>
  <c r="H20" i="2" s="1"/>
  <c r="G12" i="2"/>
  <c r="F12" i="2"/>
  <c r="E12" i="2"/>
  <c r="I11" i="2"/>
  <c r="J11" i="2" s="1"/>
  <c r="G11" i="2"/>
  <c r="F11" i="2"/>
  <c r="E11" i="2"/>
  <c r="I10" i="2"/>
  <c r="J10" i="2" s="1"/>
  <c r="G10" i="2"/>
  <c r="F10" i="2"/>
  <c r="E10" i="2"/>
  <c r="J9" i="2"/>
  <c r="I9" i="2"/>
  <c r="G9" i="2"/>
  <c r="F9" i="2"/>
  <c r="E9" i="2"/>
  <c r="I8" i="2"/>
  <c r="J8" i="2" s="1"/>
  <c r="G8" i="2"/>
  <c r="F8" i="2"/>
  <c r="E8" i="2"/>
  <c r="I7" i="2"/>
  <c r="J7" i="2" s="1"/>
  <c r="G7" i="2"/>
  <c r="F7" i="2"/>
  <c r="E7" i="2"/>
  <c r="I6" i="2"/>
  <c r="J6" i="2" s="1"/>
  <c r="G6" i="2"/>
  <c r="F6" i="2"/>
  <c r="E6" i="2"/>
  <c r="J5" i="2"/>
  <c r="I5" i="2"/>
  <c r="G5" i="2"/>
  <c r="F5" i="2"/>
  <c r="E5" i="2"/>
  <c r="I4" i="2"/>
  <c r="J4" i="2" s="1"/>
  <c r="G4" i="2"/>
  <c r="F4" i="2"/>
  <c r="E4" i="2"/>
  <c r="G3" i="2"/>
  <c r="G20" i="2" s="1"/>
  <c r="F3" i="2"/>
  <c r="F20" i="2" s="1"/>
  <c r="E3" i="2"/>
  <c r="E20" i="2" s="1"/>
  <c r="K4" i="1"/>
  <c r="K5" i="1"/>
  <c r="K6" i="1"/>
  <c r="K7" i="1"/>
  <c r="K8" i="1"/>
  <c r="K9" i="1"/>
  <c r="K10" i="1"/>
  <c r="K11" i="1"/>
  <c r="K12" i="1"/>
  <c r="K3" i="1"/>
  <c r="H5" i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  <c r="F5" i="1"/>
  <c r="F6" i="1"/>
  <c r="F7" i="1"/>
  <c r="F8" i="1"/>
  <c r="F9" i="1"/>
  <c r="F10" i="1"/>
  <c r="F11" i="1"/>
  <c r="F12" i="1"/>
  <c r="F4" i="1"/>
  <c r="D13" i="1"/>
  <c r="C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H13" i="1"/>
  <c r="H21" i="2" l="1"/>
  <c r="H22" i="2"/>
  <c r="F13" i="1"/>
  <c r="G13" i="1"/>
</calcChain>
</file>

<file path=xl/sharedStrings.xml><?xml version="1.0" encoding="utf-8"?>
<sst xmlns="http://schemas.openxmlformats.org/spreadsheetml/2006/main" count="130" uniqueCount="34">
  <si>
    <t>It</t>
  </si>
  <si>
    <t>manual</t>
  </si>
  <si>
    <t>auto</t>
  </si>
  <si>
    <t>unlabeled</t>
  </si>
  <si>
    <t>% manual</t>
  </si>
  <si>
    <t>% auto</t>
  </si>
  <si>
    <t>% annotated</t>
  </si>
  <si>
    <t>% manual relative</t>
  </si>
  <si>
    <t>% automatic relative</t>
  </si>
  <si>
    <t>% unlabeled</t>
  </si>
  <si>
    <t>Total</t>
  </si>
  <si>
    <t>-</t>
  </si>
  <si>
    <t>rede2</t>
  </si>
  <si>
    <t>iteration</t>
  </si>
  <si>
    <t>manual %</t>
  </si>
  <si>
    <t>auto %</t>
  </si>
  <si>
    <t>annotated %</t>
  </si>
  <si>
    <t>tempo de anotação (m)</t>
  </si>
  <si>
    <t>diff</t>
  </si>
  <si>
    <t>diff (%)</t>
  </si>
  <si>
    <t>img/min</t>
  </si>
  <si>
    <t>min/img</t>
  </si>
  <si>
    <t>rede 1</t>
  </si>
  <si>
    <t>rede3_anodo</t>
  </si>
  <si>
    <t>imagens manuais</t>
  </si>
  <si>
    <t>imagens não anotadas</t>
  </si>
  <si>
    <t>Class</t>
  </si>
  <si>
    <t>Anode</t>
  </si>
  <si>
    <t>Buried</t>
  </si>
  <si>
    <t>Damage</t>
  </si>
  <si>
    <t>Flange</t>
  </si>
  <si>
    <t>Repair</t>
  </si>
  <si>
    <t>.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</si>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</sst>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10" fontId="1" fillId="0" borderId="1" xfId="0" applyNumberFormat="1" applyFont="1" applyBorder="1"/>
    <xf numFmtId="10" fontId="1" fillId="0" borderId="1" xfId="0" quotePrefix="1" applyNumberFormat="1" applyFont="1" applyBorder="1"/>
    <xf numFmtId="3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3" fontId="0" fillId="0" borderId="0" xfId="0" quotePrefix="1" applyNumberFormat="1"/>
  </cellXfs>
  <cellStyles count="1">
    <cellStyle name="Normal" xfId="0" builtinId="0"/>
  </cellStyles>
  <dxfs count="80"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2" formatCode="0.00"/>
    </dxf>
    <dxf>
      <numFmt numFmtId="164" formatCode="0.0%"/>
    </dxf>
    <dxf>
      <numFmt numFmtId="164" formatCode="0.0%"/>
    </dxf>
    <dxf>
      <numFmt numFmtId="164" formatCode="0.0%"/>
    </dxf>
    <dxf>
      <numFmt numFmtId="3" formatCode="#,##0"/>
    </dxf>
    <dxf>
      <numFmt numFmtId="3" formatCode="#,##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3" formatCode="#,##0"/>
    </dxf>
    <dxf>
      <numFmt numFmtId="3" formatCode="#,##0"/>
    </dxf>
    <dxf>
      <numFmt numFmtId="14" formatCode="0.00%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E1ABF-3398-4FAB-A839-46B97A2B48AD}" name="Tabela1" displayName="Tabela1" ref="A2:J20" totalsRowCount="1">
  <autoFilter ref="A2:J19" xr:uid="{95CEC84B-E252-493B-858E-9DE9C490938E}"/>
  <tableColumns count="10">
    <tableColumn id="1" xr3:uid="{1E1ED506-1A68-4AE8-BF85-4326B710E75D}" name="iteration" totalsRowLabel="."/>
    <tableColumn id="2" xr3:uid="{B6964C40-D3E8-47A9-BAE9-4A6388A6B9EE}" name="manual" totalsRowFunction="custom" dataDxfId="79" totalsRowDxfId="6">
      <totalsRowFormula>SUM(Tabela1[manual])</totalsRowFormula>
    </tableColumn>
    <tableColumn id="10" xr3:uid="{2EFC9E2C-E3F8-4102-84A6-A4A2B3CEAC7E}" name="auto" totalsRowFunction="custom" dataDxfId="78" totalsRowDxfId="5">
      <totalsRowFormula>SUM(Tabela1[auto])</totalsRowFormula>
    </tableColumn>
    <tableColumn id="3" xr3:uid="{0CD8214F-BFC8-4208-A0F3-690EB987DD40}" name="unlabeled" totalsRowLabel="-" dataDxfId="77" totalsRowDxfId="4"/>
    <tableColumn id="8" xr3:uid="{76FA6AC3-17CE-4A6E-9E86-51098393042E}" name="manual %" totalsRowFunction="custom" dataDxfId="76" totalsRowDxfId="3">
      <calculatedColumnFormula>Tabela1[[#This Row],[manual]]/$D$3</calculatedColumnFormula>
      <totalsRowFormula>SUM(Tabela1[manual %])</totalsRowFormula>
    </tableColumn>
    <tableColumn id="7" xr3:uid="{E7C7FB6F-7ADF-41BB-98A8-51DEA060576F}" name="auto %" totalsRowFunction="custom" dataDxfId="75" totalsRowDxfId="2">
      <calculatedColumnFormula>Tabela1[[#This Row],[auto]]/$D$3</calculatedColumnFormula>
      <totalsRowFormula>SUM(Tabela1[auto %])</totalsRowFormula>
    </tableColumn>
    <tableColumn id="11" xr3:uid="{57A53AC2-9636-4E3D-8A36-8E030AC5DAB7}" name="annotated %" totalsRowFunction="custom" dataDxfId="74" totalsRowDxfId="1">
      <calculatedColumnFormula>(Tabela1[[#This Row],[manual]]+Tabela1[[#This Row],[auto]])/$D$3</calculatedColumnFormula>
      <totalsRowFormula>SUM(Tabela1[annotated %])</totalsRowFormula>
    </tableColumn>
    <tableColumn id="4" xr3:uid="{24AE9389-4EF9-42F2-B77C-64A372A5AEDB}" name="tempo de anotação (m)" totalsRowFunction="custom" dataDxfId="73" totalsRowDxfId="0">
      <totalsRowFormula>SUM(Tabela1[tempo de anotação (m)])</totalsRowFormula>
    </tableColumn>
    <tableColumn id="5" xr3:uid="{E113509C-5DAC-4A14-AFA5-00E80A6D2F71}" name="diff"/>
    <tableColumn id="6" xr3:uid="{1BF8DADF-39FF-456B-94D0-9ABD036F0007}" name="diff (%)" dataDxfId="72">
      <calculatedColumnFormula>Tabela1[[#This Row],[diff]]/D2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98628A-2B11-4454-A9BE-D06AEEBDFF78}" name="Tabela19" displayName="Tabela19" ref="B2:I6" totalsRowCount="1">
  <autoFilter ref="B2:I5" xr:uid="{71EB153F-8004-4046-912E-ECBAE4E26523}"/>
  <tableColumns count="8">
    <tableColumn id="1" xr3:uid="{CA396343-4F25-4CB4-A5A1-A2CA9089CE25}" name="it" totalsRowLabel="."/>
    <tableColumn id="2" xr3:uid="{B6FEF5E0-8C17-4FFB-8D39-30AB1F58E550}" name="manual" totalsRowFunction="custom" dataDxfId="71" totalsRowDxfId="12">
      <totalsRowFormula>SUM(Tabela19[manual])</totalsRowFormula>
    </tableColumn>
    <tableColumn id="7" xr3:uid="{CD776EA8-6487-4588-BE43-4D7A4A464627}" name="auto" totalsRowFunction="custom" dataDxfId="68">
      <totalsRowFormula>SUM(Tabela19[auto])</totalsRowFormula>
    </tableColumn>
    <tableColumn id="3" xr3:uid="{08C9A2DC-5C58-421B-9C81-D52256DDD954}" name="unlabeled" totalsRowLabel="." dataDxfId="70" totalsRowDxfId="11"/>
    <tableColumn id="8" xr3:uid="{D757FCB4-6A88-4065-86D6-336627EABF89}" name="manual %" totalsRowFunction="custom" dataDxfId="51" totalsRowDxfId="10">
      <totalsRowFormula>SUM(Tabela19[manual %])</totalsRowFormula>
    </tableColumn>
    <tableColumn id="9" xr3:uid="{65AF9171-C77F-4507-A84C-FB2F313544A1}" name="auto %" totalsRowFunction="custom" dataDxfId="50" totalsRowDxfId="9">
      <totalsRowFormula>SUM(Tabela19[auto %])</totalsRowFormula>
    </tableColumn>
    <tableColumn id="10" xr3:uid="{F70FECCD-965A-4E6A-B867-F7A614F6AB38}" name="annotated %" totalsRowFunction="custom" dataDxfId="49" totalsRowDxfId="8">
      <totalsRowFormula>SUM(Tabela19[annotated %])</totalsRowFormula>
    </tableColumn>
    <tableColumn id="4" xr3:uid="{6817ADE7-6AF0-452E-B69F-671E9D44679B}" name="tempo de anotação (m)" totalsRowFunction="custom" dataDxfId="69" totalsRowDxfId="7">
      <totalsRowFormula>SUM(Tabela19[tempo de anotação (m)])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BE2A7-F482-46E1-924F-5DD94C46AD8D}" name="Tabela134753" displayName="Tabela134753" ref="B7:I12" totalsRowCount="1">
  <autoFilter ref="B7:I11" xr:uid="{60109788-B135-459F-B83D-588D0B406C9B}"/>
  <tableColumns count="8">
    <tableColumn id="1" xr3:uid="{BBAB0019-906E-4184-A7D8-4617CE339288}" name="iteration" totalsRowLabel="."/>
    <tableColumn id="2" xr3:uid="{6885BE3C-CD60-443B-BFCE-0F8FA4B5B050}" name="manual" totalsRowFunction="custom" dataDxfId="67" totalsRowDxfId="36">
      <totalsRowFormula>SUM(Tabela134753[manual])</totalsRowFormula>
    </tableColumn>
    <tableColumn id="12" xr3:uid="{8469E117-8536-4E73-83E8-450CFADE19F0}" name="auto" totalsRowFunction="custom" dataDxfId="66">
      <totalsRowFormula>SUM(Tabela134753[auto])</totalsRowFormula>
    </tableColumn>
    <tableColumn id="3" xr3:uid="{6B85D22E-D0A0-4331-BF87-1256D3B36D80}" name="unlabeled" totalsRowLabel="." dataDxfId="65" totalsRowDxfId="35"/>
    <tableColumn id="4" xr3:uid="{F984EAB2-A890-45CD-8513-1038839C8447}" name="manual %" totalsRowFunction="custom" dataDxfId="48" totalsRowDxfId="34">
      <calculatedColumnFormula>C8/$E$8</calculatedColumnFormula>
      <totalsRowFormula>SUM(Tabela134753[manual %])</totalsRowFormula>
    </tableColumn>
    <tableColumn id="13" xr3:uid="{D7CAA98B-8496-4EFF-AA92-0AD62148DC9A}" name="auto %" totalsRowFunction="custom" dataDxfId="47" totalsRowDxfId="33">
      <calculatedColumnFormula>D8/$E$8</calculatedColumnFormula>
      <totalsRowFormula>SUM(Tabela134753[auto %])</totalsRowFormula>
    </tableColumn>
    <tableColumn id="7" xr3:uid="{1D28B27F-AC4F-4683-B016-C25C44CA3A13}" name="annotated %" totalsRowFunction="custom" dataDxfId="46" totalsRowDxfId="32">
      <calculatedColumnFormula>(C8+D8)/$E$8</calculatedColumnFormula>
      <totalsRowFormula>SUM(Tabela134753[annotated %])</totalsRowFormula>
    </tableColumn>
    <tableColumn id="8" xr3:uid="{AF590393-1A89-4E7B-B255-2578B3826AD0}" name="tempo de anotação (m)" totalsRowFunction="custom" dataDxfId="64" totalsRowDxfId="31">
      <totalsRowFormula>SUM(Tabela134753[tempo de anotação (m)])</totalsRow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FB52B7-9E45-451E-A0A0-60935E3387AA}" name="Tabela134" displayName="Tabela134" ref="B13:I20" totalsRowCount="1">
  <autoFilter ref="B13:I19" xr:uid="{DD970305-E2DB-44FF-8DBD-7EF267A0648D}"/>
  <tableColumns count="8">
    <tableColumn id="1" xr3:uid="{C8EE00A1-EAD4-443D-B5E8-9138184837ED}" name="iteration" totalsRowLabel="."/>
    <tableColumn id="2" xr3:uid="{8FBD5F81-411A-4CB1-9411-9463A37172AD}" name="imagens manuais" totalsRowFunction="custom" dataDxfId="63" totalsRowDxfId="30">
      <totalsRowFormula>SUM(Tabela134[imagens manuais])</totalsRowFormula>
    </tableColumn>
    <tableColumn id="7" xr3:uid="{18F1EF93-CE88-4358-B9DA-970073705497}" name="auto" totalsRowFunction="custom" dataDxfId="62">
      <totalsRowFormula>SUM(Tabela134[auto])</totalsRowFormula>
    </tableColumn>
    <tableColumn id="3" xr3:uid="{2ACC9E1B-AA54-4EF5-87C1-C452746A4615}" name="imagens não anotadas" totalsRowLabel="." dataDxfId="61" totalsRowDxfId="29"/>
    <tableColumn id="8" xr3:uid="{186E1B62-C293-4C99-93CA-ED9588ACC971}" name="manual %" totalsRowFunction="custom" dataDxfId="45" totalsRowDxfId="28">
      <calculatedColumnFormula>C14/$E$14</calculatedColumnFormula>
      <totalsRowFormula>SUM(Tabela134[manual %])</totalsRowFormula>
    </tableColumn>
    <tableColumn id="9" xr3:uid="{73A24166-3EFD-4B03-83D2-FDAF2BCDB0D2}" name="auto %" totalsRowFunction="custom" dataDxfId="44" totalsRowDxfId="27">
      <calculatedColumnFormula>D14/$E$14</calculatedColumnFormula>
      <totalsRowFormula>SUM(Tabela134[auto %])</totalsRowFormula>
    </tableColumn>
    <tableColumn id="10" xr3:uid="{144B9441-7110-4AA3-ADC2-8A23243A543A}" name="annotated %" totalsRowFunction="custom" dataDxfId="43" totalsRowDxfId="26">
      <calculatedColumnFormula>(C14+D14)/$E$14</calculatedColumnFormula>
      <totalsRowFormula>SUM(Tabela134[annotated %])</totalsRowFormula>
    </tableColumn>
    <tableColumn id="4" xr3:uid="{65F1079D-6787-4F21-95A6-3178709870D0}" name="tempo de anotação (m)" totalsRowFunction="custom" dataDxfId="60" totalsRowDxfId="25">
      <totalsRowFormula>SUM(Tabela134[tempo de anotação (m)])</totalsRow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3B8E76-CE60-4687-85AD-4EA0A06DF58F}" name="Tabela1346" displayName="Tabela1346" ref="B21:I27" totalsRowCount="1">
  <autoFilter ref="B21:I26" xr:uid="{20E1078E-9096-4B13-8A96-95B6651F894C}"/>
  <tableColumns count="8">
    <tableColumn id="1" xr3:uid="{3BFD7ACB-485F-4FCC-90B9-2E3591193B7E}" name="iteration" totalsRowLabel="."/>
    <tableColumn id="2" xr3:uid="{A288C998-EA8F-4C28-85AD-A8751E6CF5C6}" name="imagens manuais" totalsRowFunction="custom" dataDxfId="59" totalsRowDxfId="24">
      <totalsRowFormula>SUM(Tabela1346[imagens manuais])</totalsRowFormula>
    </tableColumn>
    <tableColumn id="7" xr3:uid="{54BC1442-F5CC-4E65-9F0B-0185CD52480E}" name="auto" totalsRowFunction="custom" dataDxfId="58">
      <totalsRowFormula>SUM(Tabela1346[auto])</totalsRowFormula>
    </tableColumn>
    <tableColumn id="3" xr3:uid="{F1876EE3-84C3-4193-B409-F982C2A70009}" name="imagens não anotadas" totalsRowLabel="." dataDxfId="57" totalsRowDxfId="23"/>
    <tableColumn id="8" xr3:uid="{F0CB262D-B105-4BF3-832F-D2F6D8083E40}" name="manual %" totalsRowFunction="custom" dataDxfId="42" totalsRowDxfId="22">
      <calculatedColumnFormula>C22/$E$22</calculatedColumnFormula>
      <totalsRowFormula>SUM(Tabela1346[manual %])</totalsRowFormula>
    </tableColumn>
    <tableColumn id="9" xr3:uid="{7EAC52D8-1C9B-46EB-95C2-C01AF5A90377}" name="auto %" totalsRowFunction="custom" dataDxfId="41" totalsRowDxfId="21">
      <calculatedColumnFormula>D22/$E$22</calculatedColumnFormula>
      <totalsRowFormula>SUM(Tabela1346[auto %])</totalsRowFormula>
    </tableColumn>
    <tableColumn id="10" xr3:uid="{DE10610D-88DA-420C-8E7B-94C984F42201}" name="annotated %" totalsRowFunction="custom" dataDxfId="40" totalsRowDxfId="20">
      <calculatedColumnFormula>(C22+D22)/$E$22</calculatedColumnFormula>
      <totalsRowFormula>SUM(Tabela1346[annotated %])</totalsRowFormula>
    </tableColumn>
    <tableColumn id="4" xr3:uid="{F09E7A04-1A0F-40AB-99E6-2D3636399CE7}" name="tempo de anotação (m)" totalsRowFunction="custom" dataDxfId="56" totalsRowDxfId="19">
      <totalsRowFormula>SUM(Tabela1346[[#Headers],[#Data],[tempo de anotação (m)]])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30FBB7-B8B0-4FE8-8572-A5798FA8DCAD}" name="Tabela1347" displayName="Tabela1347" ref="B28:I33" totalsRowCount="1">
  <autoFilter ref="B28:I32" xr:uid="{BC43D5E2-5097-460E-BA77-B393A92CE86F}"/>
  <tableColumns count="8">
    <tableColumn id="1" xr3:uid="{FFB8DE13-150A-4BD8-9538-8FD6DD571B6D}" name="iteration" totalsRowLabel="."/>
    <tableColumn id="2" xr3:uid="{56D8DC3E-138A-4D3F-B61E-F8876CDFF91A}" name="imagens manuais" totalsRowFunction="custom" dataDxfId="55" totalsRowDxfId="18">
      <totalsRowFormula>SUM(Tabela1347[imagens manuais])</totalsRowFormula>
    </tableColumn>
    <tableColumn id="7" xr3:uid="{3A2B5B25-F952-43E1-B7ED-EC51A2EE002A}" name="auto" totalsRowFunction="custom" dataDxfId="54">
      <totalsRowFormula>SUM(Tabela1347[auto])</totalsRowFormula>
    </tableColumn>
    <tableColumn id="3" xr3:uid="{3777FF3A-4FD0-4F3C-BE3E-E05A4344F632}" name="imagens não anotadas" totalsRowLabel="." dataDxfId="53" totalsRowDxfId="17"/>
    <tableColumn id="8" xr3:uid="{3B7869F3-5144-42C8-8438-734065FDC89A}" name="manual %" totalsRowFunction="custom" dataDxfId="39" totalsRowDxfId="16">
      <calculatedColumnFormula>C29/$E$29</calculatedColumnFormula>
      <totalsRowFormula>SUM(Tabela1347[manual %])</totalsRowFormula>
    </tableColumn>
    <tableColumn id="9" xr3:uid="{18D89CCB-F233-4BA2-8F04-8486EC9DDF19}" name="auto %" totalsRowFunction="custom" dataDxfId="38" totalsRowDxfId="15">
      <calculatedColumnFormula>D29/$E$29</calculatedColumnFormula>
      <totalsRowFormula>SUM(Tabela1347[auto %])</totalsRowFormula>
    </tableColumn>
    <tableColumn id="10" xr3:uid="{B3EE4710-5D67-4A70-8B28-67AF678DE07C}" name="annotated %" totalsRowFunction="custom" dataDxfId="37" totalsRowDxfId="14">
      <calculatedColumnFormula>(C29+D29)/$E$29</calculatedColumnFormula>
      <totalsRowFormula>SUM(Tabela1347[annotated %])</totalsRowFormula>
    </tableColumn>
    <tableColumn id="4" xr3:uid="{F1CFD973-0C6A-4718-A567-3820C6C59CF4}" name="tempo de anotação (m)" totalsRowFunction="custom" dataDxfId="52" totalsRowDxfId="13">
      <totalsRowFormula>SUM(Tabela1347[[#Headers],[#Data],[tempo de anotação (m)]])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B1" workbookViewId="0">
      <selection activeCell="B2" sqref="B2"/>
    </sheetView>
  </sheetViews>
  <sheetFormatPr defaultRowHeight="14.5" x14ac:dyDescent="0.35"/>
  <sheetData>
    <row r="1" spans="2:11" x14ac:dyDescent="0.35">
      <c r="B1" t="s">
        <v>22</v>
      </c>
    </row>
    <row r="2" spans="2:1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2" t="s">
        <v>9</v>
      </c>
    </row>
    <row r="3" spans="2:11" x14ac:dyDescent="0.35">
      <c r="B3" s="3">
        <v>0</v>
      </c>
      <c r="C3" s="4">
        <v>0</v>
      </c>
      <c r="D3" s="4">
        <v>0</v>
      </c>
      <c r="E3" s="4">
        <v>457372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f t="shared" ref="K3:K12" si="0">E3/$E$3</f>
        <v>1</v>
      </c>
    </row>
    <row r="4" spans="2:11" x14ac:dyDescent="0.35">
      <c r="B4" s="7">
        <v>1</v>
      </c>
      <c r="C4">
        <v>4675</v>
      </c>
      <c r="D4">
        <v>408687</v>
      </c>
      <c r="E4">
        <v>44012</v>
      </c>
      <c r="F4" s="6">
        <f t="shared" ref="F4:F12" si="1">C4/$E$3</f>
        <v>1.0221439003699396E-2</v>
      </c>
      <c r="G4" s="6">
        <f t="shared" ref="G4:G12" si="2">D4/$E$3</f>
        <v>0.8935549180973037</v>
      </c>
      <c r="H4" s="6">
        <f t="shared" ref="H4:H12" si="3">(C4+D4)/$E$3</f>
        <v>0.90377635710100312</v>
      </c>
      <c r="I4" s="6">
        <f t="shared" ref="I4:I12" si="4">C4/E3</f>
        <v>1.0221439003699396E-2</v>
      </c>
      <c r="J4" s="6">
        <f t="shared" ref="J4:J12" si="5">D4/E3</f>
        <v>0.8935549180973037</v>
      </c>
      <c r="K4" s="6">
        <f t="shared" si="0"/>
        <v>9.6228015707126802E-2</v>
      </c>
    </row>
    <row r="5" spans="2:11" x14ac:dyDescent="0.35">
      <c r="B5" s="3">
        <v>2</v>
      </c>
      <c r="C5" s="4">
        <v>440</v>
      </c>
      <c r="D5" s="4">
        <v>16844</v>
      </c>
      <c r="E5" s="4">
        <v>26917</v>
      </c>
      <c r="F5" s="6">
        <f t="shared" si="1"/>
        <v>9.6201778858347252E-4</v>
      </c>
      <c r="G5" s="6">
        <f t="shared" si="2"/>
        <v>3.6827790070227295E-2</v>
      </c>
      <c r="H5" s="6">
        <f t="shared" si="3"/>
        <v>3.7789807858810774E-2</v>
      </c>
      <c r="I5" s="6">
        <f t="shared" si="4"/>
        <v>9.9972734708715805E-3</v>
      </c>
      <c r="J5" s="6">
        <f t="shared" si="5"/>
        <v>0.38271380532582022</v>
      </c>
      <c r="K5" s="6">
        <f t="shared" si="0"/>
        <v>5.8851438216593929E-2</v>
      </c>
    </row>
    <row r="6" spans="2:11" x14ac:dyDescent="0.35">
      <c r="B6" s="7">
        <v>3</v>
      </c>
      <c r="C6">
        <v>269</v>
      </c>
      <c r="D6">
        <v>7410</v>
      </c>
      <c r="E6">
        <v>19306</v>
      </c>
      <c r="F6" s="6">
        <f t="shared" si="1"/>
        <v>5.8814269347489572E-4</v>
      </c>
      <c r="G6" s="6">
        <f t="shared" si="2"/>
        <v>1.6201254121371661E-2</v>
      </c>
      <c r="H6" s="6">
        <f t="shared" si="3"/>
        <v>1.678939681484656E-2</v>
      </c>
      <c r="I6" s="6">
        <f t="shared" si="4"/>
        <v>9.9936842887394586E-3</v>
      </c>
      <c r="J6" s="6">
        <f t="shared" si="5"/>
        <v>0.27529070847419845</v>
      </c>
      <c r="K6" s="6">
        <f t="shared" si="0"/>
        <v>4.2210716878164821E-2</v>
      </c>
    </row>
    <row r="7" spans="2:11" x14ac:dyDescent="0.35">
      <c r="B7" s="3">
        <v>4</v>
      </c>
      <c r="C7" s="4">
        <v>193</v>
      </c>
      <c r="D7" s="4">
        <v>8319</v>
      </c>
      <c r="E7" s="4">
        <v>10898</v>
      </c>
      <c r="F7" s="6">
        <f t="shared" si="1"/>
        <v>4.2197598453775048E-4</v>
      </c>
      <c r="G7" s="6">
        <f t="shared" si="2"/>
        <v>1.8188695416422519E-2</v>
      </c>
      <c r="H7" s="6">
        <f t="shared" si="3"/>
        <v>1.8610671400960267E-2</v>
      </c>
      <c r="I7" s="6">
        <f t="shared" si="4"/>
        <v>9.9968921578783791E-3</v>
      </c>
      <c r="J7" s="6">
        <f t="shared" si="5"/>
        <v>0.43090231016264374</v>
      </c>
      <c r="K7" s="6">
        <f t="shared" si="0"/>
        <v>2.3827431499960645E-2</v>
      </c>
    </row>
    <row r="8" spans="2:11" x14ac:dyDescent="0.35">
      <c r="B8" s="7">
        <v>5</v>
      </c>
      <c r="C8">
        <v>108</v>
      </c>
      <c r="D8">
        <v>2618</v>
      </c>
      <c r="E8">
        <v>8204</v>
      </c>
      <c r="F8" s="6">
        <f t="shared" si="1"/>
        <v>2.3613163901594326E-4</v>
      </c>
      <c r="G8" s="6">
        <f t="shared" si="2"/>
        <v>5.7240058420716614E-3</v>
      </c>
      <c r="H8" s="6">
        <f t="shared" si="3"/>
        <v>5.9601374810876045E-3</v>
      </c>
      <c r="I8" s="6">
        <f t="shared" si="4"/>
        <v>9.910075243163884E-3</v>
      </c>
      <c r="J8" s="6">
        <f t="shared" si="5"/>
        <v>0.24022756469076895</v>
      </c>
      <c r="K8" s="6">
        <f t="shared" si="0"/>
        <v>1.7937258948951838E-2</v>
      </c>
    </row>
    <row r="9" spans="2:11" x14ac:dyDescent="0.35">
      <c r="B9" s="3">
        <v>6</v>
      </c>
      <c r="C9" s="4">
        <v>100</v>
      </c>
      <c r="D9" s="4">
        <v>1661</v>
      </c>
      <c r="E9" s="4">
        <v>4677</v>
      </c>
      <c r="F9" s="6">
        <f t="shared" si="1"/>
        <v>2.1864040649624376E-4</v>
      </c>
      <c r="G9" s="6">
        <f t="shared" si="2"/>
        <v>3.6316171519026087E-3</v>
      </c>
      <c r="H9" s="6">
        <f t="shared" si="3"/>
        <v>3.8502575583988525E-3</v>
      </c>
      <c r="I9" s="6">
        <f t="shared" si="4"/>
        <v>1.218917601170161E-2</v>
      </c>
      <c r="J9" s="6">
        <f t="shared" si="5"/>
        <v>0.20246221355436372</v>
      </c>
      <c r="K9" s="6">
        <f t="shared" si="0"/>
        <v>1.022581181182932E-2</v>
      </c>
    </row>
    <row r="10" spans="2:11" x14ac:dyDescent="0.35">
      <c r="B10" s="7">
        <v>7</v>
      </c>
      <c r="C10">
        <v>100</v>
      </c>
      <c r="D10">
        <v>872</v>
      </c>
      <c r="E10">
        <v>5518</v>
      </c>
      <c r="F10" s="6">
        <f t="shared" si="1"/>
        <v>2.1864040649624376E-4</v>
      </c>
      <c r="G10" s="6">
        <f t="shared" si="2"/>
        <v>1.9065443446472457E-3</v>
      </c>
      <c r="H10" s="6">
        <f t="shared" si="3"/>
        <v>2.1251847511434894E-3</v>
      </c>
      <c r="I10" s="6">
        <f t="shared" si="4"/>
        <v>2.1381227282446014E-2</v>
      </c>
      <c r="J10" s="6">
        <f t="shared" si="5"/>
        <v>0.18644430190292924</v>
      </c>
      <c r="K10" s="6">
        <f t="shared" si="0"/>
        <v>1.2064577630462731E-2</v>
      </c>
    </row>
    <row r="11" spans="2:11" x14ac:dyDescent="0.35">
      <c r="B11" s="3">
        <v>8</v>
      </c>
      <c r="C11" s="4">
        <v>100</v>
      </c>
      <c r="D11" s="4">
        <v>1428</v>
      </c>
      <c r="E11" s="4">
        <v>4032</v>
      </c>
      <c r="F11" s="6">
        <f t="shared" si="1"/>
        <v>2.1864040649624376E-4</v>
      </c>
      <c r="G11" s="6">
        <f t="shared" si="2"/>
        <v>3.1221850047663609E-3</v>
      </c>
      <c r="H11" s="6">
        <f t="shared" si="3"/>
        <v>3.3408254112626047E-3</v>
      </c>
      <c r="I11" s="6">
        <f t="shared" si="4"/>
        <v>1.8122508155128669E-2</v>
      </c>
      <c r="J11" s="6">
        <f t="shared" si="5"/>
        <v>0.2587894164552374</v>
      </c>
      <c r="K11" s="6">
        <f t="shared" si="0"/>
        <v>8.815581189928548E-3</v>
      </c>
    </row>
    <row r="12" spans="2:11" x14ac:dyDescent="0.35">
      <c r="B12" s="7">
        <v>9</v>
      </c>
      <c r="C12">
        <v>4031</v>
      </c>
      <c r="D12">
        <v>0</v>
      </c>
      <c r="E12">
        <v>0</v>
      </c>
      <c r="F12" s="6">
        <f t="shared" si="1"/>
        <v>8.8133947858635864E-3</v>
      </c>
      <c r="G12" s="6">
        <f t="shared" si="2"/>
        <v>0</v>
      </c>
      <c r="H12" s="6">
        <f t="shared" si="3"/>
        <v>8.8133947858635864E-3</v>
      </c>
      <c r="I12" s="6">
        <f t="shared" si="4"/>
        <v>0.99975198412698407</v>
      </c>
      <c r="J12" s="6">
        <f t="shared" si="5"/>
        <v>0</v>
      </c>
      <c r="K12" s="6">
        <f t="shared" si="0"/>
        <v>0</v>
      </c>
    </row>
    <row r="13" spans="2:11" x14ac:dyDescent="0.35">
      <c r="B13" s="1" t="s">
        <v>10</v>
      </c>
      <c r="C13" s="1">
        <f>SUM(C4:C12)</f>
        <v>10016</v>
      </c>
      <c r="D13" s="1">
        <f>SUM((D4:D12))</f>
        <v>447839</v>
      </c>
      <c r="E13" s="8" t="s">
        <v>11</v>
      </c>
      <c r="F13" s="9">
        <f>SUM($F3:$F12)</f>
        <v>2.1899023114663775E-2</v>
      </c>
      <c r="G13" s="9">
        <f>SUM($G3:$G12)</f>
        <v>0.97915701004871303</v>
      </c>
      <c r="H13" s="9">
        <f>SUM(H3:H12)</f>
        <v>1.0010560331633769</v>
      </c>
      <c r="I13" s="10" t="s">
        <v>11</v>
      </c>
      <c r="J13" s="10" t="s">
        <v>11</v>
      </c>
      <c r="K13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07B9-8C69-45D4-A7BD-078D9101654B}">
  <dimension ref="A1:J22"/>
  <sheetViews>
    <sheetView tabSelected="1" workbookViewId="0">
      <selection activeCell="G20" sqref="G20"/>
    </sheetView>
  </sheetViews>
  <sheetFormatPr defaultRowHeight="14.5" x14ac:dyDescent="0.35"/>
  <sheetData>
    <row r="1" spans="1:10" x14ac:dyDescent="0.35">
      <c r="A1" t="s">
        <v>12</v>
      </c>
    </row>
    <row r="2" spans="1:10" x14ac:dyDescent="0.35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>
        <v>0</v>
      </c>
      <c r="B3" s="11">
        <v>0</v>
      </c>
      <c r="C3" s="11">
        <v>0</v>
      </c>
      <c r="D3" s="11">
        <v>396243</v>
      </c>
      <c r="E3" s="6">
        <f>Tabela1[[#This Row],[manual]]/$D$3</f>
        <v>0</v>
      </c>
      <c r="F3" s="6">
        <f>Tabela1[[#This Row],[auto]]/$D$3</f>
        <v>0</v>
      </c>
      <c r="G3" s="6">
        <f>(Tabela1[[#This Row],[manual]]+Tabela1[[#This Row],[auto]])/$D$3</f>
        <v>0</v>
      </c>
      <c r="H3" s="12" t="s">
        <v>11</v>
      </c>
      <c r="I3" s="13" t="s">
        <v>11</v>
      </c>
      <c r="J3" s="14" t="s">
        <v>11</v>
      </c>
    </row>
    <row r="4" spans="1:10" x14ac:dyDescent="0.35">
      <c r="A4">
        <v>1</v>
      </c>
      <c r="B4" s="11">
        <v>7755</v>
      </c>
      <c r="C4" s="11">
        <v>342259</v>
      </c>
      <c r="D4" s="11">
        <v>46204</v>
      </c>
      <c r="E4" s="6">
        <f>Tabela1[[#This Row],[manual]]/$D$3</f>
        <v>1.9571323657452625E-2</v>
      </c>
      <c r="F4" s="6">
        <f>Tabela1[[#This Row],[auto]]/$D$3</f>
        <v>0.86376036926835298</v>
      </c>
      <c r="G4" s="6">
        <f>(Tabela1[[#This Row],[manual]]+Tabela1[[#This Row],[auto]])/$D$3</f>
        <v>0.8833316929258056</v>
      </c>
      <c r="H4" s="12" t="s">
        <v>11</v>
      </c>
      <c r="I4" s="11">
        <f>D3-Tabela1[[#This Row],[unlabeled]]</f>
        <v>350039</v>
      </c>
      <c r="J4" s="6">
        <f>Tabela1[[#This Row],[diff]]/D3</f>
        <v>0.88339478552302497</v>
      </c>
    </row>
    <row r="5" spans="1:10" x14ac:dyDescent="0.35">
      <c r="A5">
        <v>2</v>
      </c>
      <c r="B5" s="11">
        <v>462</v>
      </c>
      <c r="C5" s="11">
        <v>5973</v>
      </c>
      <c r="D5" s="11">
        <v>39770</v>
      </c>
      <c r="E5" s="6">
        <f>Tabela1[[#This Row],[manual]]/$D$3</f>
        <v>1.1659511966141988E-3</v>
      </c>
      <c r="F5" s="6">
        <f>Tabela1[[#This Row],[auto]]/$D$3</f>
        <v>1.5074083327654999E-2</v>
      </c>
      <c r="G5" s="6">
        <f>(Tabela1[[#This Row],[manual]]+Tabela1[[#This Row],[auto]])/$D$3</f>
        <v>1.6240034524269198E-2</v>
      </c>
      <c r="H5" s="15"/>
      <c r="I5" s="11">
        <f>D4-Tabela1[[#This Row],[unlabeled]]</f>
        <v>6434</v>
      </c>
      <c r="J5" s="6">
        <f>Tabela1[[#This Row],[diff]]/D4</f>
        <v>0.13925201281274349</v>
      </c>
    </row>
    <row r="6" spans="1:10" x14ac:dyDescent="0.35">
      <c r="A6">
        <v>3</v>
      </c>
      <c r="B6" s="11">
        <v>397</v>
      </c>
      <c r="C6" s="11">
        <v>5410</v>
      </c>
      <c r="D6" s="11">
        <v>33963</v>
      </c>
      <c r="E6" s="6">
        <f>Tabela1[[#This Row],[manual]]/$D$3</f>
        <v>1.001910443843803E-3</v>
      </c>
      <c r="F6" s="6">
        <f>Tabela1[[#This Row],[auto]]/$D$3</f>
        <v>1.3653238038274493E-2</v>
      </c>
      <c r="G6" s="6">
        <f>(Tabela1[[#This Row],[manual]]+Tabela1[[#This Row],[auto]])/$D$3</f>
        <v>1.4655148482118296E-2</v>
      </c>
      <c r="H6" s="15">
        <v>13.6</v>
      </c>
      <c r="I6" s="11">
        <f>D5-Tabela1[[#This Row],[unlabeled]]</f>
        <v>5807</v>
      </c>
      <c r="J6" s="6">
        <f>Tabela1[[#This Row],[diff]]/D5</f>
        <v>0.14601458385717878</v>
      </c>
    </row>
    <row r="7" spans="1:10" x14ac:dyDescent="0.35">
      <c r="A7">
        <v>4</v>
      </c>
      <c r="B7" s="11">
        <v>338</v>
      </c>
      <c r="C7" s="11">
        <v>9459</v>
      </c>
      <c r="D7" s="11">
        <v>24170</v>
      </c>
      <c r="E7" s="6">
        <f>Tabela1[[#This Row],[manual]]/$D$3</f>
        <v>8.5301191440605888E-4</v>
      </c>
      <c r="F7" s="6">
        <f>Tabela1[[#This Row],[auto]]/$D$3</f>
        <v>2.3871715083925774E-2</v>
      </c>
      <c r="G7" s="6">
        <f>(Tabela1[[#This Row],[manual]]+Tabela1[[#This Row],[auto]])/$D$3</f>
        <v>2.4724726998331833E-2</v>
      </c>
      <c r="H7" s="15">
        <v>8</v>
      </c>
      <c r="I7" s="11">
        <f>D6-Tabela1[[#This Row],[unlabeled]]</f>
        <v>9793</v>
      </c>
      <c r="J7" s="6">
        <f>Tabela1[[#This Row],[diff]]/D6</f>
        <v>0.28834319700850924</v>
      </c>
    </row>
    <row r="8" spans="1:10" x14ac:dyDescent="0.35">
      <c r="A8">
        <v>5</v>
      </c>
      <c r="B8" s="11">
        <v>241</v>
      </c>
      <c r="C8" s="11">
        <v>4586</v>
      </c>
      <c r="D8" s="11">
        <v>19393</v>
      </c>
      <c r="E8" s="6">
        <f>Tabela1[[#This Row],[manual]]/$D$3</f>
        <v>6.0821263719485266E-4</v>
      </c>
      <c r="F8" s="6">
        <f>Tabela1[[#This Row],[auto]]/$D$3</f>
        <v>1.1573706033923627E-2</v>
      </c>
      <c r="G8" s="6">
        <f>(Tabela1[[#This Row],[manual]]+Tabela1[[#This Row],[auto]])/$D$3</f>
        <v>1.218191867111848E-2</v>
      </c>
      <c r="H8" s="15">
        <v>7</v>
      </c>
      <c r="I8" s="11">
        <f>D7-Tabela1[[#This Row],[unlabeled]]</f>
        <v>4777</v>
      </c>
      <c r="J8" s="6">
        <f>Tabela1[[#This Row],[diff]]/D7</f>
        <v>0.19764170459246999</v>
      </c>
    </row>
    <row r="9" spans="1:10" x14ac:dyDescent="0.35">
      <c r="A9">
        <v>6</v>
      </c>
      <c r="B9" s="11">
        <v>193</v>
      </c>
      <c r="C9" s="11">
        <v>3890</v>
      </c>
      <c r="D9" s="11">
        <v>15260</v>
      </c>
      <c r="E9" s="6">
        <f>Tabela1[[#This Row],[manual]]/$D$3</f>
        <v>4.8707485053363716E-4</v>
      </c>
      <c r="F9" s="6">
        <f>Tabela1[[#This Row],[auto]]/$D$3</f>
        <v>9.8172081273360037E-3</v>
      </c>
      <c r="G9" s="6">
        <f>(Tabela1[[#This Row],[manual]]+Tabela1[[#This Row],[auto]])/$D$3</f>
        <v>1.0304282977869641E-2</v>
      </c>
      <c r="H9" s="15"/>
      <c r="I9" s="11">
        <f>D8-Tabela1[[#This Row],[unlabeled]]</f>
        <v>4133</v>
      </c>
      <c r="J9" s="6">
        <f>Tabela1[[#This Row],[diff]]/D8</f>
        <v>0.21311813540968391</v>
      </c>
    </row>
    <row r="10" spans="1:10" x14ac:dyDescent="0.35">
      <c r="A10">
        <v>7</v>
      </c>
      <c r="B10" s="11">
        <v>151</v>
      </c>
      <c r="C10" s="11">
        <v>2037</v>
      </c>
      <c r="D10" s="11">
        <v>13072</v>
      </c>
      <c r="E10" s="6">
        <f>Tabela1[[#This Row],[manual]]/$D$3</f>
        <v>3.8107928720507368E-4</v>
      </c>
      <c r="F10" s="6">
        <f>Tabela1[[#This Row],[auto]]/$D$3</f>
        <v>5.140784821435331E-3</v>
      </c>
      <c r="G10" s="6">
        <f>(Tabela1[[#This Row],[manual]]+Tabela1[[#This Row],[auto]])/$D$3</f>
        <v>5.5218641086404053E-3</v>
      </c>
      <c r="H10" s="15">
        <v>3</v>
      </c>
      <c r="I10" s="11">
        <f>D9-Tabela1[[#This Row],[unlabeled]]</f>
        <v>2188</v>
      </c>
      <c r="J10" s="6">
        <f>Tabela1[[#This Row],[diff]]/D9</f>
        <v>0.14338138925294888</v>
      </c>
    </row>
    <row r="11" spans="1:10" x14ac:dyDescent="0.35">
      <c r="A11">
        <v>8</v>
      </c>
      <c r="B11" s="11">
        <v>130</v>
      </c>
      <c r="C11" s="11">
        <v>1586</v>
      </c>
      <c r="D11" s="11">
        <v>11356</v>
      </c>
      <c r="E11" s="6">
        <f>Tabela1[[#This Row],[manual]]/$D$3</f>
        <v>3.2808150554079188E-4</v>
      </c>
      <c r="F11" s="6">
        <f>Tabela1[[#This Row],[auto]]/$D$3</f>
        <v>4.0025943675976615E-3</v>
      </c>
      <c r="G11" s="6">
        <f>(Tabela1[[#This Row],[manual]]+Tabela1[[#This Row],[auto]])/$D$3</f>
        <v>4.330675873138453E-3</v>
      </c>
      <c r="H11" s="15"/>
      <c r="I11" s="11">
        <f>D10-Tabela1[[#This Row],[unlabeled]]</f>
        <v>1716</v>
      </c>
      <c r="J11" s="6">
        <f>Tabela1[[#This Row],[diff]]/D10</f>
        <v>0.13127294981640147</v>
      </c>
    </row>
    <row r="12" spans="1:10" x14ac:dyDescent="0.35">
      <c r="A12">
        <v>9</v>
      </c>
      <c r="B12" s="11">
        <v>112</v>
      </c>
      <c r="C12" s="11">
        <v>1761</v>
      </c>
      <c r="D12" s="11">
        <v>9483</v>
      </c>
      <c r="E12" s="6">
        <f>Tabela1[[#This Row],[manual]]/$D$3</f>
        <v>2.8265483554283611E-4</v>
      </c>
      <c r="F12" s="6">
        <f>Tabela1[[#This Row],[auto]]/$D$3</f>
        <v>4.4442425481333427E-3</v>
      </c>
      <c r="G12" s="6">
        <f>(Tabela1[[#This Row],[manual]]+Tabela1[[#This Row],[auto]])/$D$3</f>
        <v>4.7268973836761784E-3</v>
      </c>
      <c r="H12" s="15">
        <f>2+20/60</f>
        <v>2.3333333333333335</v>
      </c>
      <c r="I12" s="11">
        <f>D11-Tabela1[[#This Row],[unlabeled]]</f>
        <v>1873</v>
      </c>
      <c r="J12" s="6">
        <f>Tabela1[[#This Row],[diff]]/D11</f>
        <v>0.16493483620993307</v>
      </c>
    </row>
    <row r="13" spans="1:10" x14ac:dyDescent="0.35">
      <c r="A13">
        <v>10</v>
      </c>
      <c r="B13" s="11">
        <v>100</v>
      </c>
      <c r="C13" s="11">
        <v>1342</v>
      </c>
      <c r="D13" s="11">
        <v>8041</v>
      </c>
      <c r="E13" s="6">
        <f>Tabela1[[#This Row],[manual]]/$D$3</f>
        <v>2.523703888775322E-4</v>
      </c>
      <c r="F13" s="6">
        <f>Tabela1[[#This Row],[auto]]/$D$3</f>
        <v>3.3868106187364823E-3</v>
      </c>
      <c r="G13" s="6">
        <f>(Tabela1[[#This Row],[manual]]+Tabela1[[#This Row],[auto]])/$D$3</f>
        <v>3.6391810076140145E-3</v>
      </c>
      <c r="H13" s="15">
        <f>3+11/60</f>
        <v>3.1833333333333331</v>
      </c>
      <c r="I13" s="11">
        <f>D12-Tabela1[[#This Row],[unlabeled]]</f>
        <v>1442</v>
      </c>
      <c r="J13" s="6">
        <f>Tabela1[[#This Row],[diff]]/D12</f>
        <v>0.15206158388695559</v>
      </c>
    </row>
    <row r="14" spans="1:10" x14ac:dyDescent="0.35">
      <c r="A14">
        <v>11</v>
      </c>
      <c r="B14" s="11">
        <v>100</v>
      </c>
      <c r="C14" s="11">
        <v>1347</v>
      </c>
      <c r="D14" s="11">
        <v>6594</v>
      </c>
      <c r="E14" s="6">
        <f>Tabela1[[#This Row],[manual]]/$D$3</f>
        <v>2.523703888775322E-4</v>
      </c>
      <c r="F14" s="6">
        <f>Tabela1[[#This Row],[auto]]/$D$3</f>
        <v>3.3994291381803589E-3</v>
      </c>
      <c r="G14" s="6">
        <f>(Tabela1[[#This Row],[manual]]+Tabela1[[#This Row],[auto]])/$D$3</f>
        <v>3.6517995270578911E-3</v>
      </c>
      <c r="H14" s="15">
        <f>1+37/60</f>
        <v>1.6166666666666667</v>
      </c>
      <c r="I14" s="11">
        <f>D13-Tabela1[[#This Row],[unlabeled]]</f>
        <v>1447</v>
      </c>
      <c r="J14" s="6">
        <f>Tabela1[[#This Row],[diff]]/D13</f>
        <v>0.17995274219624424</v>
      </c>
    </row>
    <row r="15" spans="1:10" x14ac:dyDescent="0.35">
      <c r="A15">
        <v>12</v>
      </c>
      <c r="B15" s="11">
        <v>100</v>
      </c>
      <c r="C15" s="11">
        <v>406</v>
      </c>
      <c r="D15" s="11">
        <v>6088</v>
      </c>
      <c r="E15" s="6">
        <f>Tabela1[[#This Row],[manual]]/$D$3</f>
        <v>2.523703888775322E-4</v>
      </c>
      <c r="F15" s="6">
        <f>Tabela1[[#This Row],[auto]]/$D$3</f>
        <v>1.0246237788427807E-3</v>
      </c>
      <c r="G15" s="6">
        <f>(Tabela1[[#This Row],[manual]]+Tabela1[[#This Row],[auto]])/$D$3</f>
        <v>1.2769941677203129E-3</v>
      </c>
      <c r="H15" s="15">
        <f>3+9/60</f>
        <v>3.15</v>
      </c>
      <c r="I15" s="11">
        <f>D14-Tabela1[[#This Row],[unlabeled]]</f>
        <v>506</v>
      </c>
      <c r="J15" s="6">
        <f>Tabela1[[#This Row],[diff]]/D14</f>
        <v>7.6736427054898387E-2</v>
      </c>
    </row>
    <row r="16" spans="1:10" x14ac:dyDescent="0.35">
      <c r="A16">
        <v>13</v>
      </c>
      <c r="B16" s="11">
        <v>100</v>
      </c>
      <c r="C16" s="11">
        <v>479</v>
      </c>
      <c r="D16" s="11">
        <v>5510</v>
      </c>
      <c r="E16" s="6">
        <f>Tabela1[[#This Row],[manual]]/$D$3</f>
        <v>2.523703888775322E-4</v>
      </c>
      <c r="F16" s="6">
        <f>Tabela1[[#This Row],[auto]]/$D$3</f>
        <v>1.2088541627233794E-3</v>
      </c>
      <c r="G16" s="6">
        <f>(Tabela1[[#This Row],[manual]]+Tabela1[[#This Row],[auto]])/$D$3</f>
        <v>1.4612245516009115E-3</v>
      </c>
      <c r="H16" s="15">
        <f>1+47/60</f>
        <v>1.7833333333333332</v>
      </c>
      <c r="I16" s="11">
        <f>D15-Tabela1[[#This Row],[unlabeled]]</f>
        <v>578</v>
      </c>
      <c r="J16" s="6">
        <f>Tabela1[[#This Row],[diff]]/D15</f>
        <v>9.4940867279894869E-2</v>
      </c>
    </row>
    <row r="17" spans="1:10" x14ac:dyDescent="0.35">
      <c r="A17">
        <v>14</v>
      </c>
      <c r="B17" s="11">
        <v>100</v>
      </c>
      <c r="C17" s="11">
        <v>381</v>
      </c>
      <c r="D17" s="11">
        <v>5029</v>
      </c>
      <c r="E17" s="6">
        <f>Tabela1[[#This Row],[manual]]/$D$3</f>
        <v>2.523703888775322E-4</v>
      </c>
      <c r="F17" s="6">
        <f>Tabela1[[#This Row],[auto]]/$D$3</f>
        <v>9.6153118162339781E-4</v>
      </c>
      <c r="G17" s="6">
        <f>(Tabela1[[#This Row],[manual]]+Tabela1[[#This Row],[auto]])/$D$3</f>
        <v>1.21390157050093E-3</v>
      </c>
      <c r="H17" s="15">
        <f>2+21/60</f>
        <v>2.35</v>
      </c>
      <c r="I17" s="11">
        <f>D16-Tabela1[[#This Row],[unlabeled]]</f>
        <v>481</v>
      </c>
      <c r="J17" s="6">
        <f>Tabela1[[#This Row],[diff]]/D16</f>
        <v>8.7295825771324859E-2</v>
      </c>
    </row>
    <row r="18" spans="1:10" x14ac:dyDescent="0.35">
      <c r="A18">
        <v>15</v>
      </c>
      <c r="B18" s="11">
        <v>100</v>
      </c>
      <c r="C18" s="11">
        <v>773</v>
      </c>
      <c r="D18" s="11">
        <v>4157</v>
      </c>
      <c r="E18" s="6">
        <f>Tabela1[[#This Row],[manual]]/$D$3</f>
        <v>2.523703888775322E-4</v>
      </c>
      <c r="F18" s="6">
        <f>Tabela1[[#This Row],[auto]]/$D$3</f>
        <v>1.950823106023324E-3</v>
      </c>
      <c r="G18" s="6">
        <f>(Tabela1[[#This Row],[manual]]+Tabela1[[#This Row],[auto]])/$D$3</f>
        <v>2.2031934949008564E-3</v>
      </c>
      <c r="H18" s="15">
        <f>2+37/60</f>
        <v>2.6166666666666667</v>
      </c>
      <c r="I18" s="11">
        <f>D17-Tabela1[[#This Row],[unlabeled]]</f>
        <v>872</v>
      </c>
      <c r="J18" s="6">
        <f>Tabela1[[#This Row],[diff]]/D17</f>
        <v>0.1733943129846888</v>
      </c>
    </row>
    <row r="19" spans="1:10" x14ac:dyDescent="0.35">
      <c r="A19">
        <v>16</v>
      </c>
      <c r="B19" s="11">
        <v>4157</v>
      </c>
      <c r="C19" s="11">
        <v>0</v>
      </c>
      <c r="D19" s="11">
        <v>0</v>
      </c>
      <c r="E19" s="6">
        <f>Tabela1[[#This Row],[manual]]/$D$3</f>
        <v>1.0491037065639015E-2</v>
      </c>
      <c r="F19" s="6">
        <f>Tabela1[[#This Row],[auto]]/$D$3</f>
        <v>0</v>
      </c>
      <c r="G19" s="6">
        <f>(Tabela1[[#This Row],[manual]]+Tabela1[[#This Row],[auto]])/$D$3</f>
        <v>1.0491037065639015E-2</v>
      </c>
      <c r="H19" s="15">
        <f>68</f>
        <v>68</v>
      </c>
      <c r="I19" s="13" t="s">
        <v>11</v>
      </c>
      <c r="J19" s="14" t="s">
        <v>11</v>
      </c>
    </row>
    <row r="20" spans="1:10" x14ac:dyDescent="0.35">
      <c r="A20" t="s">
        <v>32</v>
      </c>
      <c r="B20" s="11">
        <f>SUM(Tabela1[manual])</f>
        <v>14536</v>
      </c>
      <c r="C20" s="11">
        <f>SUM(Tabela1[auto])</f>
        <v>381689</v>
      </c>
      <c r="D20" s="17" t="s">
        <v>11</v>
      </c>
      <c r="E20" s="6">
        <f>SUM(Tabela1[manual %])</f>
        <v>3.6684559727238088E-2</v>
      </c>
      <c r="F20" s="6">
        <f>SUM(Tabela1[auto %])</f>
        <v>0.96327001360276399</v>
      </c>
      <c r="G20" s="6">
        <f>SUM(Tabela1[annotated %])</f>
        <v>0.99995457333000193</v>
      </c>
      <c r="H20" s="15">
        <f>SUM(Tabela1[tempo de anotação (m)])</f>
        <v>116.63333333333333</v>
      </c>
    </row>
    <row r="21" spans="1:10" x14ac:dyDescent="0.35">
      <c r="H21" s="15">
        <f>SUM(B5:B19)/Tabela1[[#Totals],[tempo de anotação (m)]]</f>
        <v>58.139468419548443</v>
      </c>
      <c r="I21" t="s">
        <v>20</v>
      </c>
    </row>
    <row r="22" spans="1:10" x14ac:dyDescent="0.35">
      <c r="H22" s="15">
        <f>Tabela1[[#Totals],[tempo de anotação (m)]]/SUM(B5:B19)</f>
        <v>1.7200019662783266E-2</v>
      </c>
      <c r="I22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C809-6DAF-436E-AB85-CCFE227EDE6E}">
  <dimension ref="A1:I33"/>
  <sheetViews>
    <sheetView workbookViewId="0">
      <selection activeCell="C22" sqref="C22"/>
    </sheetView>
  </sheetViews>
  <sheetFormatPr defaultRowHeight="14.5" x14ac:dyDescent="0.35"/>
  <cols>
    <col min="9" max="9" width="23" bestFit="1" customWidth="1"/>
    <col min="50" max="50" width="23" bestFit="1" customWidth="1"/>
  </cols>
  <sheetData>
    <row r="1" spans="1:9" x14ac:dyDescent="0.35">
      <c r="B1" t="s">
        <v>23</v>
      </c>
    </row>
    <row r="2" spans="1:9" x14ac:dyDescent="0.35">
      <c r="A2" t="s">
        <v>26</v>
      </c>
      <c r="B2" t="s">
        <v>33</v>
      </c>
      <c r="C2" t="s">
        <v>1</v>
      </c>
      <c r="D2" t="s">
        <v>2</v>
      </c>
      <c r="E2" t="s">
        <v>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27</v>
      </c>
      <c r="B3">
        <v>0</v>
      </c>
      <c r="C3" s="11">
        <v>0</v>
      </c>
      <c r="D3">
        <v>0</v>
      </c>
      <c r="E3" s="11">
        <v>123457</v>
      </c>
      <c r="F3" s="16">
        <f>Tabela19[[#This Row],[manual]]/$E$3</f>
        <v>0</v>
      </c>
      <c r="G3" s="16">
        <f>Tabela19[[#This Row],[auto]]/$E$3</f>
        <v>0</v>
      </c>
      <c r="H3" s="16">
        <f>(Tabela19[[#This Row],[manual]]+Tabela19[[#This Row],[auto]])/$E$3</f>
        <v>0</v>
      </c>
      <c r="I3" s="12" t="s">
        <v>11</v>
      </c>
    </row>
    <row r="4" spans="1:9" x14ac:dyDescent="0.35">
      <c r="A4" t="s">
        <v>32</v>
      </c>
      <c r="B4">
        <v>1</v>
      </c>
      <c r="C4" s="11">
        <v>7119</v>
      </c>
      <c r="D4">
        <v>122777</v>
      </c>
      <c r="E4" s="11">
        <v>680</v>
      </c>
      <c r="F4" s="16">
        <f>Tabela19[[#This Row],[manual]]/$E$3</f>
        <v>5.766380197153665E-2</v>
      </c>
      <c r="G4" s="16">
        <f>Tabela19[[#This Row],[auto]]/$E$3</f>
        <v>0.99449200936358406</v>
      </c>
      <c r="H4" s="16">
        <f>(Tabela19[[#This Row],[manual]]+Tabela19[[#This Row],[auto]])/$E$3</f>
        <v>1.0521558113351208</v>
      </c>
      <c r="I4" s="12" t="s">
        <v>11</v>
      </c>
    </row>
    <row r="5" spans="1:9" x14ac:dyDescent="0.35">
      <c r="A5" t="s">
        <v>32</v>
      </c>
      <c r="B5">
        <v>2</v>
      </c>
      <c r="C5" s="11">
        <v>680</v>
      </c>
      <c r="D5" s="11">
        <v>0</v>
      </c>
      <c r="E5" s="11">
        <v>0</v>
      </c>
      <c r="F5" s="16">
        <f>Tabela19[[#This Row],[manual]]/$E$3</f>
        <v>5.5079906364159182E-3</v>
      </c>
      <c r="G5" s="16">
        <f>Tabela19[[#This Row],[auto]]/$E$3</f>
        <v>0</v>
      </c>
      <c r="H5" s="16">
        <f>(Tabela19[[#This Row],[manual]]+Tabela19[[#This Row],[auto]])/$E$3</f>
        <v>5.5079906364159182E-3</v>
      </c>
      <c r="I5" s="15">
        <f>9+51/60</f>
        <v>9.85</v>
      </c>
    </row>
    <row r="6" spans="1:9" x14ac:dyDescent="0.35">
      <c r="A6" t="s">
        <v>32</v>
      </c>
      <c r="B6" t="s">
        <v>32</v>
      </c>
      <c r="C6" s="11">
        <f>SUM(Tabela19[manual])</f>
        <v>7799</v>
      </c>
      <c r="D6">
        <f>SUM(Tabela19[auto])</f>
        <v>122777</v>
      </c>
      <c r="E6" s="11" t="s">
        <v>32</v>
      </c>
      <c r="F6" s="16">
        <f>SUM(Tabela19[manual %])</f>
        <v>6.3171792607952568E-2</v>
      </c>
      <c r="G6" s="16">
        <f>SUM(Tabela19[auto %])</f>
        <v>0.99449200936358406</v>
      </c>
      <c r="H6" s="16">
        <f>SUM(Tabela19[annotated %])</f>
        <v>1.0576638019715368</v>
      </c>
      <c r="I6" s="15">
        <f>SUM(Tabela19[tempo de anotação (m)])</f>
        <v>9.85</v>
      </c>
    </row>
    <row r="7" spans="1:9" x14ac:dyDescent="0.35">
      <c r="A7" t="s">
        <v>32</v>
      </c>
      <c r="B7" t="s">
        <v>13</v>
      </c>
      <c r="C7" t="s">
        <v>1</v>
      </c>
      <c r="D7" t="s">
        <v>2</v>
      </c>
      <c r="E7" t="s">
        <v>3</v>
      </c>
      <c r="F7" s="16" t="s">
        <v>14</v>
      </c>
      <c r="G7" s="16" t="s">
        <v>15</v>
      </c>
      <c r="H7" s="16" t="s">
        <v>16</v>
      </c>
      <c r="I7" t="s">
        <v>17</v>
      </c>
    </row>
    <row r="8" spans="1:9" x14ac:dyDescent="0.35">
      <c r="A8" t="s">
        <v>28</v>
      </c>
      <c r="B8">
        <v>0</v>
      </c>
      <c r="C8" s="11">
        <v>0</v>
      </c>
      <c r="D8">
        <v>0</v>
      </c>
      <c r="E8" s="11">
        <v>123457</v>
      </c>
      <c r="F8" s="16">
        <f t="shared" ref="F8:F11" si="0">C8/$E$8</f>
        <v>0</v>
      </c>
      <c r="G8" s="16">
        <f t="shared" ref="G8:G11" si="1">D8/$E$8</f>
        <v>0</v>
      </c>
      <c r="H8" s="16">
        <f t="shared" ref="H8:H11" si="2">(C8+D8)/$E$8</f>
        <v>0</v>
      </c>
      <c r="I8" s="12" t="s">
        <v>11</v>
      </c>
    </row>
    <row r="9" spans="1:9" x14ac:dyDescent="0.35">
      <c r="A9" t="s">
        <v>32</v>
      </c>
      <c r="B9">
        <v>1</v>
      </c>
      <c r="C9" s="11">
        <v>7119</v>
      </c>
      <c r="D9">
        <v>118699</v>
      </c>
      <c r="E9" s="11">
        <v>4758</v>
      </c>
      <c r="F9" s="16">
        <f t="shared" si="0"/>
        <v>5.766380197153665E-2</v>
      </c>
      <c r="G9" s="16">
        <f t="shared" si="1"/>
        <v>0.9614602655175486</v>
      </c>
      <c r="H9" s="16">
        <f t="shared" si="2"/>
        <v>1.0191240674890854</v>
      </c>
      <c r="I9" s="12" t="s">
        <v>11</v>
      </c>
    </row>
    <row r="10" spans="1:9" x14ac:dyDescent="0.35">
      <c r="A10" t="s">
        <v>32</v>
      </c>
      <c r="B10">
        <v>2</v>
      </c>
      <c r="C10" s="11">
        <v>100</v>
      </c>
      <c r="D10">
        <v>2519</v>
      </c>
      <c r="E10" s="11">
        <f>E9-Tabela134753[[#This Row],[manual]]-Tabela134753[[#This Row],[annotated %]]</f>
        <v>4657.9787861360637</v>
      </c>
      <c r="F10" s="16">
        <f t="shared" si="0"/>
        <v>8.0999862300234094E-4</v>
      </c>
      <c r="G10" s="16">
        <f t="shared" si="1"/>
        <v>2.0403865313428967E-2</v>
      </c>
      <c r="H10" s="16">
        <f t="shared" si="2"/>
        <v>2.1213863936431307E-2</v>
      </c>
      <c r="I10" s="15">
        <f>3+30/60</f>
        <v>3.5</v>
      </c>
    </row>
    <row r="11" spans="1:9" x14ac:dyDescent="0.35">
      <c r="A11" t="s">
        <v>32</v>
      </c>
      <c r="B11">
        <v>3</v>
      </c>
      <c r="C11" s="11">
        <v>2139</v>
      </c>
      <c r="D11">
        <v>0</v>
      </c>
      <c r="E11" s="11">
        <f>E10-Tabela134753[[#This Row],[manual]]-Tabela134753[[#This Row],[annotated %]]</f>
        <v>2518.9614602655179</v>
      </c>
      <c r="F11" s="16">
        <f t="shared" si="0"/>
        <v>1.7325870546020073E-2</v>
      </c>
      <c r="G11" s="16">
        <f t="shared" si="1"/>
        <v>0</v>
      </c>
      <c r="H11" s="16">
        <f t="shared" si="2"/>
        <v>1.7325870546020073E-2</v>
      </c>
      <c r="I11" s="15">
        <f>33+23/60</f>
        <v>33.383333333333333</v>
      </c>
    </row>
    <row r="12" spans="1:9" x14ac:dyDescent="0.35">
      <c r="A12" t="s">
        <v>32</v>
      </c>
      <c r="B12" t="s">
        <v>32</v>
      </c>
      <c r="C12" s="11">
        <f>SUM(Tabela134753[manual])</f>
        <v>9358</v>
      </c>
      <c r="D12">
        <f>SUM(Tabela134753[auto])</f>
        <v>121218</v>
      </c>
      <c r="E12" s="11" t="s">
        <v>32</v>
      </c>
      <c r="F12" s="16">
        <f>SUM(Tabela134753[manual %])</f>
        <v>7.5799671140559063E-2</v>
      </c>
      <c r="G12" s="16">
        <f>SUM(Tabela134753[auto %])</f>
        <v>0.98186413083097757</v>
      </c>
      <c r="H12" s="16">
        <f>SUM(Tabela134753[annotated %])</f>
        <v>1.0576638019715365</v>
      </c>
      <c r="I12" s="15">
        <f>SUM(Tabela134753[tempo de anotação (m)])</f>
        <v>36.883333333333333</v>
      </c>
    </row>
    <row r="13" spans="1:9" x14ac:dyDescent="0.35">
      <c r="A13" t="s">
        <v>32</v>
      </c>
      <c r="B13" t="s">
        <v>13</v>
      </c>
      <c r="C13" t="s">
        <v>24</v>
      </c>
      <c r="D13" t="s">
        <v>2</v>
      </c>
      <c r="E13" t="s">
        <v>25</v>
      </c>
      <c r="F13" s="16" t="s">
        <v>14</v>
      </c>
      <c r="G13" s="16" t="s">
        <v>15</v>
      </c>
      <c r="H13" s="16" t="s">
        <v>16</v>
      </c>
      <c r="I13" t="s">
        <v>17</v>
      </c>
    </row>
    <row r="14" spans="1:9" x14ac:dyDescent="0.35">
      <c r="A14" t="s">
        <v>29</v>
      </c>
      <c r="B14">
        <v>0</v>
      </c>
      <c r="C14" s="11">
        <v>0</v>
      </c>
      <c r="D14">
        <v>0</v>
      </c>
      <c r="E14" s="11">
        <v>123457</v>
      </c>
      <c r="F14" s="16">
        <f>C14/$E$14</f>
        <v>0</v>
      </c>
      <c r="G14" s="16">
        <f>D14/$E$14</f>
        <v>0</v>
      </c>
      <c r="H14" s="16">
        <f>(C14+D14)/$E$14</f>
        <v>0</v>
      </c>
      <c r="I14" s="12" t="s">
        <v>11</v>
      </c>
    </row>
    <row r="15" spans="1:9" x14ac:dyDescent="0.35">
      <c r="A15" t="s">
        <v>32</v>
      </c>
      <c r="B15">
        <v>1</v>
      </c>
      <c r="C15" s="11">
        <v>7119</v>
      </c>
      <c r="D15">
        <v>112501</v>
      </c>
      <c r="E15" s="11">
        <v>10957</v>
      </c>
      <c r="F15" s="16">
        <f>C15/$E$14</f>
        <v>5.766380197153665E-2</v>
      </c>
      <c r="G15" s="16">
        <f>D15/$E$14</f>
        <v>0.91125655086386348</v>
      </c>
      <c r="H15" s="16">
        <f>(C15+D15)/$E$14</f>
        <v>0.96892035283540023</v>
      </c>
      <c r="I15" s="12" t="s">
        <v>11</v>
      </c>
    </row>
    <row r="16" spans="1:9" x14ac:dyDescent="0.35">
      <c r="A16" t="s">
        <v>32</v>
      </c>
      <c r="B16">
        <v>2</v>
      </c>
      <c r="C16" s="11">
        <v>108</v>
      </c>
      <c r="D16" s="11">
        <v>998</v>
      </c>
      <c r="E16" s="11">
        <v>9860</v>
      </c>
      <c r="F16" s="16">
        <f>C16/$E$14</f>
        <v>8.7479851284252819E-4</v>
      </c>
      <c r="G16" s="16">
        <f>D16/$E$14</f>
        <v>8.0837862575633621E-3</v>
      </c>
      <c r="H16" s="16">
        <f>(C16+D16)/$E$14</f>
        <v>8.9585847704058905E-3</v>
      </c>
      <c r="I16" s="15">
        <f>2+9/60</f>
        <v>2.15</v>
      </c>
    </row>
    <row r="17" spans="1:9" x14ac:dyDescent="0.35">
      <c r="A17" t="s">
        <v>32</v>
      </c>
      <c r="B17">
        <v>3</v>
      </c>
      <c r="C17" s="11">
        <v>100</v>
      </c>
      <c r="D17">
        <v>5227</v>
      </c>
      <c r="E17" s="11">
        <v>4533</v>
      </c>
      <c r="F17" s="16">
        <f>C17/$E$14</f>
        <v>8.0999862300234094E-4</v>
      </c>
      <c r="G17" s="16">
        <f>D17/$E$14</f>
        <v>4.2338628024332359E-2</v>
      </c>
      <c r="H17" s="16">
        <f>(C17+D17)/$E$14</f>
        <v>4.3148626647334702E-2</v>
      </c>
      <c r="I17" s="15">
        <f>1+45/60</f>
        <v>1.75</v>
      </c>
    </row>
    <row r="18" spans="1:9" x14ac:dyDescent="0.35">
      <c r="A18" t="s">
        <v>32</v>
      </c>
      <c r="B18">
        <v>4</v>
      </c>
      <c r="C18" s="11">
        <v>100</v>
      </c>
      <c r="D18">
        <v>1227</v>
      </c>
      <c r="E18" s="11">
        <v>3209</v>
      </c>
      <c r="F18" s="16">
        <f>C18/$E$14</f>
        <v>8.0999862300234094E-4</v>
      </c>
      <c r="G18" s="16">
        <f>D18/$E$14</f>
        <v>9.9386831042387221E-3</v>
      </c>
      <c r="H18" s="16">
        <f>(C18+D18)/$E$14</f>
        <v>1.0748681727241064E-2</v>
      </c>
      <c r="I18" s="15">
        <f>3+15/60</f>
        <v>3.25</v>
      </c>
    </row>
    <row r="19" spans="1:9" x14ac:dyDescent="0.35">
      <c r="A19" t="s">
        <v>32</v>
      </c>
      <c r="B19">
        <v>5</v>
      </c>
      <c r="C19" s="11">
        <v>3209</v>
      </c>
      <c r="D19">
        <v>0</v>
      </c>
      <c r="E19" s="11">
        <v>0</v>
      </c>
      <c r="F19" s="16">
        <f>C19/$E$14</f>
        <v>2.5992855812145121E-2</v>
      </c>
      <c r="G19" s="16">
        <f>D19/$E$14</f>
        <v>0</v>
      </c>
      <c r="H19" s="16">
        <f>(C19+D19)/$E$14</f>
        <v>2.5992855812145121E-2</v>
      </c>
      <c r="I19" s="15">
        <f>10+51/60+9+56/60</f>
        <v>20.783333333333335</v>
      </c>
    </row>
    <row r="20" spans="1:9" x14ac:dyDescent="0.35">
      <c r="A20" t="s">
        <v>32</v>
      </c>
      <c r="B20" t="s">
        <v>32</v>
      </c>
      <c r="C20" s="11">
        <f>SUM(Tabela134[imagens manuais])</f>
        <v>10636</v>
      </c>
      <c r="D20">
        <f>SUM(Tabela134[auto])</f>
        <v>119953</v>
      </c>
      <c r="E20" s="11" t="s">
        <v>32</v>
      </c>
      <c r="F20" s="16">
        <f>SUM(Tabela134[manual %])</f>
        <v>8.6151453542528983E-2</v>
      </c>
      <c r="G20" s="16">
        <f>SUM(Tabela134[auto %])</f>
        <v>0.97161764824999786</v>
      </c>
      <c r="H20" s="16">
        <f>SUM(Tabela134[annotated %])</f>
        <v>1.057769101792527</v>
      </c>
      <c r="I20" s="15">
        <f>SUM(Tabela134[tempo de anotação (m)])</f>
        <v>27.933333333333337</v>
      </c>
    </row>
    <row r="21" spans="1:9" x14ac:dyDescent="0.35">
      <c r="A21" t="s">
        <v>32</v>
      </c>
      <c r="B21" t="s">
        <v>13</v>
      </c>
      <c r="C21" t="s">
        <v>24</v>
      </c>
      <c r="D21" t="s">
        <v>2</v>
      </c>
      <c r="E21" t="s">
        <v>25</v>
      </c>
      <c r="F21" s="16" t="s">
        <v>14</v>
      </c>
      <c r="G21" s="16" t="s">
        <v>15</v>
      </c>
      <c r="H21" s="16" t="s">
        <v>16</v>
      </c>
      <c r="I21" t="s">
        <v>17</v>
      </c>
    </row>
    <row r="22" spans="1:9" x14ac:dyDescent="0.35">
      <c r="A22" t="s">
        <v>30</v>
      </c>
      <c r="B22">
        <v>0</v>
      </c>
      <c r="C22" s="11">
        <v>0</v>
      </c>
      <c r="D22">
        <v>0</v>
      </c>
      <c r="E22" s="11">
        <v>123457</v>
      </c>
      <c r="F22" s="16">
        <f>C22/$E$22</f>
        <v>0</v>
      </c>
      <c r="G22" s="16">
        <f>D22/$E$22</f>
        <v>0</v>
      </c>
      <c r="H22" s="16">
        <f>(C22+D22)/$E$22</f>
        <v>0</v>
      </c>
      <c r="I22" s="12" t="s">
        <v>11</v>
      </c>
    </row>
    <row r="23" spans="1:9" x14ac:dyDescent="0.35">
      <c r="A23" t="s">
        <v>32</v>
      </c>
      <c r="B23">
        <v>1</v>
      </c>
      <c r="C23" s="11">
        <v>7119</v>
      </c>
      <c r="D23">
        <v>117567</v>
      </c>
      <c r="E23" s="11">
        <v>5490</v>
      </c>
      <c r="F23" s="16">
        <f>C23/$E$22</f>
        <v>5.766380197153665E-2</v>
      </c>
      <c r="G23" s="16">
        <f>D23/$E$22</f>
        <v>0.95229108110516214</v>
      </c>
      <c r="H23" s="16">
        <f>(C23+D23)/$E$22</f>
        <v>1.0099548830766987</v>
      </c>
      <c r="I23" s="12" t="s">
        <v>11</v>
      </c>
    </row>
    <row r="24" spans="1:9" x14ac:dyDescent="0.35">
      <c r="A24" t="s">
        <v>32</v>
      </c>
      <c r="B24">
        <v>2</v>
      </c>
      <c r="C24" s="11">
        <v>100</v>
      </c>
      <c r="D24">
        <v>663</v>
      </c>
      <c r="E24" s="11">
        <v>4727</v>
      </c>
      <c r="F24" s="16">
        <f>C24/$E$22</f>
        <v>8.0999862300234094E-4</v>
      </c>
      <c r="G24" s="16">
        <f>D24/$E$22</f>
        <v>5.3702908705055199E-3</v>
      </c>
      <c r="H24" s="16">
        <f>(C24+D24)/$E$22</f>
        <v>6.1802894935078607E-3</v>
      </c>
      <c r="I24" s="15">
        <f>1+42/60</f>
        <v>1.7</v>
      </c>
    </row>
    <row r="25" spans="1:9" x14ac:dyDescent="0.35">
      <c r="A25" t="s">
        <v>32</v>
      </c>
      <c r="B25">
        <v>3</v>
      </c>
      <c r="C25" s="11">
        <v>100</v>
      </c>
      <c r="D25">
        <v>2097</v>
      </c>
      <c r="E25" s="11">
        <v>2533</v>
      </c>
      <c r="F25" s="16">
        <f>C25/$E$22</f>
        <v>8.0999862300234094E-4</v>
      </c>
      <c r="G25" s="16">
        <f>D25/$E$22</f>
        <v>1.698567112435909E-2</v>
      </c>
      <c r="H25" s="16">
        <f>(C25+D25)/$E$22</f>
        <v>1.779566974736143E-2</v>
      </c>
      <c r="I25" s="15">
        <f>1+23/60</f>
        <v>1.3833333333333333</v>
      </c>
    </row>
    <row r="26" spans="1:9" x14ac:dyDescent="0.35">
      <c r="A26" t="s">
        <v>32</v>
      </c>
      <c r="B26">
        <v>4</v>
      </c>
      <c r="C26" s="11">
        <v>2533</v>
      </c>
      <c r="D26">
        <v>0</v>
      </c>
      <c r="E26" s="11">
        <v>0</v>
      </c>
      <c r="F26" s="16">
        <f>C26/$E$22</f>
        <v>2.0517265120649296E-2</v>
      </c>
      <c r="G26" s="16">
        <f>D26/$E$22</f>
        <v>0</v>
      </c>
      <c r="H26" s="16">
        <f>(C26+D26)/$E$22</f>
        <v>2.0517265120649296E-2</v>
      </c>
      <c r="I26" s="15">
        <f>19+18/60</f>
        <v>19.3</v>
      </c>
    </row>
    <row r="27" spans="1:9" x14ac:dyDescent="0.35">
      <c r="A27" t="s">
        <v>32</v>
      </c>
      <c r="B27" t="s">
        <v>32</v>
      </c>
      <c r="C27" s="11">
        <f>SUM(Tabela1346[imagens manuais])</f>
        <v>9852</v>
      </c>
      <c r="D27">
        <f>SUM(Tabela1346[auto])</f>
        <v>120327</v>
      </c>
      <c r="E27" s="11" t="s">
        <v>32</v>
      </c>
      <c r="F27" s="16">
        <f>SUM(Tabela1346[manual %])</f>
        <v>7.9801064338190633E-2</v>
      </c>
      <c r="G27" s="16">
        <f>SUM(Tabela1346[auto %])</f>
        <v>0.97464704310002681</v>
      </c>
      <c r="H27" s="16">
        <f>SUM(Tabela1346[annotated %])</f>
        <v>1.0544481074382173</v>
      </c>
      <c r="I27" s="15">
        <f>SUM(Tabela1346[[#Headers],[#Data],[tempo de anotação (m)]])</f>
        <v>22.383333333333333</v>
      </c>
    </row>
    <row r="28" spans="1:9" x14ac:dyDescent="0.35">
      <c r="A28" t="s">
        <v>32</v>
      </c>
      <c r="B28" t="s">
        <v>13</v>
      </c>
      <c r="C28" t="s">
        <v>24</v>
      </c>
      <c r="D28" t="s">
        <v>2</v>
      </c>
      <c r="E28" t="s">
        <v>25</v>
      </c>
      <c r="F28" s="16" t="s">
        <v>14</v>
      </c>
      <c r="G28" s="16" t="s">
        <v>15</v>
      </c>
      <c r="H28" s="16" t="s">
        <v>16</v>
      </c>
      <c r="I28" t="s">
        <v>17</v>
      </c>
    </row>
    <row r="29" spans="1:9" x14ac:dyDescent="0.35">
      <c r="A29" t="s">
        <v>31</v>
      </c>
      <c r="B29">
        <v>0</v>
      </c>
      <c r="C29" s="11">
        <v>0</v>
      </c>
      <c r="D29">
        <v>0</v>
      </c>
      <c r="E29" s="11">
        <v>123457</v>
      </c>
      <c r="F29" s="16">
        <f>C29/$E$29</f>
        <v>0</v>
      </c>
      <c r="G29" s="16">
        <f>D29/$E$29</f>
        <v>0</v>
      </c>
      <c r="H29" s="16">
        <f>(C29+D29)/$E$29</f>
        <v>0</v>
      </c>
      <c r="I29" s="12" t="s">
        <v>11</v>
      </c>
    </row>
    <row r="30" spans="1:9" x14ac:dyDescent="0.35">
      <c r="A30" t="s">
        <v>32</v>
      </c>
      <c r="B30">
        <v>1</v>
      </c>
      <c r="C30" s="11">
        <v>7119</v>
      </c>
      <c r="D30">
        <v>113406</v>
      </c>
      <c r="E30" s="11">
        <v>10051</v>
      </c>
      <c r="F30" s="16">
        <f>C30/$E$29</f>
        <v>5.766380197153665E-2</v>
      </c>
      <c r="G30" s="16">
        <f>D30/$E$29</f>
        <v>0.91858703840203471</v>
      </c>
      <c r="H30" s="16">
        <f>(C30+D30)/$E$29</f>
        <v>0.97625084037357135</v>
      </c>
      <c r="I30" s="12" t="s">
        <v>11</v>
      </c>
    </row>
    <row r="31" spans="1:9" x14ac:dyDescent="0.35">
      <c r="A31" t="s">
        <v>32</v>
      </c>
      <c r="B31">
        <v>2</v>
      </c>
      <c r="C31" s="11">
        <v>100</v>
      </c>
      <c r="D31">
        <v>7345</v>
      </c>
      <c r="E31" s="11">
        <f>E30-Tabela1347[[#This Row],[imagens manuais]]-Tabela1347[[#This Row],[auto]]</f>
        <v>2606</v>
      </c>
      <c r="F31" s="16">
        <f>C31/$E$29</f>
        <v>8.0999862300234094E-4</v>
      </c>
      <c r="G31" s="16">
        <f>D31/$E$29</f>
        <v>5.9494398859521937E-2</v>
      </c>
      <c r="H31" s="16">
        <f>(C31+D31)/$E$29</f>
        <v>6.030439748252428E-2</v>
      </c>
      <c r="I31" s="15">
        <f>3+30/60</f>
        <v>3.5</v>
      </c>
    </row>
    <row r="32" spans="1:9" x14ac:dyDescent="0.35">
      <c r="A32" t="s">
        <v>32</v>
      </c>
      <c r="B32">
        <v>3</v>
      </c>
      <c r="C32" s="11">
        <v>2606</v>
      </c>
      <c r="D32">
        <v>0</v>
      </c>
      <c r="E32" s="11">
        <f>E31-Tabela1347[[#This Row],[imagens manuais]]-Tabela1347[[#This Row],[auto]]</f>
        <v>0</v>
      </c>
      <c r="F32" s="16">
        <f>C32/$E$29</f>
        <v>2.1108564115441004E-2</v>
      </c>
      <c r="G32" s="16">
        <f>D32/$E$29</f>
        <v>0</v>
      </c>
      <c r="H32" s="16">
        <f>(C32+D32)/$E$29</f>
        <v>2.1108564115441004E-2</v>
      </c>
      <c r="I32" s="15">
        <f>33+23/60</f>
        <v>33.383333333333333</v>
      </c>
    </row>
    <row r="33" spans="1:9" x14ac:dyDescent="0.35">
      <c r="A33" t="s">
        <v>32</v>
      </c>
      <c r="B33" t="s">
        <v>32</v>
      </c>
      <c r="C33" s="11">
        <f>SUM(Tabela1347[imagens manuais])</f>
        <v>9825</v>
      </c>
      <c r="D33">
        <f>SUM(Tabela1347[auto])</f>
        <v>120751</v>
      </c>
      <c r="E33" s="11" t="s">
        <v>32</v>
      </c>
      <c r="F33" s="16">
        <f>SUM(Tabela1347[manual %])</f>
        <v>7.9582364709979994E-2</v>
      </c>
      <c r="G33" s="16">
        <f>SUM(Tabela1347[auto %])</f>
        <v>0.97808143726155661</v>
      </c>
      <c r="H33" s="16">
        <f>SUM(Tabela1347[annotated %])</f>
        <v>1.0576638019715365</v>
      </c>
      <c r="I33" s="15">
        <f>SUM(Tabela1347[[#Headers],[#Data],[tempo de anotação (m)]])</f>
        <v>36.883333333333333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Rede 1</vt:lpstr>
      <vt:lpstr>Rede 2</vt:lpstr>
      <vt:lpstr>Rede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2020-02-10T21:02:33Z</dcterms:modified>
</cp:coreProperties>
</file>