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18DF3BB6-C9D0-4E10-858D-45DD9AFDFE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Gráf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" l="1"/>
  <c r="K47" i="1"/>
  <c r="K48" i="1"/>
  <c r="K49" i="1"/>
  <c r="J46" i="1"/>
  <c r="J47" i="1"/>
  <c r="J48" i="1"/>
  <c r="J49" i="1"/>
  <c r="I46" i="1"/>
  <c r="I47" i="1"/>
  <c r="I48" i="1"/>
  <c r="I49" i="1"/>
  <c r="I38" i="1"/>
  <c r="I42" i="1" s="1"/>
  <c r="I39" i="1"/>
  <c r="I40" i="1"/>
  <c r="I41" i="1"/>
  <c r="J38" i="1"/>
  <c r="J39" i="1"/>
  <c r="J40" i="1"/>
  <c r="J41" i="1"/>
  <c r="K38" i="1"/>
  <c r="K39" i="1"/>
  <c r="K40" i="1"/>
  <c r="K41" i="1"/>
  <c r="K28" i="1"/>
  <c r="K29" i="1"/>
  <c r="K30" i="1"/>
  <c r="K31" i="1"/>
  <c r="K32" i="1"/>
  <c r="J28" i="1"/>
  <c r="J29" i="1"/>
  <c r="J30" i="1"/>
  <c r="J31" i="1"/>
  <c r="J32" i="1"/>
  <c r="I28" i="1"/>
  <c r="I29" i="1"/>
  <c r="I30" i="1"/>
  <c r="I31" i="1"/>
  <c r="I32" i="1"/>
  <c r="I33" i="1" s="1"/>
  <c r="K18" i="1"/>
  <c r="K19" i="1"/>
  <c r="K20" i="1"/>
  <c r="K21" i="1"/>
  <c r="K22" i="1"/>
  <c r="K17" i="1"/>
  <c r="K23" i="1" s="1"/>
  <c r="J18" i="1"/>
  <c r="J23" i="1" s="1"/>
  <c r="J19" i="1"/>
  <c r="J20" i="1"/>
  <c r="J21" i="1"/>
  <c r="J22" i="1"/>
  <c r="J17" i="1"/>
  <c r="I18" i="1"/>
  <c r="I19" i="1"/>
  <c r="I20" i="1"/>
  <c r="I21" i="1"/>
  <c r="I22" i="1"/>
  <c r="I17" i="1"/>
  <c r="H52" i="1"/>
  <c r="D40" i="1"/>
  <c r="D41" i="1" s="1"/>
  <c r="D39" i="1"/>
  <c r="D47" i="1"/>
  <c r="D48" i="1" s="1"/>
  <c r="K50" i="1"/>
  <c r="J50" i="1"/>
  <c r="I50" i="1"/>
  <c r="H50" i="1"/>
  <c r="C50" i="1"/>
  <c r="E49" i="1"/>
  <c r="E48" i="1"/>
  <c r="J42" i="1"/>
  <c r="K42" i="1"/>
  <c r="H42" i="1"/>
  <c r="J33" i="1"/>
  <c r="K33" i="1"/>
  <c r="H33" i="1"/>
  <c r="F4" i="1"/>
  <c r="E6" i="1"/>
  <c r="I23" i="1"/>
  <c r="H23" i="1"/>
  <c r="H5" i="1"/>
  <c r="H6" i="1" s="1"/>
  <c r="I6" i="1"/>
  <c r="I5" i="1"/>
  <c r="I3" i="1"/>
  <c r="K3" i="1"/>
  <c r="K4" i="1"/>
  <c r="K5" i="1"/>
  <c r="K6" i="1" s="1"/>
  <c r="J3" i="1"/>
  <c r="J4" i="1"/>
  <c r="J5" i="1"/>
  <c r="I4" i="1"/>
  <c r="D49" i="1" l="1"/>
  <c r="F49" i="1" s="1"/>
  <c r="G49" i="1" s="1"/>
  <c r="F48" i="1"/>
  <c r="G48" i="1" s="1"/>
  <c r="F47" i="1"/>
  <c r="G47" i="1" s="1"/>
  <c r="J6" i="1"/>
  <c r="E32" i="1" l="1"/>
  <c r="F40" i="1"/>
  <c r="F41" i="1"/>
  <c r="F31" i="1"/>
  <c r="F32" i="1"/>
  <c r="E31" i="1" l="1"/>
  <c r="G32" i="1"/>
  <c r="E22" i="1"/>
  <c r="E41" i="1"/>
  <c r="E21" i="1"/>
  <c r="F20" i="1"/>
  <c r="F21" i="1"/>
  <c r="G21" i="1" s="1"/>
  <c r="F22" i="1"/>
  <c r="G22" i="1" s="1"/>
  <c r="E20" i="1"/>
  <c r="E40" i="1" l="1"/>
  <c r="E30" i="1"/>
  <c r="C42" i="1"/>
  <c r="G41" i="1"/>
  <c r="G40" i="1"/>
  <c r="F39" i="1"/>
  <c r="G39" i="1" s="1"/>
  <c r="C33" i="1"/>
  <c r="G31" i="1"/>
  <c r="F30" i="1"/>
  <c r="G30" i="1" s="1"/>
  <c r="F29" i="1"/>
  <c r="G29" i="1" s="1"/>
  <c r="G20" i="1"/>
  <c r="E19" i="1"/>
  <c r="C23" i="1"/>
  <c r="F19" i="1"/>
  <c r="G19" i="1" s="1"/>
  <c r="F18" i="1"/>
  <c r="G18" i="1" s="1"/>
  <c r="E12" i="1"/>
  <c r="C13" i="1"/>
  <c r="F12" i="1"/>
  <c r="G12" i="1" s="1"/>
  <c r="F11" i="1"/>
  <c r="G11" i="1" s="1"/>
  <c r="E5" i="1"/>
  <c r="F5" i="1" l="1"/>
  <c r="G5" i="1" s="1"/>
  <c r="G4" i="1"/>
  <c r="C6" i="1" l="1"/>
</calcChain>
</file>

<file path=xl/sharedStrings.xml><?xml version="1.0" encoding="utf-8"?>
<sst xmlns="http://schemas.openxmlformats.org/spreadsheetml/2006/main" count="92" uniqueCount="23">
  <si>
    <t>iteration</t>
  </si>
  <si>
    <t>imagens manuais</t>
  </si>
  <si>
    <t>imagens não anotadas</t>
  </si>
  <si>
    <t>tempo de anotação (m)</t>
  </si>
  <si>
    <t>diff</t>
  </si>
  <si>
    <t>diff (%)</t>
  </si>
  <si>
    <t>-</t>
  </si>
  <si>
    <t>rede3_anodo</t>
  </si>
  <si>
    <t>rede3_cruzamento</t>
  </si>
  <si>
    <t>rede3_dano</t>
  </si>
  <si>
    <t>rede3_flange</t>
  </si>
  <si>
    <t>rede3_reparo</t>
  </si>
  <si>
    <t>*checar se as img para amostragem na it 2 são as mesmas já anotadas, acho que sim</t>
  </si>
  <si>
    <t>merge_annotations</t>
  </si>
  <si>
    <t>merge_annot</t>
  </si>
  <si>
    <t>merge annot</t>
  </si>
  <si>
    <t>auto</t>
  </si>
  <si>
    <t>manual %</t>
  </si>
  <si>
    <t>auto %</t>
  </si>
  <si>
    <t>unlabeled</t>
  </si>
  <si>
    <t>manual</t>
  </si>
  <si>
    <t>annotated %</t>
  </si>
  <si>
    <t>rede3_enterramento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</si>
</sst>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10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Imagens Não Anotadas ao Final de Cada Iteração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Plan1!$D$3:$D$5</c:f>
              <c:numCache>
                <c:formatCode>#,##0</c:formatCode>
                <c:ptCount val="3"/>
                <c:pt idx="0">
                  <c:v>123457</c:v>
                </c:pt>
                <c:pt idx="1">
                  <c:v>680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3-4F2B-939C-E86C432F8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067712"/>
        <c:axId val="1171453392"/>
      </c:lineChart>
      <c:catAx>
        <c:axId val="129506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1453392"/>
        <c:crossesAt val="0"/>
        <c:auto val="1"/>
        <c:lblAlgn val="ctr"/>
        <c:lblOffset val="100"/>
        <c:noMultiLvlLbl val="0"/>
      </c:catAx>
      <c:valAx>
        <c:axId val="1171453392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/>
                  <a:t>Imagens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506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44450</xdr:rowOff>
    </xdr:from>
    <xdr:to>
      <xdr:col>19</xdr:col>
      <xdr:colOff>12700</xdr:colOff>
      <xdr:row>25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C297BF-64A1-473F-9229-3C79858CA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9F608-9F8F-4067-ACBF-968268D4C68B}" name="Tabela1" displayName="Tabela1" ref="B2:K6" totalsRowCount="1">
  <autoFilter ref="B2:K5" xr:uid="{DCB1C659-1010-4CBB-9978-4388CEB38DCF}"/>
  <tableColumns count="10">
    <tableColumn id="1" xr3:uid="{D9059A50-A879-4ED2-BDFA-C4D712E5AB80}" name="iteration"/>
    <tableColumn id="2" xr3:uid="{09CF3096-A106-40F0-B021-80D4AC1A5F9A}" name="manual" totalsRowFunction="custom" dataDxfId="49" totalsRowDxfId="48">
      <totalsRowFormula>SUM(Tabela1[manual])</totalsRowFormula>
    </tableColumn>
    <tableColumn id="3" xr3:uid="{3DAF7199-B8A4-4231-9748-CE1C9811C247}" name="unlabeled" dataDxfId="47" totalsRowDxfId="46"/>
    <tableColumn id="4" xr3:uid="{DEA33ADC-B51C-4FDE-847F-F697D5667262}" name="tempo de anotação (m)" totalsRowFunction="custom" dataDxfId="45" totalsRowDxfId="44">
      <totalsRowFormula>SUM(Tabela1[tempo de anotação (m)])</totalsRowFormula>
    </tableColumn>
    <tableColumn id="5" xr3:uid="{AF75D8B3-C08D-44B7-B6CB-67270E61AD76}" name="diff"/>
    <tableColumn id="6" xr3:uid="{D42DDA13-A0BD-4D23-A233-83F8E7D5BCBB}" name="diff (%)" dataDxfId="43">
      <calculatedColumnFormula>Tabela1[[#This Row],[diff]]/D2</calculatedColumnFormula>
    </tableColumn>
    <tableColumn id="7" xr3:uid="{223B7AF3-70C9-43FD-B1AA-7B1552724620}" name="auto" totalsRowFunction="custom">
      <totalsRowFormula>SUM(Tabela1[auto])</totalsRowFormula>
    </tableColumn>
    <tableColumn id="8" xr3:uid="{73BDB86D-CA0E-4ED5-B0BB-1C35817E8CDC}" name="manual %" totalsRowFunction="custom" dataDxfId="42" totalsRowDxfId="41">
      <calculatedColumnFormula>Tabela1[[#This Row],[manual]]/$D$3</calculatedColumnFormula>
      <totalsRowFormula>SUM(Tabela1[manual %])</totalsRowFormula>
    </tableColumn>
    <tableColumn id="9" xr3:uid="{028349A9-DF2A-41D3-BAB9-6DAA0D05C3B4}" name="auto %" totalsRowFunction="custom" dataDxfId="40" totalsRowDxfId="39">
      <calculatedColumnFormula>Tabela1[[#This Row],[auto]]/$D$3</calculatedColumnFormula>
      <totalsRowFormula>SUM(Tabela1[auto %])</totalsRowFormula>
    </tableColumn>
    <tableColumn id="10" xr3:uid="{45472F33-8ED9-472E-85D9-C00E300F050F}" name="annotated %" totalsRowFunction="custom" dataDxfId="38" totalsRowDxfId="37">
      <calculatedColumnFormula>(Tabela1[[#This Row],[manual]]+Tabela1[[#This Row],[auto]])/$D$3</calculatedColumnFormula>
      <totalsRowFormula>SUM(Tabela1[annotated %])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034F8-4DAE-47AD-9719-0A9A1E890CE7}" name="Tabela13" displayName="Tabela13" ref="B9:G13" totalsRowCount="1">
  <autoFilter ref="B9:G12" xr:uid="{BF9D1C74-518D-4566-80FC-B71212D79C51}"/>
  <tableColumns count="6">
    <tableColumn id="1" xr3:uid="{212CCDC4-ABE0-4947-8E43-6F20C5BFB36F}" name="iteration"/>
    <tableColumn id="2" xr3:uid="{8A66F363-A111-41F8-98C0-FD8D008B3800}" name="imagens manuais" totalsRowFunction="custom" dataDxfId="71" totalsRowDxfId="70">
      <totalsRowFormula>SUM(Tabela13[imagens manuais])</totalsRowFormula>
    </tableColumn>
    <tableColumn id="3" xr3:uid="{0E04CACF-0FE7-48B6-B3B6-210DEA1707B2}" name="imagens não anotadas" dataDxfId="69" totalsRowDxfId="68"/>
    <tableColumn id="4" xr3:uid="{C3A9FB81-3B4A-4F9F-97BA-A9CF67041BED}" name="tempo de anotação (m)" dataDxfId="67" totalsRowDxfId="66"/>
    <tableColumn id="5" xr3:uid="{8CD024EC-88EC-462D-AAC7-11F8A5D5E151}" name="diff"/>
    <tableColumn id="6" xr3:uid="{F69E1B0D-23CC-40D5-A208-947F9A9D2A1E}" name="diff (%)" dataDxfId="65">
      <calculatedColumnFormula>Tabela13[[#This Row],[diff]]/D9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0356FB-105B-49D3-AC67-10C8220F21B7}" name="Tabela134" displayName="Tabela134" ref="B16:K23" totalsRowCount="1">
  <autoFilter ref="B16:K22" xr:uid="{F3BC94FB-E889-44C7-9B34-442C4BBF2BD2}"/>
  <tableColumns count="10">
    <tableColumn id="1" xr3:uid="{3A4B4258-C0D9-4E2D-8088-B50EC53975CA}" name="iteration"/>
    <tableColumn id="2" xr3:uid="{3DF94AAF-FCF1-41A4-85C6-E9A05FA2924C}" name="imagens manuais" totalsRowFunction="custom" dataDxfId="56" totalsRowDxfId="32">
      <totalsRowFormula>SUM(Tabela134[imagens manuais])</totalsRowFormula>
    </tableColumn>
    <tableColumn id="3" xr3:uid="{B27858BA-509A-4CA5-9646-89EAC4F0105C}" name="imagens não anotadas" dataDxfId="55" totalsRowDxfId="31"/>
    <tableColumn id="4" xr3:uid="{235F28F6-B454-4222-A14D-4D9FB8DB972A}" name="tempo de anotação (m)" dataDxfId="54" totalsRowDxfId="30"/>
    <tableColumn id="5" xr3:uid="{A8AE80C7-468B-4A75-9C3C-B306FC70DE64}" name="diff"/>
    <tableColumn id="6" xr3:uid="{6F65807D-AE00-4A66-A6A5-C9FAA125C499}" name="diff (%)" dataDxfId="53">
      <calculatedColumnFormula>Tabela134[[#This Row],[diff]]/D16</calculatedColumnFormula>
    </tableColumn>
    <tableColumn id="7" xr3:uid="{3453D2AC-BAA6-4624-AF8A-B3DB99C995EF}" name="auto" totalsRowFunction="custom">
      <totalsRowFormula>SUM(Tabela134[auto])</totalsRowFormula>
    </tableColumn>
    <tableColumn id="8" xr3:uid="{D34BD403-0E36-4A90-AD80-3349D353EAB1}" name="manual %" totalsRowFunction="custom" dataDxfId="52" totalsRowDxfId="29">
      <calculatedColumnFormula>C17/$D$17</calculatedColumnFormula>
      <totalsRowFormula>SUM(Tabela134[manual %])</totalsRowFormula>
    </tableColumn>
    <tableColumn id="9" xr3:uid="{B470E0ED-5F51-4271-BA99-6A44F8ED69F5}" name="auto %" totalsRowFunction="custom" dataDxfId="51" totalsRowDxfId="28">
      <calculatedColumnFormula>H17/$D$17</calculatedColumnFormula>
      <totalsRowFormula>SUM(Tabela134[auto %])</totalsRowFormula>
    </tableColumn>
    <tableColumn id="10" xr3:uid="{FCF093D3-D806-4398-8A8F-CF57B89C1E5A}" name="annotated %" totalsRowFunction="custom" dataDxfId="50" totalsRowDxfId="27">
      <calculatedColumnFormula>(C17+H17)/$D$17</calculatedColumnFormula>
      <totalsRowFormula>SUM(Tabela134[annotated %])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4D1C61-8D95-4DA8-BA4A-E0607ACCAEC3}" name="Tabela1346" displayName="Tabela1346" ref="B27:K33" totalsRowCount="1">
  <autoFilter ref="B27:K32" xr:uid="{A6C34C1F-1143-445C-8434-74723C01176E}"/>
  <tableColumns count="10">
    <tableColumn id="1" xr3:uid="{5559F87A-28D2-48AD-B6CE-75F9F8B8E5E7}" name="iteration"/>
    <tableColumn id="2" xr3:uid="{3BCCC8DF-A7C3-4203-9E0A-536D07DEE6FD}" name="imagens manuais" totalsRowFunction="custom" dataDxfId="64" totalsRowDxfId="24">
      <totalsRowFormula>SUM(Tabela1346[imagens manuais])</totalsRowFormula>
    </tableColumn>
    <tableColumn id="3" xr3:uid="{148CE426-ACDE-45A0-814C-F86B94B7D4C9}" name="imagens não anotadas" dataDxfId="63" totalsRowDxfId="23"/>
    <tableColumn id="4" xr3:uid="{21554B67-6E36-4007-804F-A342F397A9EB}" name="tempo de anotação (m)" dataDxfId="62" totalsRowDxfId="22"/>
    <tableColumn id="5" xr3:uid="{B9C99DED-9B07-4E4A-8B02-95A8E2CADF02}" name="diff"/>
    <tableColumn id="6" xr3:uid="{416D7E7E-C12A-4361-A707-FB6A9EE7F564}" name="diff (%)" dataDxfId="61">
      <calculatedColumnFormula>Tabela1346[[#This Row],[diff]]/D27</calculatedColumnFormula>
    </tableColumn>
    <tableColumn id="7" xr3:uid="{3B2D0E0F-F9E8-4AE5-A212-20AACE64195E}" name="auto" totalsRowFunction="custom">
      <totalsRowFormula>SUM(Tabela1346[auto])</totalsRowFormula>
    </tableColumn>
    <tableColumn id="8" xr3:uid="{10987B4C-02D7-4F47-BE92-E43C2C99508D}" name="manual %" totalsRowFunction="custom" dataDxfId="26" totalsRowDxfId="8">
      <calculatedColumnFormula>C28/$D$28</calculatedColumnFormula>
      <totalsRowFormula>SUM(Tabela1346[manual %])</totalsRowFormula>
    </tableColumn>
    <tableColumn id="9" xr3:uid="{156810A2-9267-4456-8130-9A1B47C05D28}" name="auto %" totalsRowFunction="custom" dataDxfId="25" totalsRowDxfId="7">
      <calculatedColumnFormula>H28/$D$28</calculatedColumnFormula>
      <totalsRowFormula>SUM(Tabela1346[auto %])</totalsRowFormula>
    </tableColumn>
    <tableColumn id="10" xr3:uid="{FB95E4D2-49C3-4636-8704-452F70D21930}" name="annotated %" totalsRowFunction="custom" dataDxfId="21" totalsRowDxfId="6">
      <calculatedColumnFormula>(C28+H28)/$D$28</calculatedColumnFormula>
      <totalsRowFormula>SUM(Tabela1346[annotated %])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6E975D-00EF-49F7-9C1D-0F7D8D6A48EC}" name="Tabela1347" displayName="Tabela1347" ref="B37:K42" totalsRowCount="1">
  <autoFilter ref="B37:K41" xr:uid="{5060DFAE-922D-4409-88FA-9A6AF9996CC5}"/>
  <tableColumns count="10">
    <tableColumn id="1" xr3:uid="{BD7122C7-EC06-4D48-A1FD-36F88DBCB289}" name="iteration"/>
    <tableColumn id="2" xr3:uid="{9A38B6C9-1857-4BBA-BB04-B306AE5DDFEE}" name="imagens manuais" totalsRowFunction="custom" dataDxfId="60" totalsRowDxfId="18">
      <totalsRowFormula>SUM(Tabela1347[imagens manuais])</totalsRowFormula>
    </tableColumn>
    <tableColumn id="3" xr3:uid="{660CC83C-EE5F-4272-9EDB-733E2285553F}" name="imagens não anotadas" dataDxfId="59" totalsRowDxfId="17"/>
    <tableColumn id="4" xr3:uid="{3DB1E6D0-A901-407A-A2A1-AF2B6750139E}" name="tempo de anotação (m)" dataDxfId="58" totalsRowDxfId="16"/>
    <tableColumn id="5" xr3:uid="{A96C8646-0E67-4EB2-8851-34114A20059A}" name="diff"/>
    <tableColumn id="6" xr3:uid="{38FECE0E-A028-4D17-82EB-9C9D94B0D585}" name="diff (%)" dataDxfId="57">
      <calculatedColumnFormula>Tabela1347[[#This Row],[diff]]/D37</calculatedColumnFormula>
    </tableColumn>
    <tableColumn id="7" xr3:uid="{0F596BAF-BF92-497E-97CB-203577965E59}" name="auto" totalsRowFunction="custom">
      <totalsRowFormula>SUM(Tabela1347[auto])</totalsRowFormula>
    </tableColumn>
    <tableColumn id="8" xr3:uid="{0215E9F3-3B77-45A1-BF76-480D89DA2711}" name="manual %" totalsRowFunction="custom" dataDxfId="15" totalsRowDxfId="5">
      <calculatedColumnFormula>C38/$D$38</calculatedColumnFormula>
      <totalsRowFormula>SUM(Tabela1347[manual %])</totalsRowFormula>
    </tableColumn>
    <tableColumn id="9" xr3:uid="{B304CF32-D7EC-40E9-8291-CE5927A86B74}" name="auto %" totalsRowFunction="custom" dataDxfId="19" totalsRowDxfId="4">
      <calculatedColumnFormula>H38/$D$38</calculatedColumnFormula>
      <totalsRowFormula>SUM(Tabela1347[auto %])</totalsRowFormula>
    </tableColumn>
    <tableColumn id="10" xr3:uid="{C82CE00F-DE0A-4D2A-98CF-9F046A22896F}" name="annotated %" totalsRowFunction="custom" dataDxfId="20" totalsRowDxfId="3">
      <calculatedColumnFormula>(C38+H38)/$D$38</calculatedColumnFormula>
      <totalsRowFormula>SUM(Tabela1347[annotated %])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F05A63-7F34-4FC5-A748-646896F4183D}" name="Tabela13475" displayName="Tabela13475" ref="B45:K50" totalsRowCount="1">
  <autoFilter ref="B45:K49" xr:uid="{D5AB1257-9A36-4C5D-B45A-59BFF466CE42}"/>
  <tableColumns count="10">
    <tableColumn id="1" xr3:uid="{467419DF-2553-41ED-9321-412B63EE0E00}" name="iteration"/>
    <tableColumn id="2" xr3:uid="{972F52F6-8632-4E7F-9D41-FB78184FBE17}" name="imagens manuais" totalsRowFunction="custom" dataDxfId="36" totalsRowDxfId="12">
      <totalsRowFormula>SUM(Tabela13475[imagens manuais])</totalsRowFormula>
    </tableColumn>
    <tableColumn id="3" xr3:uid="{17EAADE4-DF49-49BD-A1E2-2A06B188422F}" name="imagens não anotadas" dataDxfId="35" totalsRowDxfId="11"/>
    <tableColumn id="4" xr3:uid="{41D0D2A1-37EB-4B21-B2BA-4D807AEA4EE0}" name="tempo de anotação (m)" dataDxfId="34" totalsRowDxfId="10"/>
    <tableColumn id="5" xr3:uid="{2E3DD312-C4CF-46A9-AEED-F0D1A14C8960}" name="diff"/>
    <tableColumn id="6" xr3:uid="{EA0EB7B6-79C6-4F09-B53E-9AD476A20453}" name="diff (%)" dataDxfId="33">
      <calculatedColumnFormula>Tabela13475[[#This Row],[diff]]/D45</calculatedColumnFormula>
    </tableColumn>
    <tableColumn id="7" xr3:uid="{EF216BE7-BA1F-4382-BB72-F45BEE3E0476}" name="auto" totalsRowFunction="custom">
      <totalsRowFormula>SUM(Tabela13475[auto])</totalsRowFormula>
    </tableColumn>
    <tableColumn id="8" xr3:uid="{AF92695F-06A6-4682-9DD3-B920AEF168F9}" name="manual %" totalsRowFunction="custom" dataDxfId="14" totalsRowDxfId="2">
      <calculatedColumnFormula>C46/$D$46</calculatedColumnFormula>
      <totalsRowFormula>SUM(Tabela13475[manual %])</totalsRowFormula>
    </tableColumn>
    <tableColumn id="9" xr3:uid="{7D591D62-8647-44ED-9482-63F0254A25B5}" name="auto %" totalsRowFunction="custom" dataDxfId="13" totalsRowDxfId="1">
      <calculatedColumnFormula>H46/$D$46</calculatedColumnFormula>
      <totalsRowFormula>SUM(Tabela13475[auto %])</totalsRowFormula>
    </tableColumn>
    <tableColumn id="10" xr3:uid="{8C7D4291-21F3-4128-A1BD-63295B0E84B8}" name="annotated %" totalsRowFunction="custom" dataDxfId="9" totalsRowDxfId="0">
      <calculatedColumnFormula>(C46+H46)/$D$46</calculatedColumnFormula>
      <totalsRowFormula>SUM(Tabela13475[annotated %])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8" workbookViewId="0">
      <selection activeCell="H43" sqref="H43"/>
    </sheetView>
  </sheetViews>
  <sheetFormatPr defaultRowHeight="14.5" x14ac:dyDescent="0.35"/>
  <cols>
    <col min="2" max="2" width="10.36328125" bestFit="1" customWidth="1"/>
    <col min="3" max="3" width="17.6328125" bestFit="1" customWidth="1"/>
    <col min="4" max="4" width="22.08984375" bestFit="1" customWidth="1"/>
    <col min="5" max="5" width="23" bestFit="1" customWidth="1"/>
    <col min="9" max="9" width="11.26953125" bestFit="1" customWidth="1"/>
    <col min="11" max="11" width="13.7265625" customWidth="1"/>
  </cols>
  <sheetData>
    <row r="1" spans="1:12" x14ac:dyDescent="0.35">
      <c r="B1" t="s">
        <v>7</v>
      </c>
    </row>
    <row r="2" spans="1:12" x14ac:dyDescent="0.35">
      <c r="B2" t="s">
        <v>0</v>
      </c>
      <c r="C2" t="s">
        <v>20</v>
      </c>
      <c r="D2" t="s">
        <v>19</v>
      </c>
      <c r="E2" t="s">
        <v>3</v>
      </c>
      <c r="F2" t="s">
        <v>4</v>
      </c>
      <c r="G2" t="s">
        <v>5</v>
      </c>
      <c r="H2" t="s">
        <v>16</v>
      </c>
      <c r="I2" t="s">
        <v>17</v>
      </c>
      <c r="J2" t="s">
        <v>18</v>
      </c>
      <c r="K2" t="s">
        <v>21</v>
      </c>
      <c r="L2" t="s">
        <v>12</v>
      </c>
    </row>
    <row r="3" spans="1:12" x14ac:dyDescent="0.35">
      <c r="B3">
        <v>0</v>
      </c>
      <c r="C3" s="2">
        <v>0</v>
      </c>
      <c r="D3" s="2">
        <v>123457</v>
      </c>
      <c r="E3" s="4" t="s">
        <v>6</v>
      </c>
      <c r="F3" s="5" t="s">
        <v>6</v>
      </c>
      <c r="G3" s="6" t="s">
        <v>6</v>
      </c>
      <c r="H3">
        <v>0</v>
      </c>
      <c r="I3" s="3">
        <f>Tabela1[[#This Row],[manual]]/$D$3</f>
        <v>0</v>
      </c>
      <c r="J3" s="3">
        <f>Tabela1[[#This Row],[auto]]/$D$3</f>
        <v>0</v>
      </c>
      <c r="K3" s="3">
        <f>(Tabela1[[#This Row],[manual]]+Tabela1[[#This Row],[auto]])/$D$3</f>
        <v>0</v>
      </c>
    </row>
    <row r="4" spans="1:12" x14ac:dyDescent="0.35">
      <c r="B4">
        <v>1</v>
      </c>
      <c r="C4" s="2">
        <v>7119</v>
      </c>
      <c r="D4" s="2">
        <v>680</v>
      </c>
      <c r="E4" s="4" t="s">
        <v>6</v>
      </c>
      <c r="F4" s="2">
        <f>D3-Tabela1[[#This Row],[manual]]-Tabela1[[#This Row],[auto]]</f>
        <v>-6439</v>
      </c>
      <c r="G4" s="3">
        <f>Tabela1[[#This Row],[diff]]/D3</f>
        <v>-5.2155811335120733E-2</v>
      </c>
      <c r="H4">
        <v>122777</v>
      </c>
      <c r="I4" s="3">
        <f>Tabela1[[#This Row],[manual]]/$D$3</f>
        <v>5.766380197153665E-2</v>
      </c>
      <c r="J4" s="3">
        <f>Tabela1[[#This Row],[auto]]/$D$3</f>
        <v>0.99449200936358406</v>
      </c>
      <c r="K4" s="3">
        <f>(Tabela1[[#This Row],[manual]]+Tabela1[[#This Row],[auto]])/$D$3</f>
        <v>1.0521558113351208</v>
      </c>
    </row>
    <row r="5" spans="1:12" x14ac:dyDescent="0.35">
      <c r="B5">
        <v>2</v>
      </c>
      <c r="C5" s="2">
        <v>680</v>
      </c>
      <c r="D5" s="2">
        <v>0</v>
      </c>
      <c r="E5" s="1">
        <f>9+51/60</f>
        <v>9.85</v>
      </c>
      <c r="F5" s="2">
        <f>D4-Tabela1[[#This Row],[unlabeled]]</f>
        <v>680</v>
      </c>
      <c r="G5" s="3">
        <f>Tabela1[[#This Row],[diff]]/D4</f>
        <v>1</v>
      </c>
      <c r="H5" s="2">
        <f>D3-H4</f>
        <v>680</v>
      </c>
      <c r="I5" s="3">
        <f>Tabela1[[#This Row],[manual]]/$D$3</f>
        <v>5.5079906364159182E-3</v>
      </c>
      <c r="J5" s="3">
        <f>Tabela1[[#This Row],[auto]]/$D$3</f>
        <v>5.5079906364159182E-3</v>
      </c>
      <c r="K5" s="3">
        <f>(Tabela1[[#This Row],[manual]]+Tabela1[[#This Row],[auto]])/$D$3</f>
        <v>1.1015981272831836E-2</v>
      </c>
    </row>
    <row r="6" spans="1:12" x14ac:dyDescent="0.35">
      <c r="A6" t="s">
        <v>13</v>
      </c>
      <c r="C6" s="2">
        <f>SUM(Tabela1[manual])</f>
        <v>7799</v>
      </c>
      <c r="D6" s="2"/>
      <c r="E6" s="1">
        <f>SUM(Tabela1[tempo de anotação (m)])</f>
        <v>9.85</v>
      </c>
      <c r="H6">
        <f>SUM(Tabela1[auto])</f>
        <v>123457</v>
      </c>
      <c r="I6" s="3">
        <f>SUM(Tabela1[manual %])</f>
        <v>6.3171792607952568E-2</v>
      </c>
      <c r="J6" s="3">
        <f>SUM(Tabela1[auto %])</f>
        <v>1</v>
      </c>
      <c r="K6" s="3">
        <f>SUM(Tabela1[annotated %])</f>
        <v>1.0631717926079527</v>
      </c>
    </row>
    <row r="8" spans="1:12" x14ac:dyDescent="0.35">
      <c r="B8" t="s">
        <v>8</v>
      </c>
    </row>
    <row r="9" spans="1:12" x14ac:dyDescent="0.3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12" x14ac:dyDescent="0.35">
      <c r="B10">
        <v>0</v>
      </c>
      <c r="C10" s="2">
        <v>0</v>
      </c>
      <c r="D10" s="2">
        <v>123457</v>
      </c>
      <c r="E10" s="4" t="s">
        <v>6</v>
      </c>
      <c r="F10" s="5" t="s">
        <v>6</v>
      </c>
      <c r="G10" s="6" t="s">
        <v>6</v>
      </c>
    </row>
    <row r="11" spans="1:12" x14ac:dyDescent="0.35">
      <c r="B11">
        <v>1</v>
      </c>
      <c r="C11" s="2">
        <v>7119</v>
      </c>
      <c r="D11" s="2">
        <v>873</v>
      </c>
      <c r="E11" s="4" t="s">
        <v>6</v>
      </c>
      <c r="F11" s="2">
        <f>D10-Tabela13[[#This Row],[imagens não anotadas]]</f>
        <v>122584</v>
      </c>
      <c r="G11" s="3">
        <f>Tabela13[[#This Row],[diff]]/D10</f>
        <v>0.9929287120211896</v>
      </c>
    </row>
    <row r="12" spans="1:12" x14ac:dyDescent="0.35">
      <c r="B12">
        <v>2</v>
      </c>
      <c r="C12" s="2">
        <v>873</v>
      </c>
      <c r="D12" s="2">
        <v>0</v>
      </c>
      <c r="E12" s="1">
        <f>9+5/60</f>
        <v>9.0833333333333339</v>
      </c>
      <c r="F12" s="2">
        <f>D11-Tabela13[[#This Row],[imagens não anotadas]]</f>
        <v>873</v>
      </c>
      <c r="G12" s="3">
        <f>Tabela13[[#This Row],[diff]]/D11</f>
        <v>1</v>
      </c>
    </row>
    <row r="13" spans="1:12" x14ac:dyDescent="0.35">
      <c r="A13" t="s">
        <v>13</v>
      </c>
      <c r="C13" s="2">
        <f>SUM(Tabela13[imagens manuais])</f>
        <v>7992</v>
      </c>
      <c r="D13" s="2"/>
      <c r="E13" s="1"/>
    </row>
    <row r="15" spans="1:12" x14ac:dyDescent="0.35">
      <c r="B15" t="s">
        <v>9</v>
      </c>
    </row>
    <row r="16" spans="1:12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16</v>
      </c>
      <c r="I16" t="s">
        <v>17</v>
      </c>
      <c r="J16" t="s">
        <v>18</v>
      </c>
      <c r="K16" t="s">
        <v>21</v>
      </c>
    </row>
    <row r="17" spans="1:11" x14ac:dyDescent="0.35">
      <c r="B17">
        <v>0</v>
      </c>
      <c r="C17" s="2">
        <v>0</v>
      </c>
      <c r="D17" s="2">
        <v>123457</v>
      </c>
      <c r="E17" s="4" t="s">
        <v>6</v>
      </c>
      <c r="F17" s="5" t="s">
        <v>6</v>
      </c>
      <c r="G17" s="6" t="s">
        <v>6</v>
      </c>
      <c r="H17">
        <v>0</v>
      </c>
      <c r="I17" s="3">
        <f>C17/$D$17</f>
        <v>0</v>
      </c>
      <c r="J17" s="3">
        <f>H17/$D$17</f>
        <v>0</v>
      </c>
      <c r="K17" s="3">
        <f>(C17+H17)/$D$17</f>
        <v>0</v>
      </c>
    </row>
    <row r="18" spans="1:11" x14ac:dyDescent="0.35">
      <c r="B18">
        <v>1</v>
      </c>
      <c r="C18" s="2">
        <v>7119</v>
      </c>
      <c r="D18" s="2">
        <v>10957</v>
      </c>
      <c r="E18" s="4" t="s">
        <v>6</v>
      </c>
      <c r="F18" s="2">
        <f>D17-Tabela134[[#This Row],[imagens não anotadas]]</f>
        <v>112500</v>
      </c>
      <c r="G18" s="3">
        <f>Tabela134[[#This Row],[diff]]/D17</f>
        <v>0.91124845087763351</v>
      </c>
      <c r="H18">
        <v>112501</v>
      </c>
      <c r="I18" s="3">
        <f t="shared" ref="I18:I22" si="0">C18/$D$17</f>
        <v>5.766380197153665E-2</v>
      </c>
      <c r="J18" s="3">
        <f t="shared" ref="J18:J22" si="1">H18/$D$17</f>
        <v>0.91125655086386348</v>
      </c>
      <c r="K18" s="3">
        <f t="shared" ref="K18:K22" si="2">(C18+H18)/$D$17</f>
        <v>0.96892035283540023</v>
      </c>
    </row>
    <row r="19" spans="1:11" x14ac:dyDescent="0.35">
      <c r="B19">
        <v>2</v>
      </c>
      <c r="C19" s="2">
        <v>108</v>
      </c>
      <c r="D19" s="2">
        <v>9860</v>
      </c>
      <c r="E19" s="1">
        <f>2+9/60</f>
        <v>2.15</v>
      </c>
      <c r="F19" s="2">
        <f>D18-Tabela134[[#This Row],[imagens não anotadas]]</f>
        <v>1097</v>
      </c>
      <c r="G19" s="3">
        <f>Tabela134[[#This Row],[diff]]/D18</f>
        <v>0.10011864561467555</v>
      </c>
      <c r="H19" s="2">
        <v>998</v>
      </c>
      <c r="I19" s="3">
        <f t="shared" si="0"/>
        <v>8.7479851284252819E-4</v>
      </c>
      <c r="J19" s="3">
        <f t="shared" si="1"/>
        <v>8.0837862575633621E-3</v>
      </c>
      <c r="K19" s="3">
        <f t="shared" si="2"/>
        <v>8.9585847704058905E-3</v>
      </c>
    </row>
    <row r="20" spans="1:11" x14ac:dyDescent="0.35">
      <c r="B20">
        <v>3</v>
      </c>
      <c r="C20" s="2">
        <v>100</v>
      </c>
      <c r="D20" s="2">
        <v>4533</v>
      </c>
      <c r="E20" s="1">
        <f>1+45/60</f>
        <v>1.75</v>
      </c>
      <c r="F20" s="2">
        <f>D19-Tabela134[[#This Row],[imagens não anotadas]]</f>
        <v>5327</v>
      </c>
      <c r="G20" s="3">
        <f>Tabela134[[#This Row],[diff]]/D19</f>
        <v>0.54026369168357002</v>
      </c>
      <c r="H20">
        <v>5227</v>
      </c>
      <c r="I20" s="3">
        <f t="shared" si="0"/>
        <v>8.0999862300234094E-4</v>
      </c>
      <c r="J20" s="3">
        <f t="shared" si="1"/>
        <v>4.2338628024332359E-2</v>
      </c>
      <c r="K20" s="3">
        <f t="shared" si="2"/>
        <v>4.3148626647334702E-2</v>
      </c>
    </row>
    <row r="21" spans="1:11" x14ac:dyDescent="0.35">
      <c r="B21">
        <v>4</v>
      </c>
      <c r="C21" s="2">
        <v>100</v>
      </c>
      <c r="D21" s="2">
        <v>3209</v>
      </c>
      <c r="E21" s="1">
        <f>3+15/60</f>
        <v>3.25</v>
      </c>
      <c r="F21" s="2">
        <f>D20-Tabela134[[#This Row],[imagens não anotadas]]</f>
        <v>1324</v>
      </c>
      <c r="G21" s="3">
        <f>Tabela134[[#This Row],[diff]]/D20</f>
        <v>0.29208030002206042</v>
      </c>
      <c r="H21">
        <v>1227</v>
      </c>
      <c r="I21" s="3">
        <f t="shared" si="0"/>
        <v>8.0999862300234094E-4</v>
      </c>
      <c r="J21" s="3">
        <f t="shared" si="1"/>
        <v>9.9386831042387221E-3</v>
      </c>
      <c r="K21" s="3">
        <f t="shared" si="2"/>
        <v>1.0748681727241064E-2</v>
      </c>
    </row>
    <row r="22" spans="1:11" x14ac:dyDescent="0.35">
      <c r="B22">
        <v>5</v>
      </c>
      <c r="C22" s="2">
        <v>3209</v>
      </c>
      <c r="D22" s="2">
        <v>0</v>
      </c>
      <c r="E22" s="1">
        <f>10+51/60+9+56/60</f>
        <v>20.783333333333335</v>
      </c>
      <c r="F22" s="2">
        <f>D21-Tabela134[[#This Row],[imagens não anotadas]]</f>
        <v>3209</v>
      </c>
      <c r="G22" s="3">
        <f>Tabela134[[#This Row],[diff]]/D21</f>
        <v>1</v>
      </c>
      <c r="H22">
        <v>0</v>
      </c>
      <c r="I22" s="3">
        <f t="shared" si="0"/>
        <v>2.5992855812145121E-2</v>
      </c>
      <c r="J22" s="3">
        <f t="shared" si="1"/>
        <v>0</v>
      </c>
      <c r="K22" s="3">
        <f t="shared" si="2"/>
        <v>2.5992855812145121E-2</v>
      </c>
    </row>
    <row r="23" spans="1:11" x14ac:dyDescent="0.35">
      <c r="A23" t="s">
        <v>14</v>
      </c>
      <c r="C23" s="2">
        <f>SUM(Tabela134[imagens manuais])</f>
        <v>10636</v>
      </c>
      <c r="D23" s="2"/>
      <c r="E23" s="1"/>
      <c r="H23">
        <f>SUM(Tabela134[auto])</f>
        <v>119953</v>
      </c>
      <c r="I23" s="3">
        <f>SUM(Tabela134[manual %])</f>
        <v>8.6151453542528983E-2</v>
      </c>
      <c r="J23" s="3">
        <f>SUM(Tabela134[auto %])</f>
        <v>0.97161764824999786</v>
      </c>
      <c r="K23" s="3">
        <f>SUM(Tabela134[annotated %])</f>
        <v>1.057769101792527</v>
      </c>
    </row>
    <row r="26" spans="1:11" x14ac:dyDescent="0.35">
      <c r="B26" t="s">
        <v>10</v>
      </c>
    </row>
    <row r="27" spans="1:11" x14ac:dyDescent="0.3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16</v>
      </c>
      <c r="I27" t="s">
        <v>17</v>
      </c>
      <c r="J27" t="s">
        <v>18</v>
      </c>
      <c r="K27" t="s">
        <v>21</v>
      </c>
    </row>
    <row r="28" spans="1:11" x14ac:dyDescent="0.35">
      <c r="B28">
        <v>0</v>
      </c>
      <c r="C28" s="2">
        <v>0</v>
      </c>
      <c r="D28" s="2">
        <v>123457</v>
      </c>
      <c r="E28" s="4" t="s">
        <v>6</v>
      </c>
      <c r="F28" s="5" t="s">
        <v>6</v>
      </c>
      <c r="G28" s="6" t="s">
        <v>6</v>
      </c>
      <c r="H28">
        <v>0</v>
      </c>
      <c r="I28" s="3">
        <f t="shared" ref="I28:I32" si="3">C28/$D$28</f>
        <v>0</v>
      </c>
      <c r="J28" s="3">
        <f t="shared" ref="J28:J32" si="4">H28/$D$28</f>
        <v>0</v>
      </c>
      <c r="K28" s="3">
        <f t="shared" ref="K28:K32" si="5">(C28+H28)/$D$28</f>
        <v>0</v>
      </c>
    </row>
    <row r="29" spans="1:11" x14ac:dyDescent="0.35">
      <c r="B29">
        <v>1</v>
      </c>
      <c r="C29" s="2">
        <v>7119</v>
      </c>
      <c r="D29" s="2">
        <v>5490</v>
      </c>
      <c r="E29" s="4" t="s">
        <v>6</v>
      </c>
      <c r="F29" s="2">
        <f>D28-Tabela1346[[#This Row],[imagens não anotadas]]</f>
        <v>117967</v>
      </c>
      <c r="G29" s="3">
        <f>Tabela1346[[#This Row],[diff]]/D28</f>
        <v>0.95553107559717143</v>
      </c>
      <c r="H29">
        <v>117567</v>
      </c>
      <c r="I29" s="3">
        <f t="shared" si="3"/>
        <v>5.766380197153665E-2</v>
      </c>
      <c r="J29" s="3">
        <f t="shared" si="4"/>
        <v>0.95229108110516214</v>
      </c>
      <c r="K29" s="3">
        <f t="shared" si="5"/>
        <v>1.0099548830766987</v>
      </c>
    </row>
    <row r="30" spans="1:11" x14ac:dyDescent="0.35">
      <c r="B30">
        <v>2</v>
      </c>
      <c r="C30" s="2">
        <v>100</v>
      </c>
      <c r="D30" s="2">
        <v>4727</v>
      </c>
      <c r="E30" s="1">
        <f>1+42/60</f>
        <v>1.7</v>
      </c>
      <c r="F30" s="2">
        <f>D29-Tabela1346[[#This Row],[imagens não anotadas]]</f>
        <v>763</v>
      </c>
      <c r="G30" s="3">
        <f>Tabela1346[[#This Row],[diff]]/D29</f>
        <v>0.13897996357012751</v>
      </c>
      <c r="H30">
        <v>663</v>
      </c>
      <c r="I30" s="3">
        <f t="shared" si="3"/>
        <v>8.0999862300234094E-4</v>
      </c>
      <c r="J30" s="3">
        <f t="shared" si="4"/>
        <v>5.3702908705055199E-3</v>
      </c>
      <c r="K30" s="3">
        <f t="shared" si="5"/>
        <v>6.1802894935078607E-3</v>
      </c>
    </row>
    <row r="31" spans="1:11" x14ac:dyDescent="0.35">
      <c r="B31">
        <v>3</v>
      </c>
      <c r="C31" s="2">
        <v>100</v>
      </c>
      <c r="D31" s="2">
        <v>2533</v>
      </c>
      <c r="E31" s="1">
        <f>1+23/60</f>
        <v>1.3833333333333333</v>
      </c>
      <c r="F31" s="2">
        <f>D30-Tabela1346[[#This Row],[imagens não anotadas]]</f>
        <v>2194</v>
      </c>
      <c r="G31" s="3">
        <f>Tabela1346[[#This Row],[diff]]/D30</f>
        <v>0.46414216204781045</v>
      </c>
      <c r="H31">
        <v>2097</v>
      </c>
      <c r="I31" s="3">
        <f t="shared" si="3"/>
        <v>8.0999862300234094E-4</v>
      </c>
      <c r="J31" s="3">
        <f t="shared" si="4"/>
        <v>1.698567112435909E-2</v>
      </c>
      <c r="K31" s="3">
        <f t="shared" si="5"/>
        <v>1.779566974736143E-2</v>
      </c>
    </row>
    <row r="32" spans="1:11" x14ac:dyDescent="0.35">
      <c r="A32" t="s">
        <v>15</v>
      </c>
      <c r="B32">
        <v>4</v>
      </c>
      <c r="C32" s="2">
        <v>2533</v>
      </c>
      <c r="D32" s="2">
        <v>0</v>
      </c>
      <c r="E32" s="1">
        <f>19+18/60</f>
        <v>19.3</v>
      </c>
      <c r="F32" s="2">
        <f>D31-Tabela1346[[#This Row],[imagens não anotadas]]</f>
        <v>2533</v>
      </c>
      <c r="G32" s="3">
        <f>Tabela1346[[#This Row],[diff]]/D31</f>
        <v>1</v>
      </c>
      <c r="H32">
        <v>0</v>
      </c>
      <c r="I32" s="3">
        <f t="shared" si="3"/>
        <v>2.0517265120649296E-2</v>
      </c>
      <c r="J32" s="3">
        <f t="shared" si="4"/>
        <v>0</v>
      </c>
      <c r="K32" s="3">
        <f t="shared" si="5"/>
        <v>2.0517265120649296E-2</v>
      </c>
    </row>
    <row r="33" spans="1:11" x14ac:dyDescent="0.35">
      <c r="C33" s="2">
        <f>SUM(Tabela1346[imagens manuais])</f>
        <v>9852</v>
      </c>
      <c r="D33" s="2"/>
      <c r="E33" s="1"/>
      <c r="H33">
        <f>SUM(Tabela1346[auto])</f>
        <v>120327</v>
      </c>
      <c r="I33" s="3">
        <f>SUM(Tabela1346[manual %])</f>
        <v>7.9801064338190633E-2</v>
      </c>
      <c r="J33" s="3">
        <f>SUM(Tabela1346[auto %])</f>
        <v>0.97464704310002681</v>
      </c>
      <c r="K33" s="3">
        <f>SUM(Tabela1346[annotated %])</f>
        <v>1.0544481074382173</v>
      </c>
    </row>
    <row r="36" spans="1:11" x14ac:dyDescent="0.35">
      <c r="B36" t="s">
        <v>11</v>
      </c>
    </row>
    <row r="37" spans="1:11" x14ac:dyDescent="0.3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16</v>
      </c>
      <c r="I37" t="s">
        <v>17</v>
      </c>
      <c r="J37" t="s">
        <v>18</v>
      </c>
      <c r="K37" t="s">
        <v>21</v>
      </c>
    </row>
    <row r="38" spans="1:11" x14ac:dyDescent="0.35">
      <c r="B38">
        <v>0</v>
      </c>
      <c r="C38" s="2">
        <v>0</v>
      </c>
      <c r="D38" s="2">
        <v>123457</v>
      </c>
      <c r="E38" s="4" t="s">
        <v>6</v>
      </c>
      <c r="F38" s="5" t="s">
        <v>6</v>
      </c>
      <c r="G38" s="6" t="s">
        <v>6</v>
      </c>
      <c r="H38">
        <v>0</v>
      </c>
      <c r="I38" s="3">
        <f t="shared" ref="I38:I41" si="6">C38/$D$38</f>
        <v>0</v>
      </c>
      <c r="J38" s="3">
        <f t="shared" ref="J38:J41" si="7">H38/$D$38</f>
        <v>0</v>
      </c>
      <c r="K38" s="3">
        <f t="shared" ref="K38:K41" si="8">(C38+H38)/$D$38</f>
        <v>0</v>
      </c>
    </row>
    <row r="39" spans="1:11" x14ac:dyDescent="0.35">
      <c r="B39">
        <v>1</v>
      </c>
      <c r="C39" s="2">
        <v>7119</v>
      </c>
      <c r="D39" s="2">
        <f>D38-Tabela1347[[#This Row],[imagens manuais]]-Tabela1347[[#This Row],[auto]]</f>
        <v>2932</v>
      </c>
      <c r="E39" s="4" t="s">
        <v>6</v>
      </c>
      <c r="F39" s="2">
        <f>D38-Tabela1347[[#This Row],[imagens não anotadas]]</f>
        <v>120525</v>
      </c>
      <c r="G39" s="3">
        <f>Tabela1347[[#This Row],[diff]]/D38</f>
        <v>0.97625084037357135</v>
      </c>
      <c r="H39">
        <v>113406</v>
      </c>
      <c r="I39" s="3">
        <f t="shared" si="6"/>
        <v>5.766380197153665E-2</v>
      </c>
      <c r="J39" s="3">
        <f t="shared" si="7"/>
        <v>0.91858703840203471</v>
      </c>
      <c r="K39" s="3">
        <f t="shared" si="8"/>
        <v>0.97625084037357135</v>
      </c>
    </row>
    <row r="40" spans="1:11" x14ac:dyDescent="0.35">
      <c r="B40">
        <v>2</v>
      </c>
      <c r="C40" s="2">
        <v>100</v>
      </c>
      <c r="D40" s="2">
        <f>D39-Tabela1347[[#This Row],[imagens manuais]]-Tabela1347[[#This Row],[auto]]</f>
        <v>-4513</v>
      </c>
      <c r="E40" s="1">
        <f>3+30/60</f>
        <v>3.5</v>
      </c>
      <c r="F40" s="2">
        <f>D39-Tabela1347[[#This Row],[imagens não anotadas]]</f>
        <v>7445</v>
      </c>
      <c r="G40" s="3">
        <f>Tabela1347[[#This Row],[diff]]/D39</f>
        <v>2.5392223738062758</v>
      </c>
      <c r="H40">
        <v>7345</v>
      </c>
      <c r="I40" s="3">
        <f t="shared" si="6"/>
        <v>8.0999862300234094E-4</v>
      </c>
      <c r="J40" s="3">
        <f t="shared" si="7"/>
        <v>5.9494398859521937E-2</v>
      </c>
      <c r="K40" s="3">
        <f t="shared" si="8"/>
        <v>6.030439748252428E-2</v>
      </c>
    </row>
    <row r="41" spans="1:11" x14ac:dyDescent="0.35">
      <c r="B41">
        <v>3</v>
      </c>
      <c r="C41" s="2">
        <v>2606</v>
      </c>
      <c r="D41" s="2">
        <f>D40-Tabela1347[[#This Row],[imagens manuais]]-Tabela1347[[#This Row],[auto]]</f>
        <v>-7119</v>
      </c>
      <c r="E41" s="1">
        <f>33+23/60</f>
        <v>33.383333333333333</v>
      </c>
      <c r="F41" s="2">
        <f>D40-Tabela1347[[#This Row],[imagens não anotadas]]</f>
        <v>2606</v>
      </c>
      <c r="G41" s="3">
        <f>Tabela1347[[#This Row],[diff]]/D40</f>
        <v>-0.5774429426102371</v>
      </c>
      <c r="H41">
        <v>0</v>
      </c>
      <c r="I41" s="3">
        <f t="shared" si="6"/>
        <v>2.1108564115441004E-2</v>
      </c>
      <c r="J41" s="3">
        <f t="shared" si="7"/>
        <v>0</v>
      </c>
      <c r="K41" s="3">
        <f t="shared" si="8"/>
        <v>2.1108564115441004E-2</v>
      </c>
    </row>
    <row r="42" spans="1:11" x14ac:dyDescent="0.35">
      <c r="A42" t="s">
        <v>14</v>
      </c>
      <c r="C42" s="2">
        <f>SUM(Tabela1347[imagens manuais])</f>
        <v>9825</v>
      </c>
      <c r="D42" s="2"/>
      <c r="E42" s="1"/>
      <c r="H42">
        <f>SUM(Tabela1347[auto])</f>
        <v>120751</v>
      </c>
      <c r="I42" s="3">
        <f>SUM(Tabela1347[manual %])</f>
        <v>7.9582364709979994E-2</v>
      </c>
      <c r="J42" s="3">
        <f>SUM(Tabela1347[auto %])</f>
        <v>0.97808143726155661</v>
      </c>
      <c r="K42" s="3">
        <f>SUM(Tabela1347[annotated %])</f>
        <v>1.0576638019715365</v>
      </c>
    </row>
    <row r="43" spans="1:11" x14ac:dyDescent="0.35">
      <c r="D43" s="2"/>
    </row>
    <row r="44" spans="1:11" x14ac:dyDescent="0.35">
      <c r="B44" t="s">
        <v>22</v>
      </c>
    </row>
    <row r="45" spans="1:11" x14ac:dyDescent="0.35"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16</v>
      </c>
      <c r="I45" t="s">
        <v>17</v>
      </c>
      <c r="J45" t="s">
        <v>18</v>
      </c>
      <c r="K45" t="s">
        <v>21</v>
      </c>
    </row>
    <row r="46" spans="1:11" x14ac:dyDescent="0.35">
      <c r="B46">
        <v>0</v>
      </c>
      <c r="C46" s="2">
        <v>0</v>
      </c>
      <c r="D46" s="2">
        <v>123457</v>
      </c>
      <c r="E46" s="4" t="s">
        <v>6</v>
      </c>
      <c r="F46" s="5" t="s">
        <v>6</v>
      </c>
      <c r="G46" s="6" t="s">
        <v>6</v>
      </c>
      <c r="H46">
        <v>0</v>
      </c>
      <c r="I46" s="3">
        <f t="shared" ref="I46:I49" si="9">C46/$D$46</f>
        <v>0</v>
      </c>
      <c r="J46" s="3">
        <f t="shared" ref="J46:J49" si="10">H46/$D$46</f>
        <v>0</v>
      </c>
      <c r="K46" s="3">
        <f t="shared" ref="K46:K49" si="11">(C46+H46)/$D$46</f>
        <v>0</v>
      </c>
    </row>
    <row r="47" spans="1:11" x14ac:dyDescent="0.35">
      <c r="B47">
        <v>1</v>
      </c>
      <c r="C47" s="2">
        <v>7119</v>
      </c>
      <c r="D47" s="2">
        <f>D46-Tabela13475[[#This Row],[imagens manuais]]-Tabela13475[[#This Row],[auto]]</f>
        <v>-2361</v>
      </c>
      <c r="E47" s="4" t="s">
        <v>6</v>
      </c>
      <c r="F47" s="2">
        <f>D46-Tabela13475[[#This Row],[imagens não anotadas]]</f>
        <v>125818</v>
      </c>
      <c r="G47" s="3">
        <f>Tabela13475[[#This Row],[diff]]/D46</f>
        <v>1.0191240674890854</v>
      </c>
      <c r="H47">
        <v>118699</v>
      </c>
      <c r="I47" s="3">
        <f t="shared" si="9"/>
        <v>5.766380197153665E-2</v>
      </c>
      <c r="J47" s="3">
        <f t="shared" si="10"/>
        <v>0.9614602655175486</v>
      </c>
      <c r="K47" s="3">
        <f t="shared" si="11"/>
        <v>1.0191240674890854</v>
      </c>
    </row>
    <row r="48" spans="1:11" x14ac:dyDescent="0.35">
      <c r="B48">
        <v>2</v>
      </c>
      <c r="C48" s="2">
        <v>100</v>
      </c>
      <c r="D48" s="2">
        <f>D47-Tabela13475[[#This Row],[imagens manuais]]-Tabela13475[[#This Row],[auto]]</f>
        <v>-4980</v>
      </c>
      <c r="E48" s="1">
        <f>3+30/60</f>
        <v>3.5</v>
      </c>
      <c r="F48" s="2">
        <f>D47-Tabela13475[[#This Row],[imagens não anotadas]]</f>
        <v>2619</v>
      </c>
      <c r="G48" s="3">
        <f>Tabela13475[[#This Row],[diff]]/D47</f>
        <v>-1.1092757306226175</v>
      </c>
      <c r="H48">
        <v>2519</v>
      </c>
      <c r="I48" s="3">
        <f t="shared" si="9"/>
        <v>8.0999862300234094E-4</v>
      </c>
      <c r="J48" s="3">
        <f t="shared" si="10"/>
        <v>2.0403865313428967E-2</v>
      </c>
      <c r="K48" s="3">
        <f t="shared" si="11"/>
        <v>2.1213863936431307E-2</v>
      </c>
    </row>
    <row r="49" spans="2:11" x14ac:dyDescent="0.35">
      <c r="B49">
        <v>3</v>
      </c>
      <c r="C49" s="2">
        <v>2139</v>
      </c>
      <c r="D49" s="2">
        <f>D48-Tabela13475[[#This Row],[imagens manuais]]-Tabela13475[[#This Row],[auto]]</f>
        <v>-7119</v>
      </c>
      <c r="E49" s="1">
        <f>33+23/60</f>
        <v>33.383333333333333</v>
      </c>
      <c r="F49" s="2">
        <f>D48-Tabela13475[[#This Row],[imagens não anotadas]]</f>
        <v>2139</v>
      </c>
      <c r="G49" s="3">
        <f>Tabela13475[[#This Row],[diff]]/D48</f>
        <v>-0.42951807228915662</v>
      </c>
      <c r="H49">
        <v>0</v>
      </c>
      <c r="I49" s="3">
        <f t="shared" si="9"/>
        <v>1.7325870546020073E-2</v>
      </c>
      <c r="J49" s="3">
        <f t="shared" si="10"/>
        <v>0</v>
      </c>
      <c r="K49" s="3">
        <f t="shared" si="11"/>
        <v>1.7325870546020073E-2</v>
      </c>
    </row>
    <row r="50" spans="2:11" x14ac:dyDescent="0.35">
      <c r="C50" s="2">
        <f>SUM(Tabela13475[imagens manuais])</f>
        <v>9358</v>
      </c>
      <c r="D50" s="2"/>
      <c r="E50" s="1"/>
      <c r="H50">
        <f>SUM(Tabela13475[auto])</f>
        <v>121218</v>
      </c>
      <c r="I50" s="3">
        <f>SUM(Tabela13475[manual %])</f>
        <v>7.5799671140559063E-2</v>
      </c>
      <c r="J50" s="3">
        <f>SUM(Tabela13475[auto %])</f>
        <v>0.98186413083097757</v>
      </c>
      <c r="K50" s="3">
        <f>SUM(Tabela13475[annotated %])</f>
        <v>1.0576638019715365</v>
      </c>
    </row>
    <row r="52" spans="2:11" x14ac:dyDescent="0.35">
      <c r="H52" s="2">
        <f>Tabela13475[[#Totals],[auto]]+Tabela13475[[#Totals],[imagens manuais]]</f>
        <v>130576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G3" calculatedColumn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56B7-097B-4DA7-A973-892A2D58608D}">
  <dimension ref="A1"/>
  <sheetViews>
    <sheetView workbookViewId="0">
      <selection activeCell="B3" sqref="B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2020-02-09T22:43:39Z</dcterms:modified>
</cp:coreProperties>
</file>