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tempo_anotacao\"/>
    </mc:Choice>
  </mc:AlternateContent>
  <xr:revisionPtr revIDLastSave="0" documentId="13_ncr:1_{4E87CA21-8DC8-4B70-AFC5-2592DD0F7B29}" xr6:coauthVersionLast="45" xr6:coauthVersionMax="45" xr10:uidLastSave="{00000000-0000-0000-0000-000000000000}"/>
  <bookViews>
    <workbookView xWindow="-110" yWindow="-110" windowWidth="19420" windowHeight="10420" firstSheet="1" activeTab="8" xr2:uid="{00000000-000D-0000-FFFF-FFFF00000000}"/>
  </bookViews>
  <sheets>
    <sheet name="Total - semiauto" sheetId="4" r:id="rId1"/>
    <sheet name="Total - petrobras" sheetId="5" r:id="rId2"/>
    <sheet name="Rede 1" sheetId="1" r:id="rId3"/>
    <sheet name="Rede 2" sheetId="2" r:id="rId4"/>
    <sheet name="Rede 3" sheetId="3" r:id="rId5"/>
    <sheet name="Felipe" sheetId="6" r:id="rId6"/>
    <sheet name="José Gabriel" sheetId="9" r:id="rId7"/>
    <sheet name="Karen" sheetId="7" r:id="rId8"/>
    <sheet name="Models" sheetId="8" r:id="rId9"/>
  </sheets>
  <definedNames>
    <definedName name="DadosExternos_1" localSheetId="5" hidden="1">Felipe!$A$2:$B$14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8" l="1"/>
  <c r="H13" i="8"/>
  <c r="G13" i="8"/>
  <c r="N6" i="8"/>
  <c r="N5" i="8"/>
  <c r="N4" i="8"/>
  <c r="I12" i="8"/>
  <c r="I3" i="8"/>
  <c r="I4" i="8"/>
  <c r="I5" i="8"/>
  <c r="I6" i="8"/>
  <c r="I7" i="8"/>
  <c r="I8" i="8"/>
  <c r="I9" i="8"/>
  <c r="I10" i="8"/>
  <c r="I11" i="8"/>
  <c r="I2" i="8"/>
  <c r="H12" i="8"/>
  <c r="G12" i="8"/>
  <c r="H11" i="8"/>
  <c r="G11" i="8"/>
  <c r="H10" i="8"/>
  <c r="G10" i="8"/>
  <c r="H2" i="8"/>
  <c r="G2" i="8"/>
  <c r="H3" i="8"/>
  <c r="G3" i="8"/>
  <c r="H4" i="8"/>
  <c r="G4" i="8"/>
  <c r="H5" i="8"/>
  <c r="G5" i="8"/>
  <c r="G6" i="8"/>
  <c r="H7" i="8"/>
  <c r="G7" i="8"/>
  <c r="H8" i="8"/>
  <c r="H9" i="8"/>
  <c r="G9" i="8"/>
  <c r="K2" i="4"/>
  <c r="C2" i="9"/>
  <c r="D10" i="4"/>
  <c r="D9" i="4"/>
  <c r="A15" i="6"/>
  <c r="B15" i="6"/>
  <c r="C15" i="6"/>
  <c r="D15" i="6"/>
  <c r="E11" i="5"/>
  <c r="E10" i="5"/>
  <c r="E15" i="5"/>
  <c r="E14" i="5"/>
  <c r="E2" i="5"/>
  <c r="E3" i="5"/>
  <c r="E4" i="5"/>
  <c r="E5" i="5"/>
  <c r="E6" i="5"/>
  <c r="E7" i="5"/>
  <c r="E8" i="5"/>
  <c r="E9" i="5"/>
  <c r="C15" i="5"/>
  <c r="C14" i="5"/>
  <c r="B15" i="5"/>
  <c r="B14" i="5"/>
  <c r="B8" i="7"/>
  <c r="C8" i="7"/>
  <c r="D8" i="7"/>
  <c r="D3" i="7"/>
  <c r="D4" i="7"/>
  <c r="D5" i="7"/>
  <c r="D6" i="7"/>
  <c r="D7" i="7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C3" i="4" l="1"/>
  <c r="C12" i="5"/>
  <c r="B12" i="5"/>
  <c r="C10" i="5"/>
  <c r="D9" i="5"/>
  <c r="D8" i="5"/>
  <c r="D7" i="5"/>
  <c r="D6" i="5"/>
  <c r="D4" i="5"/>
  <c r="B5" i="5"/>
  <c r="D5" i="5" s="1"/>
  <c r="C3" i="5"/>
  <c r="C11" i="5" s="1"/>
  <c r="B3" i="5"/>
  <c r="B10" i="5" s="1"/>
  <c r="C2" i="5"/>
  <c r="B2" i="5"/>
  <c r="C8" i="4"/>
  <c r="C7" i="4"/>
  <c r="C6" i="4"/>
  <c r="C5" i="4"/>
  <c r="C4" i="4"/>
  <c r="E8" i="4"/>
  <c r="D8" i="4"/>
  <c r="E7" i="4"/>
  <c r="D7" i="4"/>
  <c r="E6" i="4"/>
  <c r="D6" i="4"/>
  <c r="E5" i="4"/>
  <c r="D5" i="4"/>
  <c r="E4" i="4"/>
  <c r="D4" i="4"/>
  <c r="E3" i="4"/>
  <c r="D3" i="4"/>
  <c r="K33" i="3"/>
  <c r="K27" i="3"/>
  <c r="K20" i="3"/>
  <c r="K12" i="3"/>
  <c r="D20" i="2"/>
  <c r="E6" i="1"/>
  <c r="E7" i="1"/>
  <c r="E8" i="1"/>
  <c r="E9" i="1"/>
  <c r="E10" i="1"/>
  <c r="E12" i="1"/>
  <c r="J27" i="3"/>
  <c r="J33" i="3"/>
  <c r="J31" i="3"/>
  <c r="J32" i="3"/>
  <c r="J24" i="3"/>
  <c r="J25" i="3"/>
  <c r="J26" i="3"/>
  <c r="J20" i="3"/>
  <c r="J16" i="3"/>
  <c r="J17" i="3"/>
  <c r="J18" i="3"/>
  <c r="J19" i="3"/>
  <c r="J12" i="3"/>
  <c r="J10" i="3"/>
  <c r="J11" i="3"/>
  <c r="J6" i="3"/>
  <c r="K6" i="3" s="1"/>
  <c r="J5" i="3"/>
  <c r="D13" i="1"/>
  <c r="D15" i="5" l="1"/>
  <c r="B11" i="5"/>
  <c r="D3" i="5"/>
  <c r="D2" i="5"/>
  <c r="E13" i="1"/>
  <c r="F13" i="1"/>
  <c r="B20" i="2"/>
  <c r="D10" i="5" l="1"/>
  <c r="D14" i="5"/>
  <c r="D11" i="5"/>
  <c r="I33" i="3"/>
  <c r="I27" i="3"/>
  <c r="I20" i="3"/>
  <c r="I31" i="3"/>
  <c r="I32" i="3"/>
  <c r="C33" i="3"/>
  <c r="I24" i="3"/>
  <c r="I25" i="3"/>
  <c r="I26" i="3"/>
  <c r="C27" i="3"/>
  <c r="I16" i="3"/>
  <c r="I17" i="3"/>
  <c r="I18" i="3"/>
  <c r="I19" i="3"/>
  <c r="C20" i="3"/>
  <c r="C12" i="3"/>
  <c r="I11" i="3"/>
  <c r="I10" i="3"/>
  <c r="I12" i="3" l="1"/>
  <c r="C6" i="3"/>
  <c r="I5" i="3"/>
  <c r="I6" i="3" s="1"/>
  <c r="C19" i="2" l="1"/>
  <c r="C18" i="2"/>
  <c r="C17" i="2"/>
  <c r="C16" i="2"/>
  <c r="C15" i="2"/>
  <c r="C14" i="2"/>
  <c r="C13" i="2"/>
  <c r="C12" i="2"/>
  <c r="C13" i="1"/>
  <c r="C20" i="2" l="1"/>
  <c r="C2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D206BD-47A2-4274-82BC-CD5A4DD0D3C5}" keepAlive="1" name="Consulta - felipe data" description="Conexão com a consulta 'felipe data' na pasta de trabalho." type="5" refreshedVersion="6" background="1" saveData="1">
    <dbPr connection="Provider=Microsoft.Mashup.OleDb.1;Data Source=$Workbook$;Location=&quot;felipe data&quot;;Extended Properties=&quot;&quot;" command="SELECT * FROM [felipe data]"/>
  </connection>
  <connection id="2" xr16:uid="{35F5B415-7000-4939-A440-63D45ACF5342}" keepAlive="1" name="Consulta - felipe data (2)" description="Conexão com a consulta 'felipe data (2)' na pasta de trabalho." type="5" refreshedVersion="6" background="1" saveData="1">
    <dbPr connection="Provider=Microsoft.Mashup.OleDb.1;Data Source=$Workbook$;Location=&quot;felipe data (2)&quot;;Extended Properties=&quot;&quot;" command="SELECT * FROM [felipe data (2)]"/>
  </connection>
</connections>
</file>

<file path=xl/sharedStrings.xml><?xml version="1.0" encoding="utf-8"?>
<sst xmlns="http://schemas.openxmlformats.org/spreadsheetml/2006/main" count="185" uniqueCount="75">
  <si>
    <t>It</t>
  </si>
  <si>
    <t>manual</t>
  </si>
  <si>
    <t>Total</t>
  </si>
  <si>
    <t>-</t>
  </si>
  <si>
    <t>rede2</t>
  </si>
  <si>
    <t>iteration</t>
  </si>
  <si>
    <t>tempo de anotação (m)</t>
  </si>
  <si>
    <t>img/min</t>
  </si>
  <si>
    <t>rede 1</t>
  </si>
  <si>
    <t>rede3_anodo</t>
  </si>
  <si>
    <t>imagens manuais</t>
  </si>
  <si>
    <t>Class</t>
  </si>
  <si>
    <t>Anode</t>
  </si>
  <si>
    <t>Buried</t>
  </si>
  <si>
    <t>Damage</t>
  </si>
  <si>
    <t>Flange</t>
  </si>
  <si>
    <t>Repair</t>
  </si>
  <si>
    <t>.</t>
  </si>
  <si>
    <t>it</t>
  </si>
  <si>
    <t>?</t>
  </si>
  <si>
    <t>tempo anotacao (m)</t>
  </si>
  <si>
    <t>Coluna1</t>
  </si>
  <si>
    <t>Coluna2</t>
  </si>
  <si>
    <t>Coluna3</t>
  </si>
  <si>
    <t>Coluna4</t>
  </si>
  <si>
    <t>Coluna5</t>
  </si>
  <si>
    <t>Level</t>
  </si>
  <si>
    <t>u_t (img/min)</t>
  </si>
  <si>
    <t>sigma_t (img/min)</t>
  </si>
  <si>
    <t>Coluna6</t>
  </si>
  <si>
    <t>Images</t>
  </si>
  <si>
    <t>Video</t>
  </si>
  <si>
    <t>Tempo video (min)</t>
  </si>
  <si>
    <t>Tempo anotacao (min)</t>
  </si>
  <si>
    <t>TCOpm16-140_OK/DVD-2/VTS_01_5.VOB</t>
  </si>
  <si>
    <t>FAmls16-119_OK/VTS_07_1</t>
  </si>
  <si>
    <t>GHmls16-263_OK\DVD-1\20161102023734109@DVR-SPARE_Ch1.wmv</t>
  </si>
  <si>
    <t>FSll16-224_OK\DVD-2\VTS_01_4.VOB</t>
  </si>
  <si>
    <t>Soma</t>
  </si>
  <si>
    <t>Média</t>
  </si>
  <si>
    <t>Veloc anotacao media (min/min)</t>
  </si>
  <si>
    <t>GHmls16-263_OK/DVD-1/20161101205058500@DVR-SPARE_Ch1.wmv</t>
  </si>
  <si>
    <t>GHmls16-263_OK/DVD-1/20161101215100437@DVR-SPARE_Ch1.wmv</t>
  </si>
  <si>
    <t>GHmls16-263_OK/DVD-1/20161101222101578@DVR-SPARE_Ch1.wmv</t>
  </si>
  <si>
    <t>GHmls16-263_OK/DVD-1/20161101225102250@DVR-SPARE_Ch1.wmv</t>
  </si>
  <si>
    <t>Desvio Padrão</t>
  </si>
  <si>
    <t>Frames</t>
  </si>
  <si>
    <t>Tempo de anotação (min)</t>
  </si>
  <si>
    <t>Tempo de vídeo (horas)</t>
  </si>
  <si>
    <t>Annotation rate (frame/min)</t>
  </si>
  <si>
    <t>Video Frame rate (frame/s)</t>
  </si>
  <si>
    <t>Semiauto dataset</t>
  </si>
  <si>
    <t>enterramento</t>
  </si>
  <si>
    <t>Video name</t>
  </si>
  <si>
    <t>anodo</t>
  </si>
  <si>
    <t>dano</t>
  </si>
  <si>
    <t>flange</t>
  </si>
  <si>
    <t>reparo</t>
  </si>
  <si>
    <t>Sem interface</t>
  </si>
  <si>
    <t>Com interface</t>
  </si>
  <si>
    <t>Veloc anotacao media (frames/min)</t>
  </si>
  <si>
    <t>Desvio</t>
  </si>
  <si>
    <t>TODOS ANOTADORES</t>
  </si>
  <si>
    <t>frames/min</t>
  </si>
  <si>
    <t>rede1</t>
  </si>
  <si>
    <t>Batches/epoch train</t>
  </si>
  <si>
    <t>Batches/epoch val</t>
  </si>
  <si>
    <t>Batch size</t>
  </si>
  <si>
    <t>Dataset size train</t>
  </si>
  <si>
    <t>Dataset size val</t>
  </si>
  <si>
    <t>Annot speed</t>
  </si>
  <si>
    <t>train (min)</t>
  </si>
  <si>
    <t>val (min)</t>
  </si>
  <si>
    <t>Tot (min)</t>
  </si>
  <si>
    <t>Dataset size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</si>
</sst>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70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/>
    <xf numFmtId="0" fontId="0" fillId="0" borderId="2" xfId="0" applyBorder="1"/>
    <xf numFmtId="1" fontId="0" fillId="0" borderId="2" xfId="0" applyNumberFormat="1" applyBorder="1"/>
    <xf numFmtId="165" fontId="0" fillId="0" borderId="2" xfId="0" applyNumberFormat="1" applyBorder="1"/>
    <xf numFmtId="0" fontId="0" fillId="0" borderId="0" xfId="0" applyBorder="1"/>
    <xf numFmtId="1" fontId="0" fillId="0" borderId="0" xfId="0" applyNumberFormat="1" applyFont="1" applyBorder="1"/>
    <xf numFmtId="165" fontId="0" fillId="0" borderId="0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165" fontId="1" fillId="0" borderId="3" xfId="0" applyNumberFormat="1" applyFont="1" applyBorder="1"/>
    <xf numFmtId="0" fontId="1" fillId="0" borderId="4" xfId="0" applyFont="1" applyBorder="1"/>
    <xf numFmtId="165" fontId="1" fillId="0" borderId="4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3" borderId="0" xfId="0" applyNumberFormat="1" applyFill="1"/>
    <xf numFmtId="165" fontId="0" fillId="3" borderId="0" xfId="0" applyNumberFormat="1" applyFill="1"/>
    <xf numFmtId="3" fontId="1" fillId="0" borderId="0" xfId="0" applyNumberFormat="1" applyFont="1"/>
    <xf numFmtId="170" fontId="0" fillId="0" borderId="0" xfId="0" applyNumberFormat="1"/>
    <xf numFmtId="170" fontId="0" fillId="3" borderId="0" xfId="0" applyNumberFormat="1" applyFill="1"/>
  </cellXfs>
  <cellStyles count="1">
    <cellStyle name="Normal" xfId="0" builtinId="0"/>
  </cellStyles>
  <dxfs count="107"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</dxf>
    <dxf>
      <numFmt numFmtId="165" formatCode="0.0"/>
    </dxf>
    <dxf>
      <numFmt numFmtId="165" formatCode="0.0"/>
    </dxf>
    <dxf>
      <numFmt numFmtId="0" formatCode="General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7E9978D-78CA-4036-8705-79D4C2DCC86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0D7A92-C3B1-4E4F-9308-672DF3FE6BF9}" name="Tabela3" displayName="Tabela3" ref="A1:E10" totalsRowCount="1">
  <autoFilter ref="A1:E9" xr:uid="{C52C9E56-66E3-4B76-9C73-DD5A36BFADA6}"/>
  <tableColumns count="5">
    <tableColumn id="1" xr3:uid="{24063401-CEDB-44F1-95F1-A5796650D6D5}" name="Video" totalsRowLabel="Média"/>
    <tableColumn id="2" xr3:uid="{29330AAE-BD5F-429D-B4BD-A268A571AE0B}" name="Tempo video (min)" totalsRowFunction="average" dataDxfId="106" totalsRowDxfId="8"/>
    <tableColumn id="3" xr3:uid="{B4D8FC5C-C9B8-40B6-988C-4B6E68E351E9}" name="Tempo anotacao (min)" totalsRowFunction="average" dataDxfId="105" totalsRowDxfId="7"/>
    <tableColumn id="4" xr3:uid="{450EB327-6898-42E1-9F9C-C07045BD9757}" name="Veloc anotacao media (min/min)" totalsRowFunction="average" dataDxfId="104" totalsRowDxfId="6">
      <calculatedColumnFormula>B2/C2</calculatedColumnFormula>
    </tableColumn>
    <tableColumn id="5" xr3:uid="{BE5345D8-4EE6-4D69-9467-18A2DB2E2B18}" name="Veloc anotacao media (frames/min)" totalsRowFunction="average" dataDxfId="9" totalsRowDxfId="5">
      <calculatedColumnFormula>Tabela3[[#This Row],[Veloc anotacao media (min/min)]]*$G$1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E1ABF-3398-4FAB-A839-46B97A2B48AD}" name="Tabela1" displayName="Tabela1" ref="A2:D20" totalsRowCount="1">
  <autoFilter ref="A2:D19" xr:uid="{95CEC84B-E252-493B-858E-9DE9C490938E}"/>
  <tableColumns count="4">
    <tableColumn id="1" xr3:uid="{1E1ED506-1A68-4AE8-BF85-4326B710E75D}" name="iteration" totalsRowLabel="."/>
    <tableColumn id="2" xr3:uid="{B6964C40-D3E8-47A9-BAE9-4A6388A6B9EE}" name="manual" totalsRowFunction="custom" dataDxfId="103" totalsRowDxfId="102">
      <totalsRowFormula>SUM(Tabela1[manual])</totalsRowFormula>
    </tableColumn>
    <tableColumn id="4" xr3:uid="{24AE9389-4EF9-42F2-B77C-64A372A5AEDB}" name="tempo de anotação (m)" totalsRowFunction="custom" dataDxfId="101" totalsRowDxfId="100">
      <totalsRowFormula>SUM(Tabela1[tempo de anotação (m)])</totalsRowFormula>
    </tableColumn>
    <tableColumn id="3" xr3:uid="{B1110663-EC68-4B9B-8481-DD73C225AFAA}" name="Coluna1" totalsRowFunction="custom">
      <totalsRowFormula>_xlfn.STDEV.S(Tabela1[tempo de anotação (m)])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98628A-2B11-4454-A9BE-D06AEEBDFF78}" name="Tabela19" displayName="Tabela19" ref="B2:K6" totalsRowCount="1">
  <autoFilter ref="B2:K5" xr:uid="{71EB153F-8004-4046-912E-ECBAE4E26523}"/>
  <tableColumns count="10">
    <tableColumn id="1" xr3:uid="{CA396343-4F25-4CB4-A5A1-A2CA9089CE25}" name="it" totalsRowLabel="."/>
    <tableColumn id="2" xr3:uid="{B6FEF5E0-8C17-4FFB-8D39-30AB1F58E550}" name="manual" totalsRowFunction="custom" dataDxfId="99" totalsRowDxfId="98">
      <totalsRowFormula>SUM(Tabela19[manual])</totalsRowFormula>
    </tableColumn>
    <tableColumn id="7" xr3:uid="{CD776EA8-6487-4588-BE43-4D7A4A464627}" name="Coluna1" dataDxfId="97"/>
    <tableColumn id="3" xr3:uid="{08C9A2DC-5C58-421B-9C81-D52256DDD954}" name="Coluna2" dataDxfId="96" totalsRowDxfId="95"/>
    <tableColumn id="8" xr3:uid="{D757FCB4-6A88-4065-86D6-336627EABF89}" name="Coluna3" dataDxfId="94" totalsRowDxfId="93"/>
    <tableColumn id="9" xr3:uid="{65AF9171-C77F-4507-A84C-FB2F313544A1}" name="Coluna4" dataDxfId="92" totalsRowDxfId="91"/>
    <tableColumn id="10" xr3:uid="{F70FECCD-965A-4E6A-B867-F7A614F6AB38}" name="Coluna5" dataDxfId="90" totalsRowDxfId="89"/>
    <tableColumn id="4" xr3:uid="{6817ADE7-6AF0-452E-B69F-671E9D44679B}" name="tempo de anotação (m)" totalsRowFunction="custom" dataDxfId="88" totalsRowDxfId="87">
      <totalsRowFormula>SUM(Tabela19[tempo de anotação (m)])</totalsRowFormula>
    </tableColumn>
    <tableColumn id="5" xr3:uid="{AAF7CCA6-CB86-458E-9058-9431E5E47286}" name="img/min" totalsRowFunction="custom" dataDxfId="86" totalsRowDxfId="85">
      <calculatedColumnFormula>Tabela19[[#This Row],[manual]]/Tabela19[[#This Row],[tempo de anotação (m)]]</calculatedColumnFormula>
      <totalsRowFormula>MEDIAN(Tabela19[img/min])</totalsRowFormula>
    </tableColumn>
    <tableColumn id="6" xr3:uid="{7FD4F664-6EA6-4835-919B-A7B1DC9479E2}" name="Coluna6" totalsRowFunction="custom" dataDxfId="84">
      <totalsRowFormula>_xlfn.STDEV.S(Tabela19[[#Data],[#Totals],[img/min]])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2BE2A7-F482-46E1-924F-5DD94C46AD8D}" name="Tabela134753" displayName="Tabela134753" ref="B7:K12" totalsRowCount="1">
  <autoFilter ref="B7:K11" xr:uid="{60109788-B135-459F-B83D-588D0B406C9B}"/>
  <tableColumns count="10">
    <tableColumn id="1" xr3:uid="{BBAB0019-906E-4184-A7D8-4617CE339288}" name="iteration" totalsRowLabel="."/>
    <tableColumn id="2" xr3:uid="{6885BE3C-CD60-443B-BFCE-0F8FA4B5B050}" name="manual" totalsRowFunction="custom" dataDxfId="83" totalsRowDxfId="82">
      <totalsRowFormula>SUM(Tabela134753[manual])</totalsRowFormula>
    </tableColumn>
    <tableColumn id="12" xr3:uid="{8469E117-8536-4E73-83E8-450CFADE19F0}" name="Coluna1" dataDxfId="81"/>
    <tableColumn id="3" xr3:uid="{6B85D22E-D0A0-4331-BF87-1256D3B36D80}" name="Coluna2" dataDxfId="80" totalsRowDxfId="79"/>
    <tableColumn id="4" xr3:uid="{F984EAB2-A890-45CD-8513-1038839C8447}" name="Coluna3" dataDxfId="78" totalsRowDxfId="77"/>
    <tableColumn id="13" xr3:uid="{D7CAA98B-8496-4EFF-AA92-0AD62148DC9A}" name="Coluna4" dataDxfId="76" totalsRowDxfId="75"/>
    <tableColumn id="7" xr3:uid="{1D28B27F-AC4F-4683-B016-C25C44CA3A13}" name="Coluna5" dataDxfId="74" totalsRowDxfId="73"/>
    <tableColumn id="8" xr3:uid="{AF590393-1A89-4E7B-B255-2578B3826AD0}" name="tempo de anotação (m)" totalsRowFunction="custom" dataDxfId="72" totalsRowDxfId="71">
      <totalsRowFormula>SUM(Tabela134753[tempo de anotação (m)])</totalsRowFormula>
    </tableColumn>
    <tableColumn id="5" xr3:uid="{19A2AE5B-00B8-45CA-A66C-817393E5C4B6}" name="img/min" totalsRowFunction="custom" dataDxfId="70" totalsRowDxfId="69">
      <calculatedColumnFormula>Tabela134753[[#This Row],[manual]]/Tabela134753[[#This Row],[tempo de anotação (m)]]</calculatedColumnFormula>
      <totalsRowFormula>MEDIAN(Tabela134753[img/min])</totalsRowFormula>
    </tableColumn>
    <tableColumn id="6" xr3:uid="{017C5C21-ADF9-4BD4-8EA0-0D6DFAD0147E}" name="Coluna6" totalsRowFunction="custom" dataDxfId="68">
      <totalsRowFormula>_xlfn.STDEV.S(Tabela134753[img/min])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FB52B7-9E45-451E-A0A0-60935E3387AA}" name="Tabela134" displayName="Tabela134" ref="B13:K20" totalsRowCount="1">
  <autoFilter ref="B13:K19" xr:uid="{DD970305-E2DB-44FF-8DBD-7EF267A0648D}"/>
  <tableColumns count="10">
    <tableColumn id="1" xr3:uid="{C8EE00A1-EAD4-443D-B5E8-9138184837ED}" name="iteration" totalsRowLabel="."/>
    <tableColumn id="2" xr3:uid="{8FBD5F81-411A-4CB1-9411-9463A37172AD}" name="imagens manuais" totalsRowFunction="custom" dataDxfId="67" totalsRowDxfId="66">
      <totalsRowFormula>SUM(Tabela134[imagens manuais])</totalsRowFormula>
    </tableColumn>
    <tableColumn id="7" xr3:uid="{18F1EF93-CE88-4358-B9DA-970073705497}" name="Coluna1" dataDxfId="65"/>
    <tableColumn id="3" xr3:uid="{2ACC9E1B-AA54-4EF5-87C1-C452746A4615}" name="Coluna2" dataDxfId="64" totalsRowDxfId="63"/>
    <tableColumn id="8" xr3:uid="{186E1B62-C293-4C99-93CA-ED9588ACC971}" name="Coluna3" dataDxfId="62" totalsRowDxfId="61"/>
    <tableColumn id="9" xr3:uid="{73A24166-3EFD-4B03-83D2-FDAF2BCDB0D2}" name="Coluna4" dataDxfId="60" totalsRowDxfId="59"/>
    <tableColumn id="10" xr3:uid="{144B9441-7110-4AA3-ADC2-8A23243A543A}" name="Coluna5" dataDxfId="58" totalsRowDxfId="57"/>
    <tableColumn id="4" xr3:uid="{65F1079D-6787-4F21-95A6-3178709870D0}" name="tempo de anotação (m)" totalsRowFunction="custom" dataDxfId="56" totalsRowDxfId="55">
      <totalsRowFormula>SUM(Tabela134[tempo de anotação (m)])</totalsRowFormula>
    </tableColumn>
    <tableColumn id="5" xr3:uid="{C54F1C9F-9FEE-4FD5-B08E-8C13310501C5}" name="img/min" totalsRowFunction="custom" dataDxfId="54" totalsRowDxfId="53">
      <calculatedColumnFormula>Tabela134[[#This Row],[imagens manuais]]/Tabela134[[#This Row],[tempo de anotação (m)]]</calculatedColumnFormula>
      <totalsRowFormula>MEDIAN(Tabela134[img/min])</totalsRowFormula>
    </tableColumn>
    <tableColumn id="6" xr3:uid="{1DC31D7F-8C5D-4B4E-B936-0CA8498D16F5}" name="Coluna6" totalsRowFunction="custom" dataDxfId="52">
      <totalsRowFormula>_xlfn.STDEV.S(Tabela134[img/min])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3B8E76-CE60-4687-85AD-4EA0A06DF58F}" name="Tabela1346" displayName="Tabela1346" ref="B21:K27" totalsRowCount="1">
  <autoFilter ref="B21:K26" xr:uid="{20E1078E-9096-4B13-8A96-95B6651F894C}"/>
  <tableColumns count="10">
    <tableColumn id="1" xr3:uid="{3BFD7ACB-485F-4FCC-90B9-2E3591193B7E}" name="iteration" totalsRowLabel="."/>
    <tableColumn id="2" xr3:uid="{A288C998-EA8F-4C28-85AD-A8751E6CF5C6}" name="imagens manuais" totalsRowFunction="custom" dataDxfId="51" totalsRowDxfId="50">
      <totalsRowFormula>SUM(Tabela1346[imagens manuais])</totalsRowFormula>
    </tableColumn>
    <tableColumn id="7" xr3:uid="{54BC1442-F5CC-4E65-9F0B-0185CD52480E}" name="Coluna1" dataDxfId="49"/>
    <tableColumn id="3" xr3:uid="{F1876EE3-84C3-4193-B409-F982C2A70009}" name="Coluna2" dataDxfId="48" totalsRowDxfId="47"/>
    <tableColumn id="8" xr3:uid="{F0CB262D-B105-4BF3-832F-D2F6D8083E40}" name="Coluna3" dataDxfId="46" totalsRowDxfId="45"/>
    <tableColumn id="9" xr3:uid="{7EAC52D8-1C9B-46EB-95C2-C01AF5A90377}" name="Coluna4" dataDxfId="44" totalsRowDxfId="43"/>
    <tableColumn id="10" xr3:uid="{DE10610D-88DA-420C-8E7B-94C984F42201}" name="Coluna5" dataDxfId="42" totalsRowDxfId="41"/>
    <tableColumn id="4" xr3:uid="{F09E7A04-1A0F-40AB-99E6-2D3636399CE7}" name="tempo de anotação (m)" totalsRowFunction="custom" dataDxfId="40" totalsRowDxfId="39">
      <totalsRowFormula>SUM(Tabela1346[[#Headers],[#Data],[tempo de anotação (m)]])</totalsRowFormula>
    </tableColumn>
    <tableColumn id="5" xr3:uid="{73B3CD86-CF29-4F49-8A09-304A39DC86BF}" name="img/min" totalsRowFunction="custom" dataDxfId="38" totalsRowDxfId="37">
      <calculatedColumnFormula>Tabela1346[[#This Row],[imagens manuais]]/Tabela1346[[#This Row],[tempo de anotação (m)]]</calculatedColumnFormula>
      <totalsRowFormula>MEDIAN(Tabela1346[[#Headers],[#Data],[img/min]])</totalsRowFormula>
    </tableColumn>
    <tableColumn id="6" xr3:uid="{A8A74C96-89BC-40AD-A320-584F8AF324D0}" name="Coluna6" totalsRowFunction="custom" dataDxfId="36">
      <totalsRowFormula>_xlfn.STDEV.S(Tabela1346[img/min])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30FBB7-B8B0-4FE8-8572-A5798FA8DCAD}" name="Tabela1347" displayName="Tabela1347" ref="B28:K33" totalsRowCount="1">
  <autoFilter ref="B28:K32" xr:uid="{BC43D5E2-5097-460E-BA77-B393A92CE86F}"/>
  <tableColumns count="10">
    <tableColumn id="1" xr3:uid="{FFB8DE13-150A-4BD8-9538-8FD6DD571B6D}" name="iteration" totalsRowLabel="."/>
    <tableColumn id="2" xr3:uid="{56D8DC3E-138A-4D3F-B61E-F8876CDFF91A}" name="imagens manuais" totalsRowFunction="custom" dataDxfId="35" totalsRowDxfId="34">
      <totalsRowFormula>SUM(Tabela1347[imagens manuais])</totalsRowFormula>
    </tableColumn>
    <tableColumn id="7" xr3:uid="{3A2B5B25-F952-43E1-B7ED-EC51A2EE002A}" name="Coluna1" dataDxfId="33"/>
    <tableColumn id="3" xr3:uid="{3777FF3A-4FD0-4F3C-BE3E-E05A4344F632}" name="Coluna2" dataDxfId="32" totalsRowDxfId="31"/>
    <tableColumn id="8" xr3:uid="{3B7869F3-5144-42C8-8438-734065FDC89A}" name="Coluna3" dataDxfId="30" totalsRowDxfId="29"/>
    <tableColumn id="9" xr3:uid="{18D89CCB-F233-4BA2-8F04-8486EC9DDF19}" name="Coluna4" dataDxfId="28" totalsRowDxfId="27"/>
    <tableColumn id="10" xr3:uid="{B3EE4710-5D67-4A70-8B28-67AF678DE07C}" name="Coluna5" dataDxfId="26" totalsRowDxfId="25"/>
    <tableColumn id="4" xr3:uid="{F1CFD973-0C6A-4718-A567-3820C6C59CF4}" name="tempo de anotação (m)" totalsRowFunction="custom" dataDxfId="24" totalsRowDxfId="23">
      <totalsRowFormula>SUM(Tabela1347[[#Headers],[#Data],[tempo de anotação (m)]])</totalsRowFormula>
    </tableColumn>
    <tableColumn id="5" xr3:uid="{038ED53C-E4E9-4573-BED5-EA434F363958}" name="img/min" totalsRowFunction="custom" dataDxfId="22" totalsRowDxfId="21">
      <calculatedColumnFormula>Tabela1347[[#This Row],[imagens manuais]]/Tabela1347[[#This Row],[tempo de anotação (m)]]</calculatedColumnFormula>
      <totalsRowFormula>MEDIAN(Tabela1347[img/min])</totalsRowFormula>
    </tableColumn>
    <tableColumn id="6" xr3:uid="{9BC8283C-E6B1-4D62-9E65-4C69B7F15E9B}" name="Coluna6" totalsRowFunction="custom" dataDxfId="20">
      <totalsRowFormula>_xlfn.STDEV.S(Tabela1347[img/min])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BFB087-5E9D-437F-8BE7-B8F308BD12E5}" name="felipe_data6" displayName="felipe_data6" ref="A2:D15" tableType="queryTable" totalsRowCount="1" headerRowDxfId="15">
  <autoFilter ref="A2:D14" xr:uid="{6909644C-4248-4BA8-B197-53C403AB5126}"/>
  <tableColumns count="4">
    <tableColumn id="1" xr3:uid="{CD71D8B8-BCC9-4383-AABC-80CC9CBBFD92}" uniqueName="1" name="Frames" totalsRowFunction="custom" queryTableFieldId="1" dataDxfId="19" totalsRowDxfId="4">
      <totalsRowFormula>AVERAGE(felipe_data6[Frames])</totalsRowFormula>
    </tableColumn>
    <tableColumn id="2" xr3:uid="{A8726139-C0A8-45B8-95E7-34BB560E50A0}" uniqueName="2" name="Tempo de anotação (min)" totalsRowFunction="custom" queryTableFieldId="2" dataDxfId="18" totalsRowDxfId="3">
      <totalsRowFormula>AVERAGE(felipe_data6[Tempo de anotação (min)])</totalsRowFormula>
    </tableColumn>
    <tableColumn id="3" xr3:uid="{C5C14F24-4ACC-417C-B32A-3D8EAD6BCA9C}" uniqueName="3" name="Tempo de vídeo (horas)" totalsRowFunction="custom" queryTableFieldId="3" dataDxfId="17" totalsRowDxfId="2">
      <calculatedColumnFormula>felipe_data6[[#This Row],[Frames]]/$H$2/60</calculatedColumnFormula>
      <totalsRowFormula>AVERAGE(felipe_data6[Tempo de vídeo (horas)])</totalsRowFormula>
    </tableColumn>
    <tableColumn id="4" xr3:uid="{80D8F9E3-21BE-444A-B19F-281FB0DE853F}" uniqueName="4" name="Annotation rate (frame/min)" totalsRowFunction="custom" queryTableFieldId="4" dataDxfId="16" totalsRowDxfId="1">
      <calculatedColumnFormula>felipe_data6[[#This Row],[Frames]]/felipe_data6[[#This Row],[Tempo de anotação (min)]]</calculatedColumnFormula>
      <totalsRowFormula>AVERAGE(felipe_data6[Annotation rate (frame/min)])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5FC3BD-F6EB-4F5F-81E8-1EDA4379714B}" name="Tabela6" displayName="Tabela6" ref="B2:D8" totalsRowCount="1" headerRowDxfId="14">
  <autoFilter ref="B2:D7" xr:uid="{B11E3EBC-17D4-43EF-9A55-E3DA93BE673D}"/>
  <tableColumns count="3">
    <tableColumn id="1" xr3:uid="{EACAB079-773E-48DA-9400-B9088B89744D}" name="Frames" totalsRowFunction="custom" totalsRowDxfId="11">
      <totalsRowFormula>AVERAGE(Tabela6[Frames])</totalsRowFormula>
    </tableColumn>
    <tableColumn id="2" xr3:uid="{B0FD8FCA-4C98-4A2F-9EA4-51626ECF6255}" name="Tempo de anotação (min)" totalsRowFunction="custom" dataDxfId="13" totalsRowDxfId="10">
      <totalsRowFormula>AVERAGE(Tabela6[Tempo de anotação (min)])</totalsRowFormula>
    </tableColumn>
    <tableColumn id="4" xr3:uid="{5C6DB4B2-644D-42D7-9D1B-073BF4DE759B}" name="Annotation rate (frame/min)" totalsRowFunction="custom" dataDxfId="12" totalsRowDxfId="0">
      <calculatedColumnFormula>Tabela6[[#This Row],[Frames]]/Tabela6[[#This Row],[Tempo de anotação (min)]]</calculatedColumnFormula>
      <totalsRowFormula>AVERAGE(Tabela6[Annotation rate (frame/min)])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BAA0-0C9D-4AAB-AC1D-4C9A6C7A4A73}">
  <dimension ref="A1:L17"/>
  <sheetViews>
    <sheetView workbookViewId="0">
      <selection activeCell="L3" sqref="L3"/>
    </sheetView>
  </sheetViews>
  <sheetFormatPr defaultRowHeight="14.5" x14ac:dyDescent="0.35"/>
  <cols>
    <col min="4" max="4" width="12.36328125" bestFit="1" customWidth="1"/>
    <col min="5" max="5" width="16.1796875" bestFit="1" customWidth="1"/>
  </cols>
  <sheetData>
    <row r="1" spans="1:12" x14ac:dyDescent="0.35">
      <c r="A1" s="2" t="s">
        <v>26</v>
      </c>
      <c r="B1" s="2" t="s">
        <v>11</v>
      </c>
      <c r="C1" s="2" t="s">
        <v>30</v>
      </c>
      <c r="D1" s="2" t="s">
        <v>27</v>
      </c>
      <c r="E1" s="2" t="s">
        <v>28</v>
      </c>
      <c r="K1" t="s">
        <v>62</v>
      </c>
    </row>
    <row r="2" spans="1:12" x14ac:dyDescent="0.35">
      <c r="A2" s="19">
        <v>1</v>
      </c>
      <c r="B2" s="13" t="s">
        <v>3</v>
      </c>
      <c r="C2" s="14">
        <v>10016</v>
      </c>
      <c r="D2" s="15">
        <v>20</v>
      </c>
      <c r="E2" s="15">
        <v>7.1849287861053979</v>
      </c>
      <c r="F2" s="12"/>
      <c r="G2" s="12"/>
      <c r="H2" s="8"/>
      <c r="K2" s="12">
        <f>AVERAGE(D9,felipe_data6[[#Totals],[Annotation rate (frame/min)]],'José Gabriel'!C2,,Tabela6[[#Totals],[Annotation rate (frame/min)]])</f>
        <v>42.667692489338215</v>
      </c>
      <c r="L2" t="s">
        <v>63</v>
      </c>
    </row>
    <row r="3" spans="1:12" x14ac:dyDescent="0.35">
      <c r="A3" s="20">
        <v>2</v>
      </c>
      <c r="B3" s="16" t="s">
        <v>3</v>
      </c>
      <c r="C3" s="17">
        <f>Tabela1[[#Totals],[manual]]-'Rede 2'!B4</f>
        <v>6781</v>
      </c>
      <c r="D3" s="18">
        <f>SUM(Tabela1[tempo de anotação (m)])</f>
        <v>116.63333333333333</v>
      </c>
      <c r="E3" s="18">
        <f>_xlfn.STDEV.S(Tabela1[tempo de anotação (m)])</f>
        <v>18.686438167303887</v>
      </c>
      <c r="F3" s="12"/>
      <c r="G3" s="12"/>
      <c r="H3" s="8"/>
    </row>
    <row r="4" spans="1:12" x14ac:dyDescent="0.35">
      <c r="A4" s="25">
        <v>3</v>
      </c>
      <c r="B4" s="16" t="s">
        <v>12</v>
      </c>
      <c r="C4" s="17">
        <f>Tabela19[[#Totals],[manual]]-'Rede 3'!E1</f>
        <v>680</v>
      </c>
      <c r="D4" s="18">
        <f>MEDIAN(Tabela19[img/min])</f>
        <v>69.035532994923855</v>
      </c>
      <c r="E4" s="18">
        <f>_xlfn.STDEV.S(Tabela19[[#Data],[#Totals],[img/min]])</f>
        <v>0</v>
      </c>
      <c r="F4" s="12"/>
      <c r="G4" s="12"/>
      <c r="H4" s="8"/>
    </row>
    <row r="5" spans="1:12" x14ac:dyDescent="0.35">
      <c r="A5" s="25"/>
      <c r="B5" s="16" t="s">
        <v>13</v>
      </c>
      <c r="C5" s="17">
        <f>Tabela134753[[#Totals],[manual]]-'Rede 3'!E1</f>
        <v>2239</v>
      </c>
      <c r="D5" s="18">
        <f>MEDIAN(Tabela134753[img/min])</f>
        <v>46.322658868839596</v>
      </c>
      <c r="E5" s="18">
        <f>_xlfn.STDEV.S(Tabela134753[img/min])</f>
        <v>25.104030635406868</v>
      </c>
      <c r="F5" s="12"/>
      <c r="G5" s="12"/>
      <c r="H5" s="8"/>
    </row>
    <row r="6" spans="1:12" x14ac:dyDescent="0.35">
      <c r="A6" s="25"/>
      <c r="B6" s="16" t="s">
        <v>14</v>
      </c>
      <c r="C6" s="17">
        <f>Tabela134[[#Totals],[imagens manuais]]-'Rede 3'!E1</f>
        <v>3517</v>
      </c>
      <c r="D6" s="18">
        <f>MEDIAN(Tabela134[img/min])</f>
        <v>53.687707641196013</v>
      </c>
      <c r="E6" s="18">
        <f>_xlfn.STDEV.S(Tabela134[img/min])</f>
        <v>55.315899387722489</v>
      </c>
      <c r="F6" s="12"/>
      <c r="G6" s="12"/>
      <c r="H6" s="8"/>
    </row>
    <row r="7" spans="1:12" x14ac:dyDescent="0.35">
      <c r="A7" s="25"/>
      <c r="B7" s="16" t="s">
        <v>15</v>
      </c>
      <c r="C7" s="17">
        <f>Tabela1346[[#Totals],[imagens manuais]]-'Rede 3'!E1</f>
        <v>2733</v>
      </c>
      <c r="D7" s="18">
        <f>MEDIAN(Tabela1346[[#Headers],[#Data],[img/min]])</f>
        <v>72.289156626506028</v>
      </c>
      <c r="E7" s="18">
        <f>_xlfn.STDEV.S(Tabela1346[img/min])</f>
        <v>38.517519791110431</v>
      </c>
      <c r="F7" s="12"/>
      <c r="G7" s="12"/>
      <c r="H7" s="8"/>
    </row>
    <row r="8" spans="1:12" x14ac:dyDescent="0.35">
      <c r="A8" s="25"/>
      <c r="B8" s="16" t="s">
        <v>16</v>
      </c>
      <c r="C8" s="17">
        <f>Tabela1347[[#Totals],[imagens manuais]]-'Rede 3'!E1</f>
        <v>2706</v>
      </c>
      <c r="D8" s="18">
        <f>MEDIAN(Tabela1347[img/min])</f>
        <v>53.31716710648314</v>
      </c>
      <c r="E8" s="18">
        <f>_xlfn.STDEV.S(Tabela1347[img/min])</f>
        <v>34.995759047212687</v>
      </c>
      <c r="F8" s="12"/>
      <c r="G8" s="12"/>
      <c r="H8" s="8"/>
    </row>
    <row r="9" spans="1:12" x14ac:dyDescent="0.35">
      <c r="A9" t="s">
        <v>39</v>
      </c>
      <c r="C9" s="11"/>
      <c r="D9" s="29">
        <f>AVERAGE(D2:D8)</f>
        <v>61.612222367325998</v>
      </c>
      <c r="E9" s="12"/>
      <c r="F9" s="12"/>
      <c r="G9" s="12"/>
      <c r="H9" s="8"/>
    </row>
    <row r="10" spans="1:12" x14ac:dyDescent="0.35">
      <c r="A10" t="s">
        <v>61</v>
      </c>
      <c r="D10" s="12">
        <f>_xlfn.STDEV.S(D2:D8)</f>
        <v>29.702353429567026</v>
      </c>
      <c r="E10" s="12"/>
      <c r="F10" s="12"/>
      <c r="G10" s="12"/>
      <c r="H10" s="8"/>
    </row>
    <row r="11" spans="1:12" x14ac:dyDescent="0.35">
      <c r="D11" s="12"/>
      <c r="E11" s="12"/>
      <c r="F11" s="12"/>
      <c r="G11" s="12"/>
      <c r="H11" s="8"/>
    </row>
    <row r="12" spans="1:12" x14ac:dyDescent="0.35">
      <c r="D12" s="12"/>
      <c r="E12" s="12"/>
      <c r="F12" s="12"/>
      <c r="G12" s="12"/>
      <c r="H12" s="8"/>
    </row>
    <row r="13" spans="1:12" x14ac:dyDescent="0.35">
      <c r="D13" s="12"/>
      <c r="E13" s="12"/>
      <c r="F13" s="12"/>
      <c r="G13" s="12"/>
      <c r="H13" s="8"/>
    </row>
    <row r="14" spans="1:12" x14ac:dyDescent="0.35">
      <c r="D14" s="12"/>
      <c r="E14" s="12"/>
      <c r="F14" s="12"/>
      <c r="G14" s="12"/>
      <c r="H14" s="8"/>
    </row>
    <row r="15" spans="1:12" x14ac:dyDescent="0.35">
      <c r="D15" s="12"/>
      <c r="E15" s="12"/>
      <c r="F15" s="12"/>
      <c r="G15" s="12"/>
      <c r="H15" s="8"/>
    </row>
    <row r="16" spans="1:12" x14ac:dyDescent="0.35">
      <c r="D16" s="12"/>
      <c r="E16" s="12"/>
      <c r="F16" s="12"/>
      <c r="G16" s="12"/>
      <c r="H16" s="8"/>
    </row>
    <row r="17" spans="4:8" x14ac:dyDescent="0.35">
      <c r="D17" s="12"/>
      <c r="E17" s="12"/>
      <c r="F17" s="12"/>
      <c r="G17" s="12"/>
      <c r="H17" s="8"/>
    </row>
  </sheetData>
  <mergeCells count="1">
    <mergeCell ref="A4: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91D-4FDB-41C3-A8DF-39D44F9BBAC4}">
  <dimension ref="A1:G15"/>
  <sheetViews>
    <sheetView workbookViewId="0">
      <selection activeCell="E13" sqref="E13"/>
    </sheetView>
  </sheetViews>
  <sheetFormatPr defaultRowHeight="14.5" x14ac:dyDescent="0.35"/>
  <cols>
    <col min="1" max="1" width="60.08984375" bestFit="1" customWidth="1"/>
    <col min="2" max="2" width="18.54296875" customWidth="1"/>
    <col min="3" max="3" width="21.7265625" customWidth="1"/>
    <col min="4" max="4" width="30.81640625" bestFit="1" customWidth="1"/>
    <col min="5" max="5" width="33.54296875" bestFit="1" customWidth="1"/>
  </cols>
  <sheetData>
    <row r="1" spans="1:7" x14ac:dyDescent="0.35">
      <c r="A1" t="s">
        <v>31</v>
      </c>
      <c r="B1" t="s">
        <v>32</v>
      </c>
      <c r="C1" t="s">
        <v>33</v>
      </c>
      <c r="D1" t="s">
        <v>40</v>
      </c>
      <c r="E1" t="s">
        <v>60</v>
      </c>
      <c r="G1">
        <v>30</v>
      </c>
    </row>
    <row r="2" spans="1:7" x14ac:dyDescent="0.35">
      <c r="A2" t="s">
        <v>34</v>
      </c>
      <c r="B2" s="12">
        <f>54+12/60</f>
        <v>54.2</v>
      </c>
      <c r="C2" s="12">
        <f>10/60</f>
        <v>0.16666666666666666</v>
      </c>
      <c r="D2" s="12">
        <f>B2/C2</f>
        <v>325.20000000000005</v>
      </c>
      <c r="E2" s="12">
        <f>Tabela3[[#This Row],[Veloc anotacao media (min/min)]]*$G$1</f>
        <v>9756.0000000000018</v>
      </c>
    </row>
    <row r="3" spans="1:7" x14ac:dyDescent="0.35">
      <c r="A3" t="s">
        <v>35</v>
      </c>
      <c r="B3" s="12">
        <f>24+22/60</f>
        <v>24.366666666666667</v>
      </c>
      <c r="C3" s="12">
        <f>5/60</f>
        <v>8.3333333333333329E-2</v>
      </c>
      <c r="D3" s="12">
        <f t="shared" ref="D3:D5" si="0">B3/C3</f>
        <v>292.40000000000003</v>
      </c>
      <c r="E3" s="12">
        <f>Tabela3[[#This Row],[Veloc anotacao media (min/min)]]*$G$1</f>
        <v>8772.0000000000018</v>
      </c>
    </row>
    <row r="4" spans="1:7" x14ac:dyDescent="0.35">
      <c r="A4" t="s">
        <v>36</v>
      </c>
      <c r="B4" s="12">
        <v>30</v>
      </c>
      <c r="C4" s="12">
        <v>14</v>
      </c>
      <c r="D4" s="12">
        <f t="shared" si="0"/>
        <v>2.1428571428571428</v>
      </c>
      <c r="E4" s="12">
        <f>Tabela3[[#This Row],[Veloc anotacao media (min/min)]]*$G$1</f>
        <v>64.285714285714278</v>
      </c>
    </row>
    <row r="5" spans="1:7" x14ac:dyDescent="0.35">
      <c r="A5" t="s">
        <v>37</v>
      </c>
      <c r="B5" s="12">
        <f>24+45/60</f>
        <v>24.75</v>
      </c>
      <c r="C5" s="12">
        <v>4</v>
      </c>
      <c r="D5" s="12">
        <f t="shared" si="0"/>
        <v>6.1875</v>
      </c>
      <c r="E5" s="12">
        <f>Tabela3[[#This Row],[Veloc anotacao media (min/min)]]*$G$1</f>
        <v>185.625</v>
      </c>
    </row>
    <row r="6" spans="1:7" x14ac:dyDescent="0.35">
      <c r="A6" t="s">
        <v>41</v>
      </c>
      <c r="B6" s="12">
        <v>30</v>
      </c>
      <c r="C6" s="12">
        <v>37</v>
      </c>
      <c r="D6" s="12">
        <f>B6/C6</f>
        <v>0.81081081081081086</v>
      </c>
      <c r="E6" s="12">
        <f>Tabela3[[#This Row],[Veloc anotacao media (min/min)]]*$G$1</f>
        <v>24.324324324324326</v>
      </c>
    </row>
    <row r="7" spans="1:7" x14ac:dyDescent="0.35">
      <c r="A7" t="s">
        <v>42</v>
      </c>
      <c r="B7" s="12">
        <v>30</v>
      </c>
      <c r="C7" s="12">
        <v>15</v>
      </c>
      <c r="D7" s="12">
        <f>B7/C7</f>
        <v>2</v>
      </c>
      <c r="E7" s="12">
        <f>Tabela3[[#This Row],[Veloc anotacao media (min/min)]]*$G$1</f>
        <v>60</v>
      </c>
    </row>
    <row r="8" spans="1:7" x14ac:dyDescent="0.35">
      <c r="A8" t="s">
        <v>43</v>
      </c>
      <c r="B8" s="12">
        <v>30</v>
      </c>
      <c r="C8" s="12">
        <v>20</v>
      </c>
      <c r="D8" s="12">
        <f>B8/C8</f>
        <v>1.5</v>
      </c>
      <c r="E8" s="12">
        <f>Tabela3[[#This Row],[Veloc anotacao media (min/min)]]*$G$1</f>
        <v>45</v>
      </c>
    </row>
    <row r="9" spans="1:7" x14ac:dyDescent="0.35">
      <c r="A9" t="s">
        <v>44</v>
      </c>
      <c r="B9" s="12">
        <v>30</v>
      </c>
      <c r="C9" s="12">
        <v>15</v>
      </c>
      <c r="D9" s="12">
        <f>B9/C9</f>
        <v>2</v>
      </c>
      <c r="E9" s="12">
        <f>Tabela3[[#This Row],[Veloc anotacao media (min/min)]]*$G$1</f>
        <v>60</v>
      </c>
    </row>
    <row r="10" spans="1:7" x14ac:dyDescent="0.35">
      <c r="A10" t="s">
        <v>39</v>
      </c>
      <c r="B10" s="12">
        <f>SUBTOTAL(101,Tabela3[Tempo video (min)])</f>
        <v>31.664583333333333</v>
      </c>
      <c r="C10" s="12">
        <f>SUBTOTAL(101,Tabela3[Tempo anotacao (min)])</f>
        <v>13.15625</v>
      </c>
      <c r="D10" s="12">
        <f>SUBTOTAL(101,Tabela3[Veloc anotacao media (min/min)])</f>
        <v>79.03014599420851</v>
      </c>
      <c r="E10" s="12">
        <f>SUBTOTAL(101,Tabela3[Veloc anotacao media (frames/min)])</f>
        <v>2370.9043798262551</v>
      </c>
    </row>
    <row r="11" spans="1:7" x14ac:dyDescent="0.35">
      <c r="A11" s="21" t="s">
        <v>45</v>
      </c>
      <c r="B11" s="22">
        <f>_xlfn.STDEV.S(Tabela3[Tempo video (min)])</f>
        <v>9.4322413868266395</v>
      </c>
      <c r="C11" s="22">
        <f>_xlfn.STDEV.S(Tabela3[Tempo anotacao (min)])</f>
        <v>12.226081078241958</v>
      </c>
      <c r="D11" s="22">
        <f>_xlfn.STDEV.S(Tabela3[Veloc anotacao media (min/min)])</f>
        <v>142.09678422028739</v>
      </c>
      <c r="E11" s="12">
        <f>_xlfn.STDEV.S(Tabela3[[#Headers],[#Data],[Veloc anotacao media (frames/min)]])</f>
        <v>4262.9035266086212</v>
      </c>
    </row>
    <row r="12" spans="1:7" x14ac:dyDescent="0.35">
      <c r="A12" s="23" t="s">
        <v>38</v>
      </c>
      <c r="B12" s="24">
        <f>SUM(Tabela3[Tempo video (min)])</f>
        <v>253.31666666666666</v>
      </c>
      <c r="C12" s="24">
        <f>SUM(Tabela3[Tempo anotacao (min)])</f>
        <v>105.25</v>
      </c>
      <c r="D12" s="24" t="s">
        <v>3</v>
      </c>
      <c r="E12" s="12" t="s">
        <v>3</v>
      </c>
    </row>
    <row r="13" spans="1:7" x14ac:dyDescent="0.35">
      <c r="E13" s="12"/>
    </row>
    <row r="14" spans="1:7" x14ac:dyDescent="0.35">
      <c r="A14" t="s">
        <v>59</v>
      </c>
      <c r="B14" s="12">
        <f>AVERAGE(B2:B5)</f>
        <v>33.329166666666666</v>
      </c>
      <c r="C14" s="12">
        <f>AVERAGE(C2:C5)</f>
        <v>4.5625</v>
      </c>
      <c r="D14" s="12">
        <f>AVERAGE(D2:D5)</f>
        <v>156.48258928571431</v>
      </c>
      <c r="E14" s="12">
        <f>D14*$G$1</f>
        <v>4694.4776785714294</v>
      </c>
    </row>
    <row r="15" spans="1:7" x14ac:dyDescent="0.35">
      <c r="A15" t="s">
        <v>58</v>
      </c>
      <c r="B15" s="12">
        <f>AVERAGE(B6:B9)</f>
        <v>30</v>
      </c>
      <c r="C15" s="12">
        <f>AVERAGE(C6:C9)</f>
        <v>21.75</v>
      </c>
      <c r="D15" s="12">
        <f>AVERAGE(D6:D9)</f>
        <v>1.5777027027027026</v>
      </c>
      <c r="E15" s="12">
        <f>D15*$G$1</f>
        <v>47.331081081081081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opLeftCell="B1" workbookViewId="0">
      <selection activeCell="F13" sqref="F13"/>
    </sheetView>
  </sheetViews>
  <sheetFormatPr defaultRowHeight="14.5" x14ac:dyDescent="0.35"/>
  <cols>
    <col min="2" max="2" width="6.08984375" bestFit="1" customWidth="1"/>
    <col min="3" max="3" width="7.08984375" bestFit="1" customWidth="1"/>
    <col min="4" max="4" width="7.81640625" customWidth="1"/>
    <col min="10" max="10" width="12.36328125" bestFit="1" customWidth="1"/>
  </cols>
  <sheetData>
    <row r="1" spans="2:6" x14ac:dyDescent="0.35">
      <c r="B1" t="s">
        <v>8</v>
      </c>
    </row>
    <row r="2" spans="2:6" x14ac:dyDescent="0.35">
      <c r="B2" s="1" t="s">
        <v>0</v>
      </c>
      <c r="C2" s="1" t="s">
        <v>1</v>
      </c>
      <c r="D2" s="2" t="s">
        <v>20</v>
      </c>
      <c r="E2" s="2" t="s">
        <v>7</v>
      </c>
    </row>
    <row r="3" spans="2:6" x14ac:dyDescent="0.35">
      <c r="B3" s="3">
        <v>0</v>
      </c>
      <c r="C3" s="4">
        <v>0</v>
      </c>
      <c r="D3" s="10" t="s">
        <v>3</v>
      </c>
      <c r="E3" s="12"/>
    </row>
    <row r="4" spans="2:6" x14ac:dyDescent="0.35">
      <c r="B4" s="5">
        <v>1</v>
      </c>
      <c r="C4">
        <v>4675</v>
      </c>
      <c r="D4" s="10" t="s">
        <v>3</v>
      </c>
      <c r="E4" s="12"/>
    </row>
    <row r="5" spans="2:6" x14ac:dyDescent="0.35">
      <c r="B5" s="3">
        <v>2</v>
      </c>
      <c r="C5" s="4">
        <v>440</v>
      </c>
      <c r="D5" s="10" t="s">
        <v>19</v>
      </c>
      <c r="E5" s="12"/>
    </row>
    <row r="6" spans="2:6" x14ac:dyDescent="0.35">
      <c r="B6" s="5">
        <v>3</v>
      </c>
      <c r="C6">
        <v>269</v>
      </c>
      <c r="D6">
        <v>17</v>
      </c>
      <c r="E6" s="12">
        <f>C6/D6</f>
        <v>15.823529411764707</v>
      </c>
    </row>
    <row r="7" spans="2:6" x14ac:dyDescent="0.35">
      <c r="B7" s="3">
        <v>4</v>
      </c>
      <c r="C7" s="4">
        <v>193</v>
      </c>
      <c r="D7">
        <v>9</v>
      </c>
      <c r="E7" s="12">
        <f>C7/D7</f>
        <v>21.444444444444443</v>
      </c>
    </row>
    <row r="8" spans="2:6" x14ac:dyDescent="0.35">
      <c r="B8" s="5">
        <v>5</v>
      </c>
      <c r="C8">
        <v>108</v>
      </c>
      <c r="D8">
        <v>6</v>
      </c>
      <c r="E8" s="12">
        <f>C8/D8</f>
        <v>18</v>
      </c>
    </row>
    <row r="9" spans="2:6" x14ac:dyDescent="0.35">
      <c r="B9" s="3">
        <v>6</v>
      </c>
      <c r="C9" s="4">
        <v>100</v>
      </c>
      <c r="D9">
        <v>5</v>
      </c>
      <c r="E9" s="12">
        <f>C9/D9</f>
        <v>20</v>
      </c>
    </row>
    <row r="10" spans="2:6" x14ac:dyDescent="0.35">
      <c r="B10" s="5">
        <v>7</v>
      </c>
      <c r="C10">
        <v>100</v>
      </c>
      <c r="D10">
        <v>5</v>
      </c>
      <c r="E10" s="12">
        <f>C10/D10</f>
        <v>20</v>
      </c>
    </row>
    <row r="11" spans="2:6" x14ac:dyDescent="0.35">
      <c r="B11" s="3">
        <v>8</v>
      </c>
      <c r="C11" s="4">
        <v>100</v>
      </c>
      <c r="D11" s="10" t="s">
        <v>19</v>
      </c>
      <c r="E11" s="12"/>
    </row>
    <row r="12" spans="2:6" x14ac:dyDescent="0.35">
      <c r="B12" s="5">
        <v>9</v>
      </c>
      <c r="C12">
        <v>4031</v>
      </c>
      <c r="D12">
        <v>112</v>
      </c>
      <c r="E12" s="12">
        <f>C12/D12</f>
        <v>35.991071428571431</v>
      </c>
    </row>
    <row r="13" spans="2:6" x14ac:dyDescent="0.35">
      <c r="B13" s="1" t="s">
        <v>2</v>
      </c>
      <c r="C13" s="1">
        <f>SUM(C4:C12)</f>
        <v>10016</v>
      </c>
      <c r="D13">
        <f>SUM(D3:D12)</f>
        <v>154</v>
      </c>
      <c r="E13" s="12">
        <f>MEDIAN(E2:E12)</f>
        <v>20</v>
      </c>
      <c r="F13">
        <f>_xlfn.STDEV.S(E3:E12)</f>
        <v>7.1849287861053979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07B9-8C69-45D4-A7BD-078D9101654B}">
  <dimension ref="A1:D22"/>
  <sheetViews>
    <sheetView workbookViewId="0">
      <selection activeCell="C19" sqref="C19"/>
    </sheetView>
  </sheetViews>
  <sheetFormatPr defaultRowHeight="14.5" x14ac:dyDescent="0.35"/>
  <cols>
    <col min="1" max="1" width="10.36328125" bestFit="1" customWidth="1"/>
    <col min="2" max="2" width="9.36328125" bestFit="1" customWidth="1"/>
    <col min="3" max="3" width="23" bestFit="1" customWidth="1"/>
  </cols>
  <sheetData>
    <row r="1" spans="1:4" x14ac:dyDescent="0.35">
      <c r="A1" t="s">
        <v>4</v>
      </c>
    </row>
    <row r="2" spans="1:4" x14ac:dyDescent="0.35">
      <c r="A2" t="s">
        <v>5</v>
      </c>
      <c r="B2" t="s">
        <v>1</v>
      </c>
      <c r="C2" t="s">
        <v>6</v>
      </c>
      <c r="D2" t="s">
        <v>21</v>
      </c>
    </row>
    <row r="3" spans="1:4" x14ac:dyDescent="0.35">
      <c r="A3">
        <v>0</v>
      </c>
      <c r="B3" s="6">
        <v>0</v>
      </c>
      <c r="C3" s="7" t="s">
        <v>3</v>
      </c>
    </row>
    <row r="4" spans="1:4" x14ac:dyDescent="0.35">
      <c r="A4">
        <v>1</v>
      </c>
      <c r="B4" s="6">
        <v>7755</v>
      </c>
      <c r="C4" s="7" t="s">
        <v>3</v>
      </c>
    </row>
    <row r="5" spans="1:4" x14ac:dyDescent="0.35">
      <c r="A5">
        <v>2</v>
      </c>
      <c r="B5" s="6">
        <v>462</v>
      </c>
      <c r="C5" s="8" t="s">
        <v>19</v>
      </c>
    </row>
    <row r="6" spans="1:4" x14ac:dyDescent="0.35">
      <c r="A6">
        <v>3</v>
      </c>
      <c r="B6" s="6">
        <v>397</v>
      </c>
      <c r="C6" s="8">
        <v>13.6</v>
      </c>
    </row>
    <row r="7" spans="1:4" x14ac:dyDescent="0.35">
      <c r="A7">
        <v>4</v>
      </c>
      <c r="B7" s="6">
        <v>338</v>
      </c>
      <c r="C7" s="8">
        <v>8</v>
      </c>
    </row>
    <row r="8" spans="1:4" x14ac:dyDescent="0.35">
      <c r="A8">
        <v>5</v>
      </c>
      <c r="B8" s="6">
        <v>241</v>
      </c>
      <c r="C8" s="8">
        <v>7</v>
      </c>
    </row>
    <row r="9" spans="1:4" x14ac:dyDescent="0.35">
      <c r="A9">
        <v>6</v>
      </c>
      <c r="B9" s="6">
        <v>193</v>
      </c>
      <c r="C9" s="8" t="s">
        <v>19</v>
      </c>
    </row>
    <row r="10" spans="1:4" x14ac:dyDescent="0.35">
      <c r="A10">
        <v>7</v>
      </c>
      <c r="B10" s="6">
        <v>151</v>
      </c>
      <c r="C10" s="8">
        <v>3</v>
      </c>
    </row>
    <row r="11" spans="1:4" x14ac:dyDescent="0.35">
      <c r="A11">
        <v>8</v>
      </c>
      <c r="B11" s="6">
        <v>130</v>
      </c>
      <c r="C11" s="8" t="s">
        <v>19</v>
      </c>
    </row>
    <row r="12" spans="1:4" x14ac:dyDescent="0.35">
      <c r="A12">
        <v>9</v>
      </c>
      <c r="B12" s="6">
        <v>112</v>
      </c>
      <c r="C12" s="8">
        <f>2+20/60</f>
        <v>2.3333333333333335</v>
      </c>
    </row>
    <row r="13" spans="1:4" x14ac:dyDescent="0.35">
      <c r="A13">
        <v>10</v>
      </c>
      <c r="B13" s="6">
        <v>100</v>
      </c>
      <c r="C13" s="8">
        <f>3+11/60</f>
        <v>3.1833333333333331</v>
      </c>
    </row>
    <row r="14" spans="1:4" x14ac:dyDescent="0.35">
      <c r="A14">
        <v>11</v>
      </c>
      <c r="B14" s="6">
        <v>100</v>
      </c>
      <c r="C14" s="8">
        <f>1+37/60</f>
        <v>1.6166666666666667</v>
      </c>
    </row>
    <row r="15" spans="1:4" x14ac:dyDescent="0.35">
      <c r="A15">
        <v>12</v>
      </c>
      <c r="B15" s="6">
        <v>100</v>
      </c>
      <c r="C15" s="8">
        <f>3+9/60</f>
        <v>3.15</v>
      </c>
    </row>
    <row r="16" spans="1:4" x14ac:dyDescent="0.35">
      <c r="A16">
        <v>13</v>
      </c>
      <c r="B16" s="6">
        <v>100</v>
      </c>
      <c r="C16" s="8">
        <f>1+47/60</f>
        <v>1.7833333333333332</v>
      </c>
    </row>
    <row r="17" spans="1:4" x14ac:dyDescent="0.35">
      <c r="A17">
        <v>14</v>
      </c>
      <c r="B17" s="6">
        <v>100</v>
      </c>
      <c r="C17" s="8">
        <f>2+21/60</f>
        <v>2.35</v>
      </c>
    </row>
    <row r="18" spans="1:4" x14ac:dyDescent="0.35">
      <c r="A18">
        <v>15</v>
      </c>
      <c r="B18" s="6">
        <v>100</v>
      </c>
      <c r="C18" s="8">
        <f>2+37/60</f>
        <v>2.6166666666666667</v>
      </c>
    </row>
    <row r="19" spans="1:4" x14ac:dyDescent="0.35">
      <c r="A19">
        <v>16</v>
      </c>
      <c r="B19" s="6">
        <v>4157</v>
      </c>
      <c r="C19" s="8">
        <f>68</f>
        <v>68</v>
      </c>
    </row>
    <row r="20" spans="1:4" x14ac:dyDescent="0.35">
      <c r="A20" t="s">
        <v>17</v>
      </c>
      <c r="B20" s="6">
        <f>SUM(Tabela1[manual])</f>
        <v>14536</v>
      </c>
      <c r="C20" s="8">
        <f>SUM(Tabela1[tempo de anotação (m)])</f>
        <v>116.63333333333333</v>
      </c>
      <c r="D20">
        <f>_xlfn.STDEV.S(Tabela1[tempo de anotação (m)])</f>
        <v>18.686438167303887</v>
      </c>
    </row>
    <row r="21" spans="1:4" x14ac:dyDescent="0.35">
      <c r="C21" s="8">
        <f>SUM(B5:B19)/Tabela1[[#Totals],[tempo de anotação (m)]]</f>
        <v>58.139468419548443</v>
      </c>
      <c r="D21" t="s">
        <v>7</v>
      </c>
    </row>
    <row r="22" spans="1:4" x14ac:dyDescent="0.35">
      <c r="C22" s="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C809-6DAF-436E-AB85-CCFE227EDE6E}">
  <dimension ref="A1:K33"/>
  <sheetViews>
    <sheetView topLeftCell="A18" workbookViewId="0">
      <selection activeCell="G38" sqref="G38"/>
    </sheetView>
  </sheetViews>
  <sheetFormatPr defaultRowHeight="14.5" x14ac:dyDescent="0.35"/>
  <cols>
    <col min="9" max="9" width="23" bestFit="1" customWidth="1"/>
    <col min="10" max="10" width="10.08984375" style="8" bestFit="1" customWidth="1"/>
    <col min="50" max="50" width="23" bestFit="1" customWidth="1"/>
  </cols>
  <sheetData>
    <row r="1" spans="1:11" x14ac:dyDescent="0.35">
      <c r="B1" t="s">
        <v>9</v>
      </c>
      <c r="E1">
        <v>7119</v>
      </c>
    </row>
    <row r="2" spans="1:11" x14ac:dyDescent="0.35">
      <c r="A2" t="s">
        <v>11</v>
      </c>
      <c r="B2" t="s">
        <v>18</v>
      </c>
      <c r="C2" t="s">
        <v>1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6</v>
      </c>
      <c r="J2" s="8" t="s">
        <v>7</v>
      </c>
      <c r="K2" t="s">
        <v>29</v>
      </c>
    </row>
    <row r="3" spans="1:11" x14ac:dyDescent="0.35">
      <c r="A3" t="s">
        <v>12</v>
      </c>
      <c r="B3">
        <v>0</v>
      </c>
      <c r="C3" s="6">
        <v>0</v>
      </c>
      <c r="E3" s="6"/>
      <c r="F3" s="9"/>
      <c r="G3" s="9"/>
      <c r="H3" s="9"/>
      <c r="I3" s="7" t="s">
        <v>3</v>
      </c>
      <c r="K3" s="9"/>
    </row>
    <row r="4" spans="1:11" x14ac:dyDescent="0.35">
      <c r="A4" t="s">
        <v>17</v>
      </c>
      <c r="B4">
        <v>1</v>
      </c>
      <c r="C4" s="6">
        <v>7119</v>
      </c>
      <c r="E4" s="6"/>
      <c r="F4" s="9"/>
      <c r="G4" s="9"/>
      <c r="H4" s="9"/>
      <c r="I4" s="7" t="s">
        <v>3</v>
      </c>
      <c r="K4" s="9"/>
    </row>
    <row r="5" spans="1:11" x14ac:dyDescent="0.35">
      <c r="A5" t="s">
        <v>17</v>
      </c>
      <c r="B5">
        <v>2</v>
      </c>
      <c r="C5" s="6">
        <v>680</v>
      </c>
      <c r="D5" s="6"/>
      <c r="E5" s="6"/>
      <c r="F5" s="9"/>
      <c r="G5" s="9"/>
      <c r="H5" s="9"/>
      <c r="I5" s="8">
        <f>9+51/60</f>
        <v>9.85</v>
      </c>
      <c r="J5" s="8">
        <f>Tabela19[[#This Row],[manual]]/Tabela19[[#This Row],[tempo de anotação (m)]]</f>
        <v>69.035532994923855</v>
      </c>
      <c r="K5" s="9"/>
    </row>
    <row r="6" spans="1:11" x14ac:dyDescent="0.35">
      <c r="A6" t="s">
        <v>17</v>
      </c>
      <c r="B6" t="s">
        <v>17</v>
      </c>
      <c r="C6" s="6">
        <f>SUM(Tabela19[manual])</f>
        <v>7799</v>
      </c>
      <c r="E6" s="6"/>
      <c r="F6" s="9"/>
      <c r="G6" s="9"/>
      <c r="H6" s="9"/>
      <c r="I6" s="8">
        <f>SUM(Tabela19[tempo de anotação (m)])</f>
        <v>9.85</v>
      </c>
      <c r="J6" s="8">
        <f>MEDIAN(Tabela19[img/min])</f>
        <v>69.035532994923855</v>
      </c>
      <c r="K6">
        <f>_xlfn.STDEV.S(Tabela19[[#Data],[#Totals],[img/min]])</f>
        <v>0</v>
      </c>
    </row>
    <row r="7" spans="1:11" x14ac:dyDescent="0.35">
      <c r="A7" t="s">
        <v>17</v>
      </c>
      <c r="B7" t="s">
        <v>5</v>
      </c>
      <c r="C7" t="s">
        <v>1</v>
      </c>
      <c r="D7" t="s">
        <v>21</v>
      </c>
      <c r="E7" t="s">
        <v>22</v>
      </c>
      <c r="F7" s="9" t="s">
        <v>23</v>
      </c>
      <c r="G7" s="9" t="s">
        <v>24</v>
      </c>
      <c r="H7" s="9" t="s">
        <v>25</v>
      </c>
      <c r="I7" t="s">
        <v>6</v>
      </c>
      <c r="J7" s="8" t="s">
        <v>7</v>
      </c>
      <c r="K7" t="s">
        <v>29</v>
      </c>
    </row>
    <row r="8" spans="1:11" x14ac:dyDescent="0.35">
      <c r="A8" t="s">
        <v>13</v>
      </c>
      <c r="B8">
        <v>0</v>
      </c>
      <c r="C8" s="6">
        <v>0</v>
      </c>
      <c r="E8" s="6"/>
      <c r="F8" s="9"/>
      <c r="G8" s="9"/>
      <c r="H8" s="9"/>
      <c r="I8" s="7" t="s">
        <v>3</v>
      </c>
      <c r="K8" s="9"/>
    </row>
    <row r="9" spans="1:11" x14ac:dyDescent="0.35">
      <c r="A9" t="s">
        <v>17</v>
      </c>
      <c r="B9">
        <v>1</v>
      </c>
      <c r="C9" s="6">
        <v>7119</v>
      </c>
      <c r="E9" s="6"/>
      <c r="F9" s="9"/>
      <c r="G9" s="9"/>
      <c r="H9" s="9"/>
      <c r="I9" s="7" t="s">
        <v>3</v>
      </c>
      <c r="K9" s="9"/>
    </row>
    <row r="10" spans="1:11" x14ac:dyDescent="0.35">
      <c r="A10" t="s">
        <v>17</v>
      </c>
      <c r="B10">
        <v>2</v>
      </c>
      <c r="C10" s="6">
        <v>100</v>
      </c>
      <c r="E10" s="6"/>
      <c r="F10" s="9"/>
      <c r="G10" s="9"/>
      <c r="H10" s="9"/>
      <c r="I10" s="8">
        <f>3+30/60</f>
        <v>3.5</v>
      </c>
      <c r="J10" s="8">
        <f>Tabela134753[[#This Row],[manual]]/Tabela134753[[#This Row],[tempo de anotação (m)]]</f>
        <v>28.571428571428573</v>
      </c>
      <c r="K10" s="9"/>
    </row>
    <row r="11" spans="1:11" x14ac:dyDescent="0.35">
      <c r="A11" t="s">
        <v>17</v>
      </c>
      <c r="B11">
        <v>3</v>
      </c>
      <c r="C11" s="6">
        <v>2139</v>
      </c>
      <c r="E11" s="6"/>
      <c r="F11" s="9"/>
      <c r="G11" s="9"/>
      <c r="H11" s="9"/>
      <c r="I11" s="8">
        <f>33+23/60</f>
        <v>33.383333333333333</v>
      </c>
      <c r="J11" s="8">
        <f>Tabela134753[[#This Row],[manual]]/Tabela134753[[#This Row],[tempo de anotação (m)]]</f>
        <v>64.073889166250623</v>
      </c>
      <c r="K11" s="9"/>
    </row>
    <row r="12" spans="1:11" x14ac:dyDescent="0.35">
      <c r="A12" t="s">
        <v>17</v>
      </c>
      <c r="B12" t="s">
        <v>17</v>
      </c>
      <c r="C12" s="6">
        <f>SUM(Tabela134753[manual])</f>
        <v>9358</v>
      </c>
      <c r="E12" s="6"/>
      <c r="F12" s="9"/>
      <c r="G12" s="9"/>
      <c r="H12" s="9"/>
      <c r="I12" s="8">
        <f>SUM(Tabela134753[tempo de anotação (m)])</f>
        <v>36.883333333333333</v>
      </c>
      <c r="J12" s="8">
        <f>MEDIAN(Tabela134753[img/min])</f>
        <v>46.322658868839596</v>
      </c>
      <c r="K12">
        <f>_xlfn.STDEV.S(Tabela134753[img/min])</f>
        <v>25.104030635406868</v>
      </c>
    </row>
    <row r="13" spans="1:11" x14ac:dyDescent="0.35">
      <c r="A13" t="s">
        <v>17</v>
      </c>
      <c r="B13" t="s">
        <v>5</v>
      </c>
      <c r="C13" t="s">
        <v>10</v>
      </c>
      <c r="D13" t="s">
        <v>21</v>
      </c>
      <c r="E13" t="s">
        <v>22</v>
      </c>
      <c r="F13" s="9" t="s">
        <v>23</v>
      </c>
      <c r="G13" s="9" t="s">
        <v>24</v>
      </c>
      <c r="H13" s="9" t="s">
        <v>25</v>
      </c>
      <c r="I13" t="s">
        <v>6</v>
      </c>
      <c r="J13" s="8" t="s">
        <v>7</v>
      </c>
      <c r="K13" t="s">
        <v>29</v>
      </c>
    </row>
    <row r="14" spans="1:11" x14ac:dyDescent="0.35">
      <c r="A14" t="s">
        <v>14</v>
      </c>
      <c r="B14">
        <v>0</v>
      </c>
      <c r="C14" s="6">
        <v>0</v>
      </c>
      <c r="E14" s="6"/>
      <c r="F14" s="9"/>
      <c r="G14" s="9"/>
      <c r="H14" s="9"/>
      <c r="I14" s="7" t="s">
        <v>3</v>
      </c>
      <c r="K14" s="9"/>
    </row>
    <row r="15" spans="1:11" x14ac:dyDescent="0.35">
      <c r="A15" t="s">
        <v>17</v>
      </c>
      <c r="B15">
        <v>1</v>
      </c>
      <c r="C15" s="6">
        <v>7119</v>
      </c>
      <c r="E15" s="6"/>
      <c r="F15" s="9"/>
      <c r="G15" s="9"/>
      <c r="H15" s="9"/>
      <c r="I15" s="7" t="s">
        <v>3</v>
      </c>
      <c r="K15" s="9"/>
    </row>
    <row r="16" spans="1:11" x14ac:dyDescent="0.35">
      <c r="A16" t="s">
        <v>17</v>
      </c>
      <c r="B16">
        <v>2</v>
      </c>
      <c r="C16" s="6">
        <v>108</v>
      </c>
      <c r="D16" s="6"/>
      <c r="E16" s="6"/>
      <c r="F16" s="9"/>
      <c r="G16" s="9"/>
      <c r="H16" s="9"/>
      <c r="I16" s="8">
        <f>2+9/60</f>
        <v>2.15</v>
      </c>
      <c r="J16" s="8">
        <f>Tabela134[[#This Row],[imagens manuais]]/Tabela134[[#This Row],[tempo de anotação (m)]]</f>
        <v>50.232558139534888</v>
      </c>
      <c r="K16" s="9"/>
    </row>
    <row r="17" spans="1:11" x14ac:dyDescent="0.35">
      <c r="A17" t="s">
        <v>17</v>
      </c>
      <c r="B17">
        <v>3</v>
      </c>
      <c r="C17" s="6">
        <v>100</v>
      </c>
      <c r="E17" s="6"/>
      <c r="F17" s="9"/>
      <c r="G17" s="9"/>
      <c r="H17" s="9"/>
      <c r="I17" s="8">
        <f>1+45/60</f>
        <v>1.75</v>
      </c>
      <c r="J17" s="8">
        <f>Tabela134[[#This Row],[imagens manuais]]/Tabela134[[#This Row],[tempo de anotação (m)]]</f>
        <v>57.142857142857146</v>
      </c>
      <c r="K17" s="9"/>
    </row>
    <row r="18" spans="1:11" x14ac:dyDescent="0.35">
      <c r="A18" t="s">
        <v>17</v>
      </c>
      <c r="B18">
        <v>4</v>
      </c>
      <c r="C18" s="6">
        <v>100</v>
      </c>
      <c r="E18" s="6"/>
      <c r="F18" s="9"/>
      <c r="G18" s="9"/>
      <c r="H18" s="9"/>
      <c r="I18" s="8">
        <f>3+15/60</f>
        <v>3.25</v>
      </c>
      <c r="J18" s="8">
        <f>Tabela134[[#This Row],[imagens manuais]]/Tabela134[[#This Row],[tempo de anotação (m)]]</f>
        <v>30.76923076923077</v>
      </c>
      <c r="K18" s="9"/>
    </row>
    <row r="19" spans="1:11" x14ac:dyDescent="0.35">
      <c r="A19" t="s">
        <v>17</v>
      </c>
      <c r="B19">
        <v>5</v>
      </c>
      <c r="C19" s="6">
        <v>3209</v>
      </c>
      <c r="E19" s="6"/>
      <c r="F19" s="9"/>
      <c r="G19" s="9"/>
      <c r="H19" s="9"/>
      <c r="I19" s="8">
        <f>10+51/60+9+56/60</f>
        <v>20.783333333333335</v>
      </c>
      <c r="J19" s="8">
        <f>Tabela134[[#This Row],[imagens manuais]]/Tabela134[[#This Row],[tempo de anotação (m)]]</f>
        <v>154.40256615878107</v>
      </c>
      <c r="K19" s="9"/>
    </row>
    <row r="20" spans="1:11" x14ac:dyDescent="0.35">
      <c r="A20" t="s">
        <v>17</v>
      </c>
      <c r="B20" t="s">
        <v>17</v>
      </c>
      <c r="C20" s="6">
        <f>SUM(Tabela134[imagens manuais])</f>
        <v>10636</v>
      </c>
      <c r="E20" s="6"/>
      <c r="F20" s="9"/>
      <c r="G20" s="9"/>
      <c r="H20" s="9"/>
      <c r="I20" s="8">
        <f>SUM(Tabela134[tempo de anotação (m)])</f>
        <v>27.933333333333337</v>
      </c>
      <c r="J20" s="8">
        <f>MEDIAN(Tabela134[img/min])</f>
        <v>53.687707641196013</v>
      </c>
      <c r="K20">
        <f>_xlfn.STDEV.S(Tabela134[img/min])</f>
        <v>55.315899387722489</v>
      </c>
    </row>
    <row r="21" spans="1:11" x14ac:dyDescent="0.35">
      <c r="A21" t="s">
        <v>17</v>
      </c>
      <c r="B21" t="s">
        <v>5</v>
      </c>
      <c r="C21" t="s">
        <v>10</v>
      </c>
      <c r="D21" t="s">
        <v>21</v>
      </c>
      <c r="E21" t="s">
        <v>22</v>
      </c>
      <c r="F21" s="9" t="s">
        <v>23</v>
      </c>
      <c r="G21" s="9" t="s">
        <v>24</v>
      </c>
      <c r="H21" s="9" t="s">
        <v>25</v>
      </c>
      <c r="I21" t="s">
        <v>6</v>
      </c>
      <c r="J21" s="8" t="s">
        <v>7</v>
      </c>
      <c r="K21" t="s">
        <v>29</v>
      </c>
    </row>
    <row r="22" spans="1:11" x14ac:dyDescent="0.35">
      <c r="A22" t="s">
        <v>15</v>
      </c>
      <c r="B22">
        <v>0</v>
      </c>
      <c r="C22" s="6">
        <v>0</v>
      </c>
      <c r="E22" s="6"/>
      <c r="F22" s="9"/>
      <c r="G22" s="9"/>
      <c r="H22" s="9"/>
      <c r="I22" s="7" t="s">
        <v>3</v>
      </c>
      <c r="K22" s="9"/>
    </row>
    <row r="23" spans="1:11" x14ac:dyDescent="0.35">
      <c r="A23" t="s">
        <v>17</v>
      </c>
      <c r="B23">
        <v>1</v>
      </c>
      <c r="C23" s="6">
        <v>7119</v>
      </c>
      <c r="E23" s="6"/>
      <c r="F23" s="9"/>
      <c r="G23" s="9"/>
      <c r="H23" s="9"/>
      <c r="I23" s="7" t="s">
        <v>3</v>
      </c>
      <c r="K23" s="9"/>
    </row>
    <row r="24" spans="1:11" x14ac:dyDescent="0.35">
      <c r="A24" t="s">
        <v>17</v>
      </c>
      <c r="B24">
        <v>2</v>
      </c>
      <c r="C24" s="6">
        <v>100</v>
      </c>
      <c r="E24" s="6"/>
      <c r="F24" s="9"/>
      <c r="G24" s="9"/>
      <c r="H24" s="9"/>
      <c r="I24" s="8">
        <f>1+42/60</f>
        <v>1.7</v>
      </c>
      <c r="J24" s="8">
        <f>Tabela1346[[#This Row],[imagens manuais]]/Tabela1346[[#This Row],[tempo de anotação (m)]]</f>
        <v>58.82352941176471</v>
      </c>
      <c r="K24" s="9"/>
    </row>
    <row r="25" spans="1:11" x14ac:dyDescent="0.35">
      <c r="A25" t="s">
        <v>17</v>
      </c>
      <c r="B25">
        <v>3</v>
      </c>
      <c r="C25" s="6">
        <v>100</v>
      </c>
      <c r="E25" s="6"/>
      <c r="F25" s="9"/>
      <c r="G25" s="9"/>
      <c r="H25" s="9"/>
      <c r="I25" s="8">
        <f>1+23/60</f>
        <v>1.3833333333333333</v>
      </c>
      <c r="J25" s="8">
        <f>Tabela1346[[#This Row],[imagens manuais]]/Tabela1346[[#This Row],[tempo de anotação (m)]]</f>
        <v>72.289156626506028</v>
      </c>
      <c r="K25" s="9"/>
    </row>
    <row r="26" spans="1:11" x14ac:dyDescent="0.35">
      <c r="A26" t="s">
        <v>17</v>
      </c>
      <c r="B26">
        <v>4</v>
      </c>
      <c r="C26" s="6">
        <v>2533</v>
      </c>
      <c r="E26" s="6"/>
      <c r="F26" s="9"/>
      <c r="G26" s="9"/>
      <c r="H26" s="9"/>
      <c r="I26" s="8">
        <f>19+18/60</f>
        <v>19.3</v>
      </c>
      <c r="J26" s="8">
        <f>Tabela1346[[#This Row],[imagens manuais]]/Tabela1346[[#This Row],[tempo de anotação (m)]]</f>
        <v>131.24352331606218</v>
      </c>
      <c r="K26" s="9"/>
    </row>
    <row r="27" spans="1:11" x14ac:dyDescent="0.35">
      <c r="A27" t="s">
        <v>17</v>
      </c>
      <c r="B27" t="s">
        <v>17</v>
      </c>
      <c r="C27" s="6">
        <f>SUM(Tabela1346[imagens manuais])</f>
        <v>9852</v>
      </c>
      <c r="E27" s="6"/>
      <c r="F27" s="9"/>
      <c r="G27" s="9"/>
      <c r="H27" s="9"/>
      <c r="I27" s="8">
        <f>SUM(Tabela1346[[#Headers],[#Data],[tempo de anotação (m)]])</f>
        <v>22.383333333333333</v>
      </c>
      <c r="J27" s="8">
        <f>MEDIAN(Tabela1346[[#Headers],[#Data],[img/min]])</f>
        <v>72.289156626506028</v>
      </c>
      <c r="K27">
        <f>_xlfn.STDEV.S(Tabela1346[img/min])</f>
        <v>38.517519791110431</v>
      </c>
    </row>
    <row r="28" spans="1:11" x14ac:dyDescent="0.35">
      <c r="A28" t="s">
        <v>17</v>
      </c>
      <c r="B28" t="s">
        <v>5</v>
      </c>
      <c r="C28" t="s">
        <v>10</v>
      </c>
      <c r="D28" t="s">
        <v>21</v>
      </c>
      <c r="E28" t="s">
        <v>22</v>
      </c>
      <c r="F28" s="9" t="s">
        <v>23</v>
      </c>
      <c r="G28" s="9" t="s">
        <v>24</v>
      </c>
      <c r="H28" s="9" t="s">
        <v>25</v>
      </c>
      <c r="I28" t="s">
        <v>6</v>
      </c>
      <c r="J28" s="8" t="s">
        <v>7</v>
      </c>
      <c r="K28" t="s">
        <v>29</v>
      </c>
    </row>
    <row r="29" spans="1:11" x14ac:dyDescent="0.35">
      <c r="A29" t="s">
        <v>16</v>
      </c>
      <c r="B29">
        <v>0</v>
      </c>
      <c r="C29" s="6">
        <v>0</v>
      </c>
      <c r="E29" s="6"/>
      <c r="F29" s="9"/>
      <c r="G29" s="9"/>
      <c r="H29" s="9"/>
      <c r="I29" s="7" t="s">
        <v>3</v>
      </c>
      <c r="K29" s="9"/>
    </row>
    <row r="30" spans="1:11" x14ac:dyDescent="0.35">
      <c r="A30" t="s">
        <v>17</v>
      </c>
      <c r="B30">
        <v>1</v>
      </c>
      <c r="C30" s="6">
        <v>7119</v>
      </c>
      <c r="E30" s="6"/>
      <c r="F30" s="9"/>
      <c r="G30" s="9"/>
      <c r="H30" s="9"/>
      <c r="I30" s="7" t="s">
        <v>3</v>
      </c>
      <c r="K30" s="9"/>
    </row>
    <row r="31" spans="1:11" x14ac:dyDescent="0.35">
      <c r="A31" t="s">
        <v>17</v>
      </c>
      <c r="B31">
        <v>2</v>
      </c>
      <c r="C31" s="6">
        <v>100</v>
      </c>
      <c r="E31" s="6"/>
      <c r="F31" s="9"/>
      <c r="G31" s="9"/>
      <c r="H31" s="9"/>
      <c r="I31" s="8">
        <f>3+30/60</f>
        <v>3.5</v>
      </c>
      <c r="J31" s="8">
        <f>Tabela1347[[#This Row],[imagens manuais]]/Tabela1347[[#This Row],[tempo de anotação (m)]]</f>
        <v>28.571428571428573</v>
      </c>
      <c r="K31" s="9"/>
    </row>
    <row r="32" spans="1:11" x14ac:dyDescent="0.35">
      <c r="A32" t="s">
        <v>17</v>
      </c>
      <c r="B32">
        <v>3</v>
      </c>
      <c r="C32" s="6">
        <v>2606</v>
      </c>
      <c r="E32" s="6"/>
      <c r="F32" s="9"/>
      <c r="G32" s="9"/>
      <c r="H32" s="9"/>
      <c r="I32" s="8">
        <f>33+23/60</f>
        <v>33.383333333333333</v>
      </c>
      <c r="J32" s="8">
        <f>Tabela1347[[#This Row],[imagens manuais]]/Tabela1347[[#This Row],[tempo de anotação (m)]]</f>
        <v>78.062905641537697</v>
      </c>
      <c r="K32" s="9"/>
    </row>
    <row r="33" spans="1:11" x14ac:dyDescent="0.35">
      <c r="A33" t="s">
        <v>17</v>
      </c>
      <c r="B33" t="s">
        <v>17</v>
      </c>
      <c r="C33" s="6">
        <f>SUM(Tabela1347[imagens manuais])</f>
        <v>9825</v>
      </c>
      <c r="E33" s="6"/>
      <c r="F33" s="9"/>
      <c r="G33" s="9"/>
      <c r="H33" s="9"/>
      <c r="I33" s="8">
        <f>SUM(Tabela1347[[#Headers],[#Data],[tempo de anotação (m)]])</f>
        <v>36.883333333333333</v>
      </c>
      <c r="J33" s="8">
        <f>MEDIAN(Tabela1347[img/min])</f>
        <v>53.31716710648314</v>
      </c>
      <c r="K33">
        <f>_xlfn.STDEV.S(Tabela1347[img/min])</f>
        <v>34.995759047212687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444C-F20D-479F-BE2D-15CEA2E3F1D9}">
  <dimension ref="A1:H15"/>
  <sheetViews>
    <sheetView workbookViewId="0">
      <selection activeCell="D15" sqref="D15"/>
    </sheetView>
  </sheetViews>
  <sheetFormatPr defaultRowHeight="14.5" x14ac:dyDescent="0.35"/>
  <cols>
    <col min="1" max="1" width="9.1796875" bestFit="1" customWidth="1"/>
    <col min="2" max="3" width="9.453125" customWidth="1"/>
    <col min="4" max="4" width="14.54296875" customWidth="1"/>
  </cols>
  <sheetData>
    <row r="1" spans="1:8" x14ac:dyDescent="0.35">
      <c r="A1" t="s">
        <v>51</v>
      </c>
    </row>
    <row r="2" spans="1:8" ht="46.5" customHeight="1" x14ac:dyDescent="0.35">
      <c r="A2" s="26" t="s">
        <v>46</v>
      </c>
      <c r="B2" s="26" t="s">
        <v>47</v>
      </c>
      <c r="C2" s="26" t="s">
        <v>48</v>
      </c>
      <c r="D2" s="26" t="s">
        <v>49</v>
      </c>
      <c r="E2" s="27" t="s">
        <v>50</v>
      </c>
      <c r="H2" s="27">
        <v>30</v>
      </c>
    </row>
    <row r="3" spans="1:8" x14ac:dyDescent="0.35">
      <c r="A3">
        <v>600</v>
      </c>
      <c r="B3" s="12">
        <v>20</v>
      </c>
      <c r="C3" s="12">
        <f>felipe_data6[[#This Row],[Frames]]/$H$2/60</f>
        <v>0.33333333333333331</v>
      </c>
      <c r="D3" s="8">
        <f>felipe_data6[[#This Row],[Frames]]/felipe_data6[[#This Row],[Tempo de anotação (min)]]</f>
        <v>30</v>
      </c>
    </row>
    <row r="4" spans="1:8" x14ac:dyDescent="0.35">
      <c r="A4">
        <v>2500</v>
      </c>
      <c r="B4" s="12">
        <v>40</v>
      </c>
      <c r="C4" s="12">
        <f>felipe_data6[[#This Row],[Frames]]/$H$2/60</f>
        <v>1.3888888888888888</v>
      </c>
      <c r="D4" s="8">
        <f>felipe_data6[[#This Row],[Frames]]/felipe_data6[[#This Row],[Tempo de anotação (min)]]</f>
        <v>62.5</v>
      </c>
    </row>
    <row r="5" spans="1:8" x14ac:dyDescent="0.35">
      <c r="A5">
        <v>9600</v>
      </c>
      <c r="B5" s="12">
        <v>75</v>
      </c>
      <c r="C5" s="12">
        <f>felipe_data6[[#This Row],[Frames]]/$H$2/60</f>
        <v>5.333333333333333</v>
      </c>
      <c r="D5" s="8">
        <f>felipe_data6[[#This Row],[Frames]]/felipe_data6[[#This Row],[Tempo de anotação (min)]]</f>
        <v>128</v>
      </c>
    </row>
    <row r="6" spans="1:8" x14ac:dyDescent="0.35">
      <c r="A6">
        <v>5272</v>
      </c>
      <c r="B6" s="12">
        <v>60</v>
      </c>
      <c r="C6" s="12">
        <f>felipe_data6[[#This Row],[Frames]]/$H$2/60</f>
        <v>2.9288888888888889</v>
      </c>
      <c r="D6" s="8">
        <f>felipe_data6[[#This Row],[Frames]]/felipe_data6[[#This Row],[Tempo de anotação (min)]]</f>
        <v>87.86666666666666</v>
      </c>
    </row>
    <row r="7" spans="1:8" x14ac:dyDescent="0.35">
      <c r="A7">
        <v>7209</v>
      </c>
      <c r="B7" s="12">
        <v>90</v>
      </c>
      <c r="C7" s="12">
        <f>felipe_data6[[#This Row],[Frames]]/$H$2/60</f>
        <v>4.0049999999999999</v>
      </c>
      <c r="D7" s="8">
        <f>felipe_data6[[#This Row],[Frames]]/felipe_data6[[#This Row],[Tempo de anotação (min)]]</f>
        <v>80.099999999999994</v>
      </c>
    </row>
    <row r="8" spans="1:8" x14ac:dyDescent="0.35">
      <c r="A8">
        <v>4633</v>
      </c>
      <c r="B8" s="12">
        <v>25</v>
      </c>
      <c r="C8" s="12">
        <f>felipe_data6[[#This Row],[Frames]]/$H$2/60</f>
        <v>2.5738888888888889</v>
      </c>
      <c r="D8" s="8">
        <f>felipe_data6[[#This Row],[Frames]]/felipe_data6[[#This Row],[Tempo de anotação (min)]]</f>
        <v>185.32</v>
      </c>
    </row>
    <row r="9" spans="1:8" x14ac:dyDescent="0.35">
      <c r="A9">
        <v>4395</v>
      </c>
      <c r="B9" s="12">
        <v>25</v>
      </c>
      <c r="C9" s="12">
        <f>felipe_data6[[#This Row],[Frames]]/$H$2/60</f>
        <v>2.4416666666666669</v>
      </c>
      <c r="D9" s="8">
        <f>felipe_data6[[#This Row],[Frames]]/felipe_data6[[#This Row],[Tempo de anotação (min)]]</f>
        <v>175.8</v>
      </c>
    </row>
    <row r="10" spans="1:8" x14ac:dyDescent="0.35">
      <c r="A10">
        <v>15440</v>
      </c>
      <c r="B10" s="12">
        <v>120</v>
      </c>
      <c r="C10" s="12">
        <f>felipe_data6[[#This Row],[Frames]]/$H$2/60</f>
        <v>8.5777777777777775</v>
      </c>
      <c r="D10" s="8">
        <f>felipe_data6[[#This Row],[Frames]]/felipe_data6[[#This Row],[Tempo de anotação (min)]]</f>
        <v>128.66666666666666</v>
      </c>
    </row>
    <row r="11" spans="1:8" x14ac:dyDescent="0.35">
      <c r="A11">
        <v>1800</v>
      </c>
      <c r="B11" s="12">
        <v>10</v>
      </c>
      <c r="C11" s="12">
        <f>felipe_data6[[#This Row],[Frames]]/$H$2/60</f>
        <v>1</v>
      </c>
      <c r="D11" s="8">
        <f>felipe_data6[[#This Row],[Frames]]/felipe_data6[[#This Row],[Tempo de anotação (min)]]</f>
        <v>180</v>
      </c>
    </row>
    <row r="12" spans="1:8" x14ac:dyDescent="0.35">
      <c r="A12">
        <v>1200</v>
      </c>
      <c r="B12" s="12">
        <v>6</v>
      </c>
      <c r="C12" s="12">
        <f>felipe_data6[[#This Row],[Frames]]/$H$2/60</f>
        <v>0.66666666666666663</v>
      </c>
      <c r="D12" s="8">
        <f>felipe_data6[[#This Row],[Frames]]/felipe_data6[[#This Row],[Tempo de anotação (min)]]</f>
        <v>200</v>
      </c>
    </row>
    <row r="13" spans="1:8" x14ac:dyDescent="0.35">
      <c r="A13">
        <v>1453</v>
      </c>
      <c r="B13" s="12">
        <v>10</v>
      </c>
      <c r="C13" s="12">
        <f>felipe_data6[[#This Row],[Frames]]/$H$2/60</f>
        <v>0.80722222222222217</v>
      </c>
      <c r="D13" s="8">
        <f>felipe_data6[[#This Row],[Frames]]/felipe_data6[[#This Row],[Tempo de anotação (min)]]</f>
        <v>145.30000000000001</v>
      </c>
    </row>
    <row r="14" spans="1:8" x14ac:dyDescent="0.35">
      <c r="A14">
        <v>1212</v>
      </c>
      <c r="B14" s="12">
        <v>30</v>
      </c>
      <c r="C14" s="12">
        <f>felipe_data6[[#This Row],[Frames]]/$H$2/60</f>
        <v>0.67333333333333334</v>
      </c>
      <c r="D14" s="8">
        <f>felipe_data6[[#This Row],[Frames]]/felipe_data6[[#This Row],[Tempo de anotação (min)]]</f>
        <v>40.4</v>
      </c>
    </row>
    <row r="15" spans="1:8" x14ac:dyDescent="0.35">
      <c r="A15" s="8">
        <f>AVERAGE(felipe_data6[Frames])</f>
        <v>4609.5</v>
      </c>
      <c r="B15" s="8">
        <f>AVERAGE(felipe_data6[Tempo de anotação (min)])</f>
        <v>42.583333333333336</v>
      </c>
      <c r="C15" s="8">
        <f>AVERAGE(felipe_data6[Tempo de vídeo (horas)])</f>
        <v>2.5608333333333335</v>
      </c>
      <c r="D15" s="28">
        <f>AVERAGE(felipe_data6[Annotation rate (frame/min)])</f>
        <v>120.32944444444443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0F0C-B08D-4D16-B8A3-2AACAB83612D}">
  <dimension ref="A2:C2"/>
  <sheetViews>
    <sheetView workbookViewId="0">
      <selection activeCell="I13" sqref="I13"/>
    </sheetView>
  </sheetViews>
  <sheetFormatPr defaultRowHeight="14.5" x14ac:dyDescent="0.35"/>
  <sheetData>
    <row r="2" spans="1:3" x14ac:dyDescent="0.35">
      <c r="A2">
        <v>1000</v>
      </c>
      <c r="B2">
        <v>60</v>
      </c>
      <c r="C2" s="29">
        <f>A2/B2</f>
        <v>16.666666666666668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D772-E735-4F00-BF15-589E28FD4BFE}">
  <dimension ref="A1:H8"/>
  <sheetViews>
    <sheetView workbookViewId="0">
      <selection activeCell="D8" sqref="D8"/>
    </sheetView>
  </sheetViews>
  <sheetFormatPr defaultRowHeight="14.5" x14ac:dyDescent="0.35"/>
  <cols>
    <col min="1" max="1" width="12.453125" bestFit="1" customWidth="1"/>
    <col min="2" max="2" width="7.7265625" customWidth="1"/>
    <col min="3" max="3" width="15.90625" bestFit="1" customWidth="1"/>
    <col min="4" max="4" width="14.26953125" customWidth="1"/>
  </cols>
  <sheetData>
    <row r="1" spans="1:8" x14ac:dyDescent="0.35">
      <c r="B1" t="s">
        <v>51</v>
      </c>
    </row>
    <row r="2" spans="1:8" ht="34.5" customHeight="1" x14ac:dyDescent="0.35">
      <c r="A2" t="s">
        <v>53</v>
      </c>
      <c r="B2" s="26" t="s">
        <v>46</v>
      </c>
      <c r="C2" s="26" t="s">
        <v>47</v>
      </c>
      <c r="D2" s="26" t="s">
        <v>49</v>
      </c>
      <c r="E2" s="27" t="s">
        <v>50</v>
      </c>
      <c r="H2" s="27">
        <v>30</v>
      </c>
    </row>
    <row r="3" spans="1:8" x14ac:dyDescent="0.35">
      <c r="A3" t="s">
        <v>54</v>
      </c>
      <c r="B3">
        <v>1227</v>
      </c>
      <c r="C3" s="12">
        <v>90</v>
      </c>
      <c r="D3" s="8">
        <f>Tabela6[[#This Row],[Frames]]/Tabela6[[#This Row],[Tempo de anotação (min)]]</f>
        <v>13.633333333333333</v>
      </c>
    </row>
    <row r="4" spans="1:8" x14ac:dyDescent="0.35">
      <c r="A4" t="s">
        <v>52</v>
      </c>
      <c r="B4">
        <v>1212</v>
      </c>
      <c r="C4" s="12">
        <v>90</v>
      </c>
      <c r="D4" s="8">
        <f>Tabela6[[#This Row],[Frames]]/Tabela6[[#This Row],[Tempo de anotação (min)]]</f>
        <v>13.466666666666667</v>
      </c>
    </row>
    <row r="5" spans="1:8" x14ac:dyDescent="0.35">
      <c r="A5" t="s">
        <v>55</v>
      </c>
      <c r="B5">
        <v>1199</v>
      </c>
      <c r="C5" s="12">
        <v>90</v>
      </c>
      <c r="D5" s="8">
        <f>Tabela6[[#This Row],[Frames]]/Tabela6[[#This Row],[Tempo de anotação (min)]]</f>
        <v>13.322222222222223</v>
      </c>
    </row>
    <row r="6" spans="1:8" x14ac:dyDescent="0.35">
      <c r="A6" t="s">
        <v>56</v>
      </c>
      <c r="B6">
        <v>1207</v>
      </c>
      <c r="C6" s="12">
        <v>84</v>
      </c>
      <c r="D6" s="8">
        <f>Tabela6[[#This Row],[Frames]]/Tabela6[[#This Row],[Tempo de anotação (min)]]</f>
        <v>14.369047619047619</v>
      </c>
    </row>
    <row r="7" spans="1:8" x14ac:dyDescent="0.35">
      <c r="A7" t="s">
        <v>57</v>
      </c>
      <c r="B7">
        <v>1207</v>
      </c>
      <c r="C7" s="12">
        <v>64</v>
      </c>
      <c r="D7" s="8">
        <f>Tabela6[[#This Row],[Frames]]/Tabela6[[#This Row],[Tempo de anotação (min)]]</f>
        <v>18.859375</v>
      </c>
    </row>
    <row r="8" spans="1:8" x14ac:dyDescent="0.35">
      <c r="B8" s="8">
        <f>AVERAGE(Tabela6[Frames])</f>
        <v>1210.4000000000001</v>
      </c>
      <c r="C8" s="8">
        <f>AVERAGE(Tabela6[Tempo de anotação (min)])</f>
        <v>83.6</v>
      </c>
      <c r="D8" s="28">
        <f>AVERAGE(Tabela6[Annotation rate (frame/min)])</f>
        <v>14.730128968253968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4A6B-6050-4DA8-A168-E5154C8558B8}">
  <dimension ref="A1:Q17"/>
  <sheetViews>
    <sheetView tabSelected="1" workbookViewId="0">
      <selection activeCell="K9" sqref="K9"/>
    </sheetView>
  </sheetViews>
  <sheetFormatPr defaultRowHeight="14.5" x14ac:dyDescent="0.35"/>
  <cols>
    <col min="1" max="1" width="17.453125" bestFit="1" customWidth="1"/>
    <col min="3" max="3" width="9.36328125" bestFit="1" customWidth="1"/>
    <col min="6" max="6" width="11.36328125" bestFit="1" customWidth="1"/>
    <col min="7" max="9" width="8.7265625" style="31"/>
  </cols>
  <sheetData>
    <row r="1" spans="1:17" x14ac:dyDescent="0.35">
      <c r="A1" s="2"/>
      <c r="B1" s="2"/>
      <c r="C1" s="2"/>
      <c r="E1" s="2" t="s">
        <v>64</v>
      </c>
      <c r="F1" s="2" t="s">
        <v>18</v>
      </c>
      <c r="G1" s="2" t="s">
        <v>71</v>
      </c>
      <c r="H1" s="2" t="s">
        <v>72</v>
      </c>
      <c r="I1" s="2" t="s">
        <v>73</v>
      </c>
      <c r="L1" s="30" t="s">
        <v>65</v>
      </c>
      <c r="M1" s="6"/>
      <c r="N1" s="6">
        <v>1635</v>
      </c>
      <c r="O1" s="6"/>
      <c r="P1" s="6" t="s">
        <v>67</v>
      </c>
      <c r="Q1" s="6">
        <v>256</v>
      </c>
    </row>
    <row r="2" spans="1:17" x14ac:dyDescent="0.35">
      <c r="F2">
        <v>1</v>
      </c>
      <c r="G2" s="31">
        <f>31+6/60</f>
        <v>31.1</v>
      </c>
      <c r="H2" s="31">
        <f>3+19/60</f>
        <v>3.3166666666666664</v>
      </c>
      <c r="I2" s="31">
        <f>G2+H2</f>
        <v>34.416666666666671</v>
      </c>
      <c r="L2" s="30" t="s">
        <v>66</v>
      </c>
      <c r="M2" s="6"/>
      <c r="N2" s="6">
        <v>152</v>
      </c>
      <c r="O2" s="6"/>
      <c r="P2" s="6"/>
      <c r="Q2" s="6"/>
    </row>
    <row r="3" spans="1:17" x14ac:dyDescent="0.35">
      <c r="F3">
        <v>2</v>
      </c>
      <c r="G3" s="31">
        <f>23+49/60</f>
        <v>23.816666666666666</v>
      </c>
      <c r="H3" s="31">
        <f>2+12/60</f>
        <v>2.2000000000000002</v>
      </c>
      <c r="I3" s="31">
        <f t="shared" ref="I3:I11" si="0">G3+H3</f>
        <v>26.016666666666666</v>
      </c>
      <c r="L3" s="6"/>
      <c r="M3" s="6"/>
      <c r="N3" s="6"/>
      <c r="O3" s="6"/>
      <c r="P3" s="6"/>
      <c r="Q3" s="6"/>
    </row>
    <row r="4" spans="1:17" x14ac:dyDescent="0.35">
      <c r="F4">
        <v>3</v>
      </c>
      <c r="G4" s="31">
        <f>24+18/60</f>
        <v>24.3</v>
      </c>
      <c r="H4" s="31">
        <f>3+12/60</f>
        <v>3.2</v>
      </c>
      <c r="I4" s="31">
        <f t="shared" si="0"/>
        <v>27.5</v>
      </c>
      <c r="L4" s="6" t="s">
        <v>68</v>
      </c>
      <c r="M4" s="6"/>
      <c r="N4" s="6">
        <f>N1*Q1</f>
        <v>418560</v>
      </c>
      <c r="O4" s="6"/>
      <c r="P4" s="6"/>
      <c r="Q4" s="6"/>
    </row>
    <row r="5" spans="1:17" x14ac:dyDescent="0.35">
      <c r="F5">
        <v>4</v>
      </c>
      <c r="G5" s="31">
        <f>26+51/60</f>
        <v>26.85</v>
      </c>
      <c r="H5" s="31">
        <f>2+13/60</f>
        <v>2.2166666666666668</v>
      </c>
      <c r="I5" s="31">
        <f t="shared" si="0"/>
        <v>29.06666666666667</v>
      </c>
      <c r="L5" s="6" t="s">
        <v>69</v>
      </c>
      <c r="M5" s="6"/>
      <c r="N5" s="6">
        <f>N2*Q1</f>
        <v>38912</v>
      </c>
      <c r="O5" s="6"/>
      <c r="P5" s="6"/>
      <c r="Q5" s="6"/>
    </row>
    <row r="6" spans="1:17" x14ac:dyDescent="0.35">
      <c r="F6">
        <v>5</v>
      </c>
      <c r="G6" s="31">
        <f>13+36/60</f>
        <v>13.6</v>
      </c>
      <c r="H6" s="31">
        <v>1</v>
      </c>
      <c r="I6" s="31">
        <f t="shared" si="0"/>
        <v>14.6</v>
      </c>
      <c r="L6" s="6" t="s">
        <v>74</v>
      </c>
      <c r="M6" s="6"/>
      <c r="N6" s="6">
        <f>N4+N5</f>
        <v>457472</v>
      </c>
      <c r="O6" s="6"/>
      <c r="P6" s="6"/>
      <c r="Q6" s="6"/>
    </row>
    <row r="7" spans="1:17" x14ac:dyDescent="0.35">
      <c r="F7">
        <v>6</v>
      </c>
      <c r="G7" s="31">
        <f>14+45/60</f>
        <v>14.75</v>
      </c>
      <c r="H7" s="31">
        <f>1+13/60</f>
        <v>1.2166666666666668</v>
      </c>
      <c r="I7" s="31">
        <f t="shared" si="0"/>
        <v>15.966666666666667</v>
      </c>
      <c r="L7" s="6"/>
      <c r="M7" s="6"/>
      <c r="N7" s="6"/>
      <c r="O7" s="6"/>
      <c r="P7" s="6"/>
      <c r="Q7" s="6"/>
    </row>
    <row r="8" spans="1:17" x14ac:dyDescent="0.35">
      <c r="F8">
        <v>7</v>
      </c>
      <c r="G8" s="31">
        <v>12</v>
      </c>
      <c r="H8" s="31">
        <f>1+16/60</f>
        <v>1.2666666666666666</v>
      </c>
      <c r="I8" s="31">
        <f t="shared" si="0"/>
        <v>13.266666666666666</v>
      </c>
      <c r="L8" s="6"/>
      <c r="M8" s="6"/>
      <c r="N8" s="6"/>
      <c r="O8" s="6"/>
      <c r="P8" s="6"/>
      <c r="Q8" s="6"/>
    </row>
    <row r="9" spans="1:17" x14ac:dyDescent="0.35">
      <c r="F9">
        <v>8</v>
      </c>
      <c r="G9" s="31">
        <f>12+2/60</f>
        <v>12.033333333333333</v>
      </c>
      <c r="H9" s="31">
        <f>1+16/60</f>
        <v>1.2666666666666666</v>
      </c>
      <c r="I9" s="31">
        <f t="shared" si="0"/>
        <v>13.3</v>
      </c>
      <c r="L9" s="6"/>
      <c r="M9" s="6"/>
      <c r="N9" s="6"/>
      <c r="O9" s="6"/>
      <c r="P9" s="6"/>
      <c r="Q9" s="6"/>
    </row>
    <row r="10" spans="1:17" x14ac:dyDescent="0.35">
      <c r="F10">
        <v>9</v>
      </c>
      <c r="G10" s="31">
        <f>20+36/60</f>
        <v>20.6</v>
      </c>
      <c r="H10" s="31">
        <f>2+10/60</f>
        <v>2.1666666666666665</v>
      </c>
      <c r="I10" s="31">
        <f t="shared" si="0"/>
        <v>22.766666666666669</v>
      </c>
      <c r="L10" s="6"/>
      <c r="M10" s="6"/>
      <c r="N10" s="6"/>
      <c r="O10" s="6"/>
      <c r="P10" s="6"/>
      <c r="Q10" s="6"/>
    </row>
    <row r="11" spans="1:17" x14ac:dyDescent="0.35">
      <c r="F11">
        <v>10</v>
      </c>
      <c r="G11" s="31">
        <f>17+25/60</f>
        <v>17.416666666666668</v>
      </c>
      <c r="H11" s="31">
        <f>1+44/60</f>
        <v>1.7333333333333334</v>
      </c>
      <c r="I11" s="31">
        <f t="shared" si="0"/>
        <v>19.150000000000002</v>
      </c>
      <c r="L11" s="6"/>
      <c r="M11" s="6"/>
      <c r="N11" s="6"/>
      <c r="O11" s="6"/>
      <c r="P11" s="6"/>
      <c r="Q11" s="6"/>
    </row>
    <row r="12" spans="1:17" x14ac:dyDescent="0.35">
      <c r="G12" s="31">
        <f>AVERAGE(G2:G11)</f>
        <v>19.646666666666665</v>
      </c>
      <c r="H12" s="31">
        <f>AVERAGE(H2:H11)</f>
        <v>1.9583333333333335</v>
      </c>
      <c r="I12" s="31">
        <f>AVERAGE(I2:I11)</f>
        <v>21.605</v>
      </c>
      <c r="L12" s="6"/>
      <c r="M12" s="6"/>
      <c r="N12" s="6"/>
      <c r="O12" s="6"/>
      <c r="P12" s="6"/>
      <c r="Q12" s="6"/>
    </row>
    <row r="13" spans="1:17" x14ac:dyDescent="0.35">
      <c r="F13" t="s">
        <v>70</v>
      </c>
      <c r="G13" s="32">
        <f>N1*$Q$1/G12</f>
        <v>21304.377332880897</v>
      </c>
      <c r="H13" s="32">
        <f>N2*$Q$1/H12</f>
        <v>19869.957446808508</v>
      </c>
      <c r="I13" s="32">
        <f>(N1+N2)*$Q$1/I12</f>
        <v>21174.357787549179</v>
      </c>
      <c r="L13" s="6"/>
      <c r="M13" s="6"/>
      <c r="N13" s="6"/>
      <c r="O13" s="6"/>
      <c r="P13" s="6"/>
      <c r="Q13" s="6"/>
    </row>
    <row r="14" spans="1:17" x14ac:dyDescent="0.35">
      <c r="L14" s="6"/>
      <c r="M14" s="6"/>
      <c r="N14" s="6"/>
      <c r="O14" s="6"/>
      <c r="P14" s="6"/>
      <c r="Q14" s="6"/>
    </row>
    <row r="15" spans="1:17" x14ac:dyDescent="0.35">
      <c r="L15" s="6"/>
      <c r="M15" s="6"/>
      <c r="N15" s="6"/>
      <c r="O15" s="6"/>
      <c r="P15" s="6"/>
      <c r="Q15" s="6"/>
    </row>
    <row r="16" spans="1:17" x14ac:dyDescent="0.35">
      <c r="L16" s="6"/>
      <c r="M16" s="6"/>
      <c r="N16" s="6"/>
      <c r="O16" s="6"/>
      <c r="P16" s="6"/>
      <c r="Q16" s="6"/>
    </row>
    <row r="17" spans="12:17" x14ac:dyDescent="0.35">
      <c r="L17" s="6"/>
      <c r="M17" s="6"/>
      <c r="N17" s="6"/>
      <c r="O17" s="6"/>
      <c r="P17" s="6"/>
      <c r="Q17" s="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t H l R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t H l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5 U V A i 9 5 U V 0 Q A A A C s C A A A T A B w A R m 9 y b X V s Y X M v U 2 V j d G l v b j E u b S C i G A A o o B Q A A A A A A A A A A A A A A A A A A A A A A A A A A A D l k M F K x E A Q R O + B / E P T e 0 l g D G T A i + J B s u w P G G + 5 j E k v D j u Z D t O d o C z 7 7 2 Y N g o J + g X 1 p e A V V R Q n 1 6 j n C 0 / b r + z z L M 3 l 1 i Q b Y 4 Z G C n w g G p w 7 h A Q J p n s F 6 B 4 5 K K 2 h k q f b c z y N F L Q 4 + U N V c l a h S Y H P X P Q s l 6 T i 4 h b s 9 y U l 5 6 r 5 Z V r 0 s W B p r E G 4 A T Z x D M L W 9 t a X Z U n b Y + o n h M S g l N / C 1 Q e t e 1 p A 2 u S h H T m P D Y R 5 j + z 6 R F J + d z P m M G 6 z R g K 4 C K L 3 p x c A X t z / 4 p c w z H 3 + P + 3 M K K G z 5 D + f 4 A F B L A Q I t A B Q A A g A I A L R 5 U V A J X J 6 P p w A A A P g A A A A S A A A A A A A A A A A A A A A A A A A A A A B D b 2 5 m a W c v U G F j a 2 F n Z S 5 4 b W x Q S w E C L Q A U A A I A C A C 0 e V F Q D 8 r p q 6 Q A A A D p A A A A E w A A A A A A A A A A A A A A A A D z A A A A W 0 N v b n R l b n R f V H l w Z X N d L n h t b F B L A Q I t A B Q A A g A I A L R 5 U V A i 9 5 U V 0 Q A A A C s C A A A T A A A A A A A A A A A A A A A A A O Q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P A A A A A A A A E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x p c G U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s a X B l I G R h d G E v V G l w b y B B b H R l c m F k b y 5 7 Q 2 9 s d W 1 u M S w w f S Z x d W 9 0 O y w m c X V v d D t T Z W N 0 a W 9 u M S 9 m Z W x p c G U g Z G F 0 Y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l b G l w Z S B k Y X R h L 1 R p c G 8 g Q W x 0 Z X J h Z G 8 u e 0 N v b H V t b j E s M H 0 m c X V v d D s s J n F 1 b 3 Q 7 U 2 V j d G l v b j E v Z m V s a X B l I G R h d G E v V G l w b y B B b H R l c m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3 V D E 4 O j A 0 O j M 4 L j k z N j k 4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l b G l w Z S U y M G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x p c G U l M j B k Y X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b G l w Z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x p c G V f Z G F 0 Y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s a X B l I G R h d G E v V G l w b y B B b H R l c m F k b y 5 7 Q 2 9 s d W 1 u M S w w f S Z x d W 9 0 O y w m c X V v d D t T Z W N 0 a W 9 u M S 9 m Z W x p c G U g Z G F 0 Y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l b G l w Z S B k Y X R h L 1 R p c G 8 g Q W x 0 Z X J h Z G 8 u e 0 N v b H V t b j E s M H 0 m c X V v d D s s J n F 1 b 3 Q 7 U 2 V j d G l v b j E v Z m V s a X B l I G R h d G E v V G l w b y B B b H R l c m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3 V D E 4 O j A 0 O j M 4 L j k z N j k 4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l b G l w Z S U y M G R h d G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x p c G U l M j B k Y X R h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6 w t i + 7 6 9 Q a Z 8 n W C F r 4 G L A A A A A A I A A A A A A B B m A A A A A Q A A I A A A A I N F V k C V Q 1 o 5 F 6 E n Z 0 Q u 1 u e P r J w D j 5 A c 0 I C q K o F 7 t 8 f 3 A A A A A A 6 A A A A A A g A A I A A A A M o I 8 q f q c 4 z K 4 y + i z r 3 j a i Y e S M 5 / E Z J c n 1 g H 8 x K 2 H g 1 N U A A A A D 3 / Z q Q 2 Z H o W k s 2 L W q x W L W k q l h 0 1 N H k n t R N t h 8 k T 0 x m A x c q M E T f X P A 3 6 t V L r / e T K C 1 H 0 I 3 / u G q b b D j z d J a E Y + f 5 V a N 2 V o S D Y z K 4 O 8 N 6 Z L O W P Q A A A A C m l P 3 w G c G Y v N H R h L F x p m B B 8 4 a 3 C l J z 7 Z M b U J + V n X f A 9 V 3 6 7 z l R 9 b C H f x Z D u 9 e T I U B c F 3 s D 7 3 E V M z 4 G G X 5 u O l S A = < / D a t a M a s h u p > 
</file>

<file path=customXml/itemProps1.xml><?xml version="1.0" encoding="utf-8"?>
<ds:datastoreItem xmlns:ds="http://schemas.openxmlformats.org/officeDocument/2006/customXml" ds:itemID="{3ED90C3E-570F-49A5-BCDC-A63B23D000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- semiauto</vt:lpstr>
      <vt:lpstr>Total - petrobras</vt:lpstr>
      <vt:lpstr>Rede 1</vt:lpstr>
      <vt:lpstr>Rede 2</vt:lpstr>
      <vt:lpstr>Rede 3</vt:lpstr>
      <vt:lpstr>Felipe</vt:lpstr>
      <vt:lpstr>José Gabriel</vt:lpstr>
      <vt:lpstr>Karen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2020-02-17T23:31:53Z</dcterms:modified>
</cp:coreProperties>
</file>