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<sst xmlns="http://schemas.openxmlformats.org/spreadsheetml/2006/main" count="575" uniqueCount="397">
  <si>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</si>
  <si>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</si>
  <si>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</si>
  <si>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</si>
  <si>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</si>
  <si>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</si>
  <si>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</si>
  <si>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</si>
  <si>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</si>
  <si>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</si>
  <si>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</si>
  <si>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</si>
  <si>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</si>
  <si>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</si>
  <si>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</si>
  <si>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</si>
  <si>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</si>
  <si>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</si>
  <si>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</si>
  <si>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</si>
  <si>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</si>
  <si>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</si>
  <si>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</si>
  <si>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</si>
  <si>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</si>
  <si>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</si>
  <si>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</si>
  <si>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</si>
  <si>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</si>
  <si>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</si>
  <si>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</si>
  <si>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</si>
  <si>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</si>
  <si>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</si>
  <si>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</si>
  <si>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</si>
  <si>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</si>
  <si>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</si>
  <si>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</si>
  <si>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</si>
  <si>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</si>
  <si>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</si>
  <si>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</si>
  <si>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</si>
  <si>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</si>
  <si>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</si>
  <si>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</si>
  <si>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</si>
  <si>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</si>
  <si>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</si>
  <si>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</si>
  <si>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</si>
  <si>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</si>
  <si>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</si>
  <si>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</si>
  <si>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</si>
  <si>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</si>
  <si>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</si>
  <si>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</si>
  <si>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</si>
  <si>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</si>
  <si>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</si>
  <si>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</si>
  <si>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</si>
  <si>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</si>
  <si>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</si>
  <si>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</si>
  <si>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</si>
  <si>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</si>
  <si>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</si>
  <si>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</si>
  <si>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</si>
  <si>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</si>
  <si>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</si>
  <si>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</si>
  <si>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</si>
  <si>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</si>
  <si>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</si>
  <si>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</si>
  <si>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</si>
  <si>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</si>
  <si>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</si>
  <si>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</si>
  <si>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</si>
  <si>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</si>
  <si>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</si>
  <si>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</si>
  <si>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</si>
  <si>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</si>
  <si>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</si>
  <si>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</si>
  <si>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</si>
  <si>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</si>
  <si>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</si>
  <si>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</si>
  <si>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</si>
  <si>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</si>
  <si>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</si>
  <si>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</si>
  <si>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</si>
  <si>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</si>
  <si>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</si>
  <si>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</si>
  <si>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</si>
  <si>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</si>
  <si>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</si>
  <si>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</si>
  <si>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</si>
  <si>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</si>
  <si>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</si>
  <si>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</si>
  <si>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</si>
  <si>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</si>
  <si>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</si>
  <si>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</si>
  <si>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</si>
  <si>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</si>
  <si>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</si>
  <si>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</si>
  <si>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</si>
  <si>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</si>
  <si>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</si>
  <si>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</si>
  <si>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Ду350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</si>
  <si>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</si>
  <si>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</si>
  <si>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</si>
  <si>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</si>
  <si>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</si>
  <si>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</si>
  <si>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</si>
  <si>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</si>
  <si>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</si>
  <si>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</si>
  <si>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</si>
  <si>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</si>
  <si>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</si>
  <si>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</si>
  <si>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</si>
  <si>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</si>
  <si>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</si>
  <si>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</si>
  <si>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</si>
  <si>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</si>
  <si>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</si>
  <si>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</si>
  <si>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</si>
  <si>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</si>
  <si>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</si>
  <si>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</si>
  <si>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</si>
  <si>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</si>
  <si>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</si>
  <si>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</si>
  <si>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</si>
  <si>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</si>
  <si>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</si>
  <si>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</si>
  <si>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</si>
  <si>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</si>
  <si>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</si>
  <si>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</si>
  <si>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</si>
  <si>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</si>
  <si>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</si>
  <si>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</si>
  <si>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</si>
  <si>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</si>
  <si>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</si>
  <si>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</si>
  <si>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</si>
  <si>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</si>
  <si>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</si>
  <si>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</si>
  <si>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</si>
  <si>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</si>
  <si>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</si>
  <si>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</si>
  <si>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</si>
  <si>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</si>
  <si>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</si>
  <si>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</si>
  <si>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</si>
  <si>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</si>
  <si>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</si>
  <si>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</si>
  <si>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</si>
  <si>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</si>
  <si>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</si>
  <si>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</si>
  <si>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</si>
  <si>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</si>
  <si>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</si>
  <si>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</si>
  <si>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</si>
  <si>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</si>
  <si>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</si>
  <si>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</si>
  <si>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</si>
  <si>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</si>
  <si>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</si>
  <si>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</si>
  <si>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</si>
  <si>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</si>
  <si>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</si>
  <si>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</si>
  <si>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</si>
  <si>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</si>
  <si>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</si>
  <si>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</si>
  <si>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</si>
  <si>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</si>
  <si>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</si>
  <si>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</si>
  <si>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</si>
  <si>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</si>
  <si>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</si>
  <si>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</si>
  <si>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</si>
  <si>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</si>
  <si>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</si>
  <si>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</si>
  <si>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</si>
  <si>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</si>
  <si>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</si>
  <si>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</si>
  <si>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</si>
  <si>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</si>
  <si>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</si>
  <si>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Ду300</t>
  </si>
  <si>
    <t xml:space="preserve">SMO 254</t>
  </si>
  <si>
    <t xml:space="preserve">ст20</t>
  </si>
  <si>
    <t xml:space="preserve">сумма</t>
  </si>
  <si>
    <t xml:space="preserve">К4-1000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</si>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</sst>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31.66</v>
      </c>
      <c r="O27" s="19" t="n">
        <f aca="false">AJ73</f>
        <v>33.09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101</v>
      </c>
      <c r="AG61" s="44" t="n">
        <f aca="false">_xlfn.FLOOR.PRECISE((AG62-AG60)/(AF62-AF60)*(AF61-AF60)+AG60,1)</f>
        <v>159</v>
      </c>
      <c r="AI61" s="41"/>
      <c r="AJ61" s="42" t="n">
        <f aca="false">M27</f>
        <v>102</v>
      </c>
      <c r="AK61" s="44" t="n">
        <f aca="false">_xlfn.FLOOR.PRECISE((AK62-AK60)/(AJ62-AJ60)*(AJ61-AJ60)+AK60,1)</f>
        <v>159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2.72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159</v>
      </c>
      <c r="AF73" s="41" t="n">
        <f aca="false">AK61</f>
        <v>159</v>
      </c>
      <c r="AG73" s="52" t="n">
        <f aca="false">J27</f>
        <v>22</v>
      </c>
      <c r="AH73" s="52" t="n">
        <f aca="false">K27</f>
        <v>23</v>
      </c>
      <c r="AI73" s="51" t="n">
        <f aca="false">_xlfn.CEILING.PRECISE(1.25*AG73*$AA$60/AE73,0.01)</f>
        <v>31.66</v>
      </c>
      <c r="AJ73" s="51" t="n">
        <f aca="false">_xlfn.CEILING.PRECISE(1.25*AH73*$AA$60/AF73,0.01)</f>
        <v>33.09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1010000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401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2500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2500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1.26726738689173E+017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7999150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145986854720346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129734.82135648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2040.412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16158283004082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8079141502041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1.51870124965576E+020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6.07480499862305E+020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n">
        <f aca="false">P22</f>
        <v>7022</v>
      </c>
      <c r="Q23" s="147" t="n">
        <v>8023</v>
      </c>
      <c r="R23" s="58"/>
      <c r="S23" s="58"/>
      <c r="T23" s="58"/>
      <c r="U23" s="59"/>
      <c r="V23" s="134" t="n">
        <f aca="false">'результат '!K26</f>
        <v>168940311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n">
        <f aca="false">P22</f>
        <v>7022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4152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168940311</v>
      </c>
      <c r="R25" s="58"/>
      <c r="S25" s="58"/>
      <c r="T25" s="58"/>
      <c r="U25" s="59"/>
      <c r="V25" s="134" t="n">
        <f aca="false">'результат '!M26</f>
        <v>8304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1000</v>
      </c>
      <c r="F26" s="136" t="s">
        <v>87</v>
      </c>
      <c r="G26" s="138" t="n">
        <f aca="false">E25*G27*M21*G25</f>
        <v>15596781802.25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46029526782.25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1280595.872288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1000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83837.6811888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1028</v>
      </c>
      <c r="U28" s="59"/>
      <c r="V28" s="134" t="n">
        <f aca="false">'результат '!P26</f>
        <v>210918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121</v>
      </c>
      <c r="C29" s="168" t="s">
        <v>122</v>
      </c>
      <c r="D29" s="168" t="s">
        <v>123</v>
      </c>
      <c r="E29" s="169" t="s">
        <v>117</v>
      </c>
      <c r="F29" s="137" t="n">
        <v>1029</v>
      </c>
      <c r="G29" s="133"/>
      <c r="H29" s="167" t="s">
        <v>124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125</v>
      </c>
      <c r="P29" s="139" t="n">
        <v>7029</v>
      </c>
      <c r="Q29" s="139" t="n">
        <v>8029</v>
      </c>
      <c r="R29" s="139" t="n">
        <v>9029</v>
      </c>
      <c r="S29" s="171" t="s">
        <v>126</v>
      </c>
      <c r="T29" s="147" t="n">
        <v>10029</v>
      </c>
      <c r="U29" s="59"/>
      <c r="V29" s="134" t="n">
        <f aca="false">'результат '!Q26</f>
        <v>130546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127</v>
      </c>
      <c r="F30" s="137" t="n">
        <v>1030</v>
      </c>
      <c r="G30" s="133"/>
      <c r="H30" s="167"/>
      <c r="I30" s="148"/>
      <c r="J30" s="148"/>
      <c r="K30" s="169" t="s">
        <v>128</v>
      </c>
      <c r="L30" s="137" t="n">
        <v>4030</v>
      </c>
      <c r="M30" s="133"/>
      <c r="N30" s="58"/>
      <c r="O30" s="172"/>
      <c r="R30" s="171" t="s">
        <v>129</v>
      </c>
      <c r="S30" s="171" t="s">
        <v>130</v>
      </c>
      <c r="T30" s="147" t="n">
        <v>10030</v>
      </c>
      <c r="U30" s="59"/>
      <c r="V30" s="134" t="n">
        <f aca="false">'результат '!R26</f>
        <v>4077</v>
      </c>
      <c r="W30" s="135" t="s">
        <v>131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132</v>
      </c>
      <c r="F31" s="137" t="n">
        <v>1031</v>
      </c>
      <c r="G31" s="133"/>
      <c r="H31" s="167"/>
      <c r="I31" s="148"/>
      <c r="J31" s="148"/>
      <c r="K31" s="169" t="s">
        <v>133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134</v>
      </c>
      <c r="T31" s="147" t="n">
        <v>10031</v>
      </c>
      <c r="U31" s="59"/>
      <c r="V31" s="134" t="n">
        <f aca="false">'результат '!S26</f>
        <v>6077</v>
      </c>
      <c r="W31" s="135" t="s">
        <v>135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136</v>
      </c>
      <c r="F32" s="137" t="n">
        <v>1032</v>
      </c>
      <c r="G32" s="133"/>
      <c r="H32" s="167"/>
      <c r="I32" s="148"/>
      <c r="J32" s="148"/>
      <c r="K32" s="169" t="s">
        <v>136</v>
      </c>
      <c r="L32" s="137" t="n">
        <v>4032</v>
      </c>
      <c r="M32" s="133"/>
      <c r="N32" s="58"/>
      <c r="O32" s="164" t="s">
        <v>121</v>
      </c>
      <c r="P32" s="165" t="str">
        <f aca="false">D29</f>
        <v>Ду350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1029</v>
      </c>
      <c r="U32" s="59"/>
      <c r="V32" s="134" t="n">
        <f aca="false">'результат '!T26</f>
        <v>15135</v>
      </c>
      <c r="W32" s="135" t="s">
        <v>137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138</v>
      </c>
      <c r="F33" s="137" t="n">
        <v>1033</v>
      </c>
      <c r="G33" s="133"/>
      <c r="H33" s="167"/>
      <c r="I33" s="148"/>
      <c r="J33" s="148"/>
      <c r="K33" s="169" t="s">
        <v>138</v>
      </c>
      <c r="L33" s="137" t="n">
        <v>4033</v>
      </c>
      <c r="M33" s="133"/>
      <c r="N33" s="58"/>
      <c r="O33" s="170" t="s">
        <v>125</v>
      </c>
      <c r="P33" s="139" t="n">
        <v>7033</v>
      </c>
      <c r="Q33" s="139" t="n">
        <v>8033</v>
      </c>
      <c r="R33" s="139" t="n">
        <v>9033</v>
      </c>
      <c r="S33" s="171" t="s">
        <v>126</v>
      </c>
      <c r="T33" s="147" t="n">
        <v>10033</v>
      </c>
      <c r="U33" s="59"/>
      <c r="V33" s="134" t="n">
        <f aca="false">'результат '!U26</f>
        <v>10077</v>
      </c>
      <c r="W33" s="135" t="s">
        <v>139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140</v>
      </c>
      <c r="D34" s="178" t="n">
        <f aca="false">G26*D17*D11</f>
        <v>16036408290910000</v>
      </c>
      <c r="E34" s="179" t="s">
        <v>141</v>
      </c>
      <c r="F34" s="178" t="n">
        <f aca="false">F28+F29+F30+F31+F32+F33</f>
        <v>6183</v>
      </c>
      <c r="G34" s="180"/>
      <c r="H34" s="176"/>
      <c r="I34" s="177" t="s">
        <v>140</v>
      </c>
      <c r="J34" s="178" t="n">
        <f aca="false">M26*D17*D11</f>
        <v>47326961053661300</v>
      </c>
      <c r="K34" s="179" t="s">
        <v>141</v>
      </c>
      <c r="L34" s="178" t="n">
        <f aca="false">L28+L29+L30+L31+L32+L33</f>
        <v>24183</v>
      </c>
      <c r="M34" s="133"/>
      <c r="N34" s="58"/>
      <c r="O34" s="172"/>
      <c r="R34" s="171" t="s">
        <v>129</v>
      </c>
      <c r="S34" s="171" t="s">
        <v>130</v>
      </c>
      <c r="T34" s="147" t="n">
        <v>10034</v>
      </c>
      <c r="U34" s="59"/>
      <c r="V34" s="134" t="n">
        <f aca="false">'результат '!V26</f>
        <v>7045</v>
      </c>
      <c r="W34" s="135" t="s">
        <v>142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143</v>
      </c>
      <c r="G35" s="154" t="n">
        <f aca="false">D34*2+F34</f>
        <v>32072816581826200</v>
      </c>
      <c r="H35" s="58"/>
      <c r="I35" s="58"/>
      <c r="J35" s="176"/>
      <c r="K35" s="182"/>
      <c r="L35" s="184" t="s">
        <v>143</v>
      </c>
      <c r="M35" s="154" t="n">
        <f aca="false">J34*2+L34</f>
        <v>94653922107346700</v>
      </c>
      <c r="N35" s="58"/>
      <c r="O35" s="173"/>
      <c r="P35" s="174"/>
      <c r="Q35" s="174"/>
      <c r="R35" s="174"/>
      <c r="S35" s="175" t="s">
        <v>134</v>
      </c>
      <c r="T35" s="147" t="n">
        <v>10035</v>
      </c>
      <c r="U35" s="59"/>
      <c r="V35" s="134" t="n">
        <f aca="false">'результат '!W26</f>
        <v>527730800</v>
      </c>
      <c r="W35" s="135" t="s">
        <v>144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145</v>
      </c>
      <c r="AR35" s="30"/>
      <c r="AS35" s="186" t="s">
        <v>146</v>
      </c>
      <c r="AT35" s="29"/>
      <c r="AU35" s="29"/>
      <c r="AV35" s="29"/>
      <c r="AW35" s="185" t="s">
        <v>147</v>
      </c>
      <c r="AX35" s="29"/>
      <c r="AY35" s="30"/>
      <c r="AZ35" s="185" t="s">
        <v>148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n">
        <f aca="false">J28</f>
        <v>3028</v>
      </c>
      <c r="Q36" s="165" t="n">
        <f aca="false">I28</f>
        <v>2028</v>
      </c>
      <c r="R36" s="165"/>
      <c r="S36" s="165" t="s">
        <v>119</v>
      </c>
      <c r="T36" s="166" t="n">
        <f aca="false">L28</f>
        <v>4028</v>
      </c>
      <c r="U36" s="59"/>
      <c r="V36" s="187" t="n">
        <f aca="false">'результат '!X26</f>
        <v>120013</v>
      </c>
      <c r="W36" s="188" t="s">
        <v>149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150</v>
      </c>
      <c r="AR36" s="32" t="s">
        <v>151</v>
      </c>
      <c r="AS36" s="0" t="s">
        <v>88</v>
      </c>
      <c r="AT36" s="0" t="s">
        <v>93</v>
      </c>
      <c r="AV36" s="0" t="s">
        <v>150</v>
      </c>
      <c r="AW36" s="31" t="s">
        <v>150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152</v>
      </c>
      <c r="C37" s="124"/>
      <c r="D37" s="124"/>
      <c r="E37" s="124"/>
      <c r="F37" s="124"/>
      <c r="G37" s="58"/>
      <c r="H37" s="189" t="s">
        <v>153</v>
      </c>
      <c r="I37" s="189"/>
      <c r="J37" s="123" t="s">
        <v>154</v>
      </c>
      <c r="K37" s="123"/>
      <c r="L37" s="123" t="s">
        <v>155</v>
      </c>
      <c r="M37" s="123"/>
      <c r="N37" s="58"/>
      <c r="O37" s="170" t="s">
        <v>125</v>
      </c>
      <c r="P37" s="139" t="n">
        <v>7037</v>
      </c>
      <c r="Q37" s="139" t="n">
        <v>8037</v>
      </c>
      <c r="R37" s="139" t="n">
        <v>9037</v>
      </c>
      <c r="S37" s="171" t="s">
        <v>126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156</v>
      </c>
      <c r="AR37" s="32" t="s">
        <v>157</v>
      </c>
      <c r="AS37" s="0" t="s">
        <v>158</v>
      </c>
      <c r="AT37" s="0" t="s">
        <v>159</v>
      </c>
      <c r="AV37" s="0" t="s">
        <v>160</v>
      </c>
      <c r="AW37" s="31" t="s">
        <v>161</v>
      </c>
      <c r="AX37" s="0" t="s">
        <v>162</v>
      </c>
      <c r="AY37" s="32" t="s">
        <v>159</v>
      </c>
      <c r="AZ37" s="31" t="s">
        <v>163</v>
      </c>
      <c r="BA37" s="32"/>
    </row>
    <row r="38" customFormat="false" ht="15" hidden="false" customHeight="true" outlineLevel="0" collapsed="false">
      <c r="A38" s="58"/>
      <c r="B38" s="167"/>
      <c r="C38" s="169" t="s">
        <v>164</v>
      </c>
      <c r="D38" s="190" t="n">
        <v>1038</v>
      </c>
      <c r="E38" s="169" t="s">
        <v>165</v>
      </c>
      <c r="F38" s="191" t="n">
        <f aca="false">D38*4</f>
        <v>4152</v>
      </c>
      <c r="G38" s="58"/>
      <c r="H38" s="159" t="s">
        <v>166</v>
      </c>
      <c r="I38" s="192" t="n">
        <v>2038</v>
      </c>
      <c r="J38" s="193" t="s">
        <v>166</v>
      </c>
      <c r="K38" s="194" t="n">
        <v>3038</v>
      </c>
      <c r="L38" s="193" t="s">
        <v>166</v>
      </c>
      <c r="M38" s="194" t="n">
        <v>5038</v>
      </c>
      <c r="N38" s="58"/>
      <c r="O38" s="172"/>
      <c r="R38" s="171" t="s">
        <v>129</v>
      </c>
      <c r="S38" s="171" t="s">
        <v>130</v>
      </c>
      <c r="T38" s="147" t="n">
        <v>10038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167</v>
      </c>
      <c r="AO38" s="197" t="s">
        <v>168</v>
      </c>
      <c r="AP38" s="198" t="s">
        <v>169</v>
      </c>
      <c r="AQ38" s="31" t="s">
        <v>170</v>
      </c>
      <c r="AR38" s="32" t="s">
        <v>115</v>
      </c>
      <c r="AS38" s="0" t="s">
        <v>171</v>
      </c>
      <c r="AT38" s="0" t="s">
        <v>172</v>
      </c>
      <c r="AV38" s="0" t="s">
        <v>173</v>
      </c>
      <c r="AW38" s="31" t="s">
        <v>174</v>
      </c>
      <c r="AX38" s="0" t="s">
        <v>175</v>
      </c>
      <c r="AY38" s="32" t="s">
        <v>172</v>
      </c>
      <c r="AZ38" s="31" t="s">
        <v>176</v>
      </c>
      <c r="BA38" s="32"/>
    </row>
    <row r="39" customFormat="false" ht="15.75" hidden="false" customHeight="true" outlineLevel="0" collapsed="false">
      <c r="A39" s="58"/>
      <c r="B39" s="199" t="s">
        <v>177</v>
      </c>
      <c r="C39" s="199"/>
      <c r="D39" s="199"/>
      <c r="E39" s="199"/>
      <c r="F39" s="200" t="n">
        <v>2</v>
      </c>
      <c r="G39" s="58"/>
      <c r="H39" s="167" t="s">
        <v>178</v>
      </c>
      <c r="I39" s="201" t="n">
        <v>2039</v>
      </c>
      <c r="J39" s="167" t="s">
        <v>178</v>
      </c>
      <c r="K39" s="201" t="n">
        <v>3039</v>
      </c>
      <c r="L39" s="167" t="s">
        <v>178</v>
      </c>
      <c r="M39" s="201" t="n">
        <v>5039</v>
      </c>
      <c r="N39" s="58"/>
      <c r="O39" s="173"/>
      <c r="P39" s="174"/>
      <c r="Q39" s="174"/>
      <c r="R39" s="174"/>
      <c r="S39" s="175" t="s">
        <v>134</v>
      </c>
      <c r="T39" s="147" t="n">
        <v>10039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179</v>
      </c>
      <c r="AO39" s="197"/>
      <c r="AP39" s="198"/>
      <c r="AQ39" s="31" t="s">
        <v>180</v>
      </c>
      <c r="AR39" s="32" t="s">
        <v>181</v>
      </c>
      <c r="AS39" s="0" t="s">
        <v>182</v>
      </c>
      <c r="AT39" s="0" t="s">
        <v>183</v>
      </c>
      <c r="AV39" s="0" t="s">
        <v>184</v>
      </c>
      <c r="AW39" s="31" t="s">
        <v>185</v>
      </c>
      <c r="AX39" s="0" t="s">
        <v>186</v>
      </c>
      <c r="AY39" s="32" t="s">
        <v>183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3" t="n">
        <f aca="false">F38+F39*F38</f>
        <v>12456</v>
      </c>
      <c r="G40" s="58"/>
      <c r="H40" s="153" t="s">
        <v>72</v>
      </c>
      <c r="I40" s="204" t="n">
        <f aca="false">I38+I39</f>
        <v>4077</v>
      </c>
      <c r="J40" s="153" t="s">
        <v>72</v>
      </c>
      <c r="K40" s="204" t="n">
        <f aca="false">K38+K39</f>
        <v>6077</v>
      </c>
      <c r="L40" s="153" t="s">
        <v>72</v>
      </c>
      <c r="M40" s="204" t="n">
        <f aca="false">M38+M39</f>
        <v>10077</v>
      </c>
      <c r="N40" s="58"/>
      <c r="O40" s="170" t="s">
        <v>124</v>
      </c>
      <c r="P40" s="0" t="n">
        <f aca="false">J29</f>
        <v>3029</v>
      </c>
      <c r="Q40" s="0" t="n">
        <f aca="false">I29</f>
        <v>2029</v>
      </c>
      <c r="S40" s="0" t="s">
        <v>119</v>
      </c>
      <c r="T40" s="205" t="n">
        <f aca="false">L29</f>
        <v>4029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187</v>
      </c>
      <c r="AM40" s="206" t="s">
        <v>188</v>
      </c>
      <c r="AN40" s="171" t="n">
        <v>0.068</v>
      </c>
      <c r="AO40" s="171" t="n">
        <v>0.225</v>
      </c>
      <c r="AP40" s="207" t="n">
        <v>0.225</v>
      </c>
      <c r="AQ40" s="31" t="s">
        <v>189</v>
      </c>
      <c r="AR40" s="32" t="s">
        <v>190</v>
      </c>
      <c r="AS40" s="0" t="s">
        <v>186</v>
      </c>
      <c r="AV40" s="0" t="s">
        <v>191</v>
      </c>
      <c r="AW40" s="31" t="s">
        <v>192</v>
      </c>
      <c r="AY40" s="32" t="s">
        <v>193</v>
      </c>
      <c r="AZ40" s="31" t="s">
        <v>194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125</v>
      </c>
      <c r="P41" s="139" t="n">
        <v>7041</v>
      </c>
      <c r="Q41" s="139" t="n">
        <v>8041</v>
      </c>
      <c r="R41" s="139" t="n">
        <v>9041</v>
      </c>
      <c r="S41" s="171" t="s">
        <v>126</v>
      </c>
      <c r="T41" s="147" t="n">
        <v>10041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195</v>
      </c>
      <c r="AM41" s="206" t="s">
        <v>196</v>
      </c>
      <c r="AN41" s="171" t="n">
        <v>0.12</v>
      </c>
      <c r="AO41" s="171" t="n">
        <v>0.31</v>
      </c>
      <c r="AP41" s="207" t="n">
        <v>0.31</v>
      </c>
      <c r="AQ41" s="31" t="s">
        <v>197</v>
      </c>
      <c r="AR41" s="32" t="s">
        <v>122</v>
      </c>
      <c r="AV41" s="0" t="s">
        <v>198</v>
      </c>
      <c r="AW41" s="31" t="s">
        <v>160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199</v>
      </c>
      <c r="C42" s="123"/>
      <c r="D42" s="123"/>
      <c r="E42" s="123"/>
      <c r="F42" s="123"/>
      <c r="G42" s="123"/>
      <c r="H42" s="58"/>
      <c r="I42" s="208" t="s">
        <v>200</v>
      </c>
      <c r="J42" s="208"/>
      <c r="K42" s="208"/>
      <c r="L42" s="208"/>
      <c r="M42" s="208"/>
      <c r="N42" s="58"/>
      <c r="O42" s="172"/>
      <c r="R42" s="171" t="s">
        <v>129</v>
      </c>
      <c r="S42" s="171" t="s">
        <v>130</v>
      </c>
      <c r="T42" s="147" t="n">
        <v>10042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201</v>
      </c>
      <c r="AN42" s="171" t="n">
        <v>0.19</v>
      </c>
      <c r="AO42" s="171" t="n">
        <v>0.402</v>
      </c>
      <c r="AP42" s="207" t="n">
        <v>0.402</v>
      </c>
      <c r="AQ42" s="31" t="s">
        <v>202</v>
      </c>
      <c r="AR42" s="32" t="s">
        <v>203</v>
      </c>
      <c r="AV42" s="0" t="s">
        <v>204</v>
      </c>
      <c r="AW42" s="31" t="s">
        <v>205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206</v>
      </c>
      <c r="C43" s="209"/>
      <c r="D43" s="210" t="n">
        <v>3301</v>
      </c>
      <c r="E43" s="211" t="s">
        <v>207</v>
      </c>
      <c r="F43" s="211"/>
      <c r="G43" s="212" t="n">
        <v>2043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134</v>
      </c>
      <c r="T43" s="215" t="n">
        <v>10043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208</v>
      </c>
      <c r="AN43" s="171" t="n">
        <v>0.28</v>
      </c>
      <c r="AO43" s="171" t="n">
        <v>0.495</v>
      </c>
      <c r="AP43" s="207" t="n">
        <v>0.495</v>
      </c>
      <c r="AQ43" s="31" t="s">
        <v>209</v>
      </c>
      <c r="AR43" s="32" t="s">
        <v>210</v>
      </c>
      <c r="AS43" s="54"/>
      <c r="AT43" s="54"/>
      <c r="AU43" s="54"/>
      <c r="AV43" s="54" t="s">
        <v>211</v>
      </c>
      <c r="AW43" s="31" t="s">
        <v>173</v>
      </c>
      <c r="AY43" s="32"/>
    </row>
    <row r="44" customFormat="false" ht="16.5" hidden="false" customHeight="true" outlineLevel="0" collapsed="false">
      <c r="A44" s="58"/>
      <c r="B44" s="216" t="s">
        <v>212</v>
      </c>
      <c r="C44" s="216"/>
      <c r="D44" s="217" t="n">
        <v>1751</v>
      </c>
      <c r="E44" s="218" t="s">
        <v>213</v>
      </c>
      <c r="F44" s="218"/>
      <c r="G44" s="219" t="n">
        <v>2044</v>
      </c>
      <c r="H44" s="58"/>
      <c r="I44" s="220" t="n">
        <v>2044</v>
      </c>
      <c r="J44" s="220"/>
      <c r="K44" s="220"/>
      <c r="L44" s="220"/>
      <c r="M44" s="221" t="n">
        <v>5044</v>
      </c>
      <c r="N44" s="58"/>
      <c r="O44" s="58"/>
      <c r="P44" s="58"/>
      <c r="Q44" s="58"/>
      <c r="R44" s="58"/>
      <c r="S44" s="153" t="s">
        <v>72</v>
      </c>
      <c r="T44" s="203" t="n">
        <f aca="false">SUM(T28:T43)</f>
        <v>130546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214</v>
      </c>
      <c r="AN44" s="223" t="n">
        <v>0.27</v>
      </c>
      <c r="AO44" s="223" t="n">
        <v>0.61</v>
      </c>
      <c r="AP44" s="224" t="n">
        <v>0.385</v>
      </c>
      <c r="AQ44" s="31" t="s">
        <v>215</v>
      </c>
      <c r="AR44" s="32" t="s">
        <v>216</v>
      </c>
      <c r="AW44" s="31" t="s">
        <v>191</v>
      </c>
      <c r="AY44" s="32"/>
    </row>
    <row r="45" customFormat="false" ht="16.5" hidden="false" customHeight="true" outlineLevel="0" collapsed="false">
      <c r="A45" s="58"/>
      <c r="B45" s="216" t="s">
        <v>217</v>
      </c>
      <c r="C45" s="216"/>
      <c r="D45" s="217" t="n">
        <v>2801</v>
      </c>
      <c r="E45" s="218" t="s">
        <v>218</v>
      </c>
      <c r="F45" s="218"/>
      <c r="G45" s="219" t="n">
        <v>2045</v>
      </c>
      <c r="H45" s="58"/>
      <c r="I45" s="220" t="n">
        <v>2045</v>
      </c>
      <c r="J45" s="220"/>
      <c r="K45" s="220"/>
      <c r="L45" s="220"/>
      <c r="M45" s="221" t="n">
        <v>5045</v>
      </c>
      <c r="N45" s="58"/>
      <c r="O45" s="225" t="s">
        <v>142</v>
      </c>
      <c r="P45" s="226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219</v>
      </c>
      <c r="AN45" s="171" t="n">
        <v>0.4624</v>
      </c>
      <c r="AO45" s="171" t="n">
        <v>0.616</v>
      </c>
      <c r="AP45" s="207" t="n">
        <v>0.616</v>
      </c>
      <c r="AQ45" s="31" t="s">
        <v>220</v>
      </c>
      <c r="AR45" s="32"/>
      <c r="AW45" s="53" t="s">
        <v>204</v>
      </c>
      <c r="AX45" s="54"/>
      <c r="AY45" s="55"/>
    </row>
    <row r="46" customFormat="false" ht="16.5" hidden="false" customHeight="true" outlineLevel="0" collapsed="false">
      <c r="A46" s="58"/>
      <c r="B46" s="228" t="s">
        <v>221</v>
      </c>
      <c r="C46" s="228"/>
      <c r="D46" s="229" t="n">
        <v>1201</v>
      </c>
      <c r="E46" s="230"/>
      <c r="F46" s="230"/>
      <c r="G46" s="231"/>
      <c r="H46" s="58"/>
      <c r="I46" s="232" t="n">
        <v>2046</v>
      </c>
      <c r="J46" s="232"/>
      <c r="K46" s="232"/>
      <c r="L46" s="232"/>
      <c r="M46" s="233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222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223</v>
      </c>
      <c r="AR46" s="32"/>
      <c r="AS46" s="186" t="s">
        <v>60</v>
      </c>
      <c r="AT46" s="235" t="s">
        <v>83</v>
      </c>
      <c r="AU46" s="185" t="s">
        <v>224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225</v>
      </c>
      <c r="AN47" s="171" t="n">
        <v>0.6</v>
      </c>
      <c r="AO47" s="171" t="n">
        <v>0.735</v>
      </c>
      <c r="AP47" s="207" t="n">
        <v>0.735</v>
      </c>
      <c r="AQ47" s="31" t="s">
        <v>226</v>
      </c>
      <c r="AR47" s="32"/>
      <c r="AS47" s="0" t="s">
        <v>29</v>
      </c>
      <c r="AT47" s="0" t="n">
        <f aca="false">7880/10^6</f>
        <v>0.00788</v>
      </c>
      <c r="AU47" s="31" t="s">
        <v>227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144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228</v>
      </c>
      <c r="AN48" s="223" t="n">
        <v>0.37</v>
      </c>
      <c r="AO48" s="223" t="n">
        <v>0.754</v>
      </c>
      <c r="AP48" s="224" t="n">
        <v>0.435</v>
      </c>
      <c r="AQ48" s="31" t="s">
        <v>229</v>
      </c>
      <c r="AR48" s="32"/>
      <c r="AS48" s="0" t="s">
        <v>230</v>
      </c>
      <c r="AT48" s="0" t="n">
        <f aca="false">8080/10^6</f>
        <v>0.00808</v>
      </c>
      <c r="AU48" s="31" t="s">
        <v>231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94</v>
      </c>
      <c r="I49" s="240" t="s">
        <v>84</v>
      </c>
      <c r="J49" s="241" t="s">
        <v>232</v>
      </c>
      <c r="K49" s="238"/>
      <c r="L49" s="238"/>
      <c r="M49" s="239" t="s">
        <v>94</v>
      </c>
      <c r="N49" s="240" t="s">
        <v>84</v>
      </c>
      <c r="O49" s="241" t="s">
        <v>232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233</v>
      </c>
      <c r="AN49" s="171" t="n">
        <v>1.63</v>
      </c>
      <c r="AO49" s="171" t="n">
        <v>1.24</v>
      </c>
      <c r="AP49" s="207" t="n">
        <v>1.24</v>
      </c>
      <c r="AQ49" s="242" t="s">
        <v>123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101</v>
      </c>
      <c r="C50" s="243"/>
      <c r="D50" s="244" t="str">
        <f aca="false">O22</f>
        <v>шпилька</v>
      </c>
      <c r="E50" s="244" t="n">
        <f aca="false">P22</f>
        <v>7022</v>
      </c>
      <c r="F50" s="244" t="n">
        <f aca="false">P20</f>
        <v>7020</v>
      </c>
      <c r="G50" s="244" t="n">
        <f aca="false">P21</f>
        <v>7021</v>
      </c>
      <c r="H50" s="245" t="n">
        <f aca="false">Q22</f>
        <v>8022</v>
      </c>
      <c r="I50" s="246" t="n">
        <v>2050</v>
      </c>
      <c r="J50" s="247" t="n">
        <f aca="false">H50*I50</f>
        <v>16445100</v>
      </c>
      <c r="K50" s="248" t="s">
        <v>235</v>
      </c>
      <c r="L50" s="248"/>
      <c r="M50" s="249" t="n">
        <f aca="false">D38</f>
        <v>1038</v>
      </c>
      <c r="N50" s="250" t="n">
        <v>6050</v>
      </c>
      <c r="O50" s="251" t="n">
        <f aca="false">M50*N50</f>
        <v>6279900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236</v>
      </c>
      <c r="AN50" s="223" t="n">
        <v>1.01</v>
      </c>
      <c r="AO50" s="223" t="n">
        <v>1.24</v>
      </c>
      <c r="AP50" s="224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n">
        <f aca="false">P23</f>
        <v>7022</v>
      </c>
      <c r="F51" s="253" t="n">
        <f aca="false">P20</f>
        <v>7020</v>
      </c>
      <c r="G51" s="253" t="n">
        <f aca="false">P21</f>
        <v>7021</v>
      </c>
      <c r="H51" s="254" t="n">
        <f aca="false">Q23</f>
        <v>8023</v>
      </c>
      <c r="I51" s="255" t="n">
        <v>2051</v>
      </c>
      <c r="J51" s="256" t="n">
        <f aca="false">H51*I51</f>
        <v>16455173</v>
      </c>
      <c r="K51" s="257" t="s">
        <v>240</v>
      </c>
      <c r="L51" s="257"/>
      <c r="M51" s="258" t="n">
        <v>5051</v>
      </c>
      <c r="N51" s="259" t="n">
        <v>6051</v>
      </c>
      <c r="O51" s="260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241</v>
      </c>
      <c r="AN51" s="171" t="n">
        <v>2.43</v>
      </c>
      <c r="AO51" s="171" t="n">
        <v>1.514</v>
      </c>
      <c r="AP51" s="207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n">
        <f aca="false">P24</f>
        <v>7022</v>
      </c>
      <c r="F52" s="262" t="n">
        <f aca="false">P20</f>
        <v>7020</v>
      </c>
      <c r="G52" s="262" t="n">
        <f aca="false">P21</f>
        <v>7021</v>
      </c>
      <c r="H52" s="263" t="n">
        <f aca="false">Q24</f>
        <v>8024</v>
      </c>
      <c r="I52" s="255" t="n">
        <v>2052</v>
      </c>
      <c r="J52" s="256" t="n">
        <f aca="false">H52*I52</f>
        <v>16465248</v>
      </c>
      <c r="K52" s="264" t="s">
        <v>244</v>
      </c>
      <c r="L52" s="264"/>
      <c r="M52" s="258" t="n">
        <v>5052</v>
      </c>
      <c r="N52" s="259" t="n">
        <v>6052</v>
      </c>
      <c r="O52" s="260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245</v>
      </c>
      <c r="AN52" s="266" t="n">
        <v>1.53</v>
      </c>
      <c r="AO52" s="266" t="n">
        <v>1.514</v>
      </c>
      <c r="AP52" s="267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49365521</v>
      </c>
      <c r="K53" s="269"/>
      <c r="L53" s="270"/>
      <c r="M53" s="271"/>
      <c r="N53" s="153" t="s">
        <v>72</v>
      </c>
      <c r="O53" s="154" t="n">
        <f aca="false">O50+O51+O52</f>
        <v>67418205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250</v>
      </c>
      <c r="C54" s="274" t="str">
        <f aca="false">P28</f>
        <v>Ду600</v>
      </c>
      <c r="D54" s="244" t="str">
        <f aca="false">O28</f>
        <v>Фланец №1</v>
      </c>
      <c r="E54" s="244" t="n">
        <f aca="false">P29</f>
        <v>7029</v>
      </c>
      <c r="F54" s="244" t="n">
        <f aca="false">Q29</f>
        <v>8029</v>
      </c>
      <c r="G54" s="244" t="n">
        <f aca="false">R29</f>
        <v>9029</v>
      </c>
      <c r="H54" s="275" t="n">
        <v>2054</v>
      </c>
      <c r="I54" s="276" t="n">
        <v>2054</v>
      </c>
      <c r="J54" s="247" t="n">
        <f aca="false">H54*I54</f>
        <v>4218916</v>
      </c>
      <c r="K54" s="277" t="s">
        <v>251</v>
      </c>
      <c r="L54" s="277"/>
      <c r="M54" s="278" t="n">
        <f aca="false">T30</f>
        <v>10030</v>
      </c>
      <c r="N54" s="246" t="n">
        <v>6054</v>
      </c>
      <c r="O54" s="279" t="n">
        <f aca="false">M54*N54</f>
        <v>60721620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Ду350</v>
      </c>
      <c r="D55" s="253" t="str">
        <f aca="false">O32</f>
        <v>Фланец №2</v>
      </c>
      <c r="E55" s="253" t="n">
        <f aca="false">P33</f>
        <v>7033</v>
      </c>
      <c r="F55" s="253" t="n">
        <f aca="false">Q33</f>
        <v>8033</v>
      </c>
      <c r="G55" s="253" t="n">
        <f aca="false">R33</f>
        <v>9033</v>
      </c>
      <c r="H55" s="281" t="n">
        <v>2055</v>
      </c>
      <c r="I55" s="282" t="n">
        <v>2055</v>
      </c>
      <c r="J55" s="256" t="n">
        <f aca="false">H55*I55</f>
        <v>4223025</v>
      </c>
      <c r="K55" s="277"/>
      <c r="L55" s="277"/>
      <c r="M55" s="283" t="n">
        <v>15000</v>
      </c>
      <c r="N55" s="255" t="n">
        <v>6055</v>
      </c>
      <c r="O55" s="260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254</v>
      </c>
      <c r="AR55" s="55"/>
    </row>
    <row r="56" customFormat="false" ht="18" hidden="false" customHeight="true" outlineLevel="0" collapsed="false">
      <c r="A56" s="252"/>
      <c r="B56" s="273"/>
      <c r="C56" s="280" t="n">
        <f aca="false">P36</f>
        <v>3028</v>
      </c>
      <c r="D56" s="253" t="str">
        <f aca="false">O36</f>
        <v>Фланец №3</v>
      </c>
      <c r="E56" s="253" t="n">
        <f aca="false">P37</f>
        <v>7037</v>
      </c>
      <c r="F56" s="253" t="n">
        <f aca="false">Q37</f>
        <v>8037</v>
      </c>
      <c r="G56" s="253" t="n">
        <f aca="false">R37</f>
        <v>9037</v>
      </c>
      <c r="H56" s="281" t="n">
        <v>2056</v>
      </c>
      <c r="I56" s="282" t="n">
        <v>2056</v>
      </c>
      <c r="J56" s="256" t="n">
        <f aca="false">H56*I56</f>
        <v>4227136</v>
      </c>
      <c r="K56" s="277"/>
      <c r="L56" s="277"/>
      <c r="M56" s="283" t="n">
        <f aca="false">T38</f>
        <v>10038</v>
      </c>
      <c r="N56" s="255" t="n">
        <v>6056</v>
      </c>
      <c r="O56" s="260" t="n">
        <f aca="false">M56*N56</f>
        <v>60790128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n">
        <f aca="false">P40</f>
        <v>3029</v>
      </c>
      <c r="D57" s="262" t="str">
        <f aca="false">O40</f>
        <v>Фланец №4</v>
      </c>
      <c r="E57" s="262" t="n">
        <f aca="false">P41</f>
        <v>7041</v>
      </c>
      <c r="F57" s="262" t="n">
        <f aca="false">Q41</f>
        <v>8041</v>
      </c>
      <c r="G57" s="262" t="n">
        <f aca="false">R41</f>
        <v>9041</v>
      </c>
      <c r="H57" s="288" t="n">
        <v>2057</v>
      </c>
      <c r="I57" s="282" t="n">
        <v>2057</v>
      </c>
      <c r="J57" s="256" t="n">
        <f aca="false">H57*I57</f>
        <v>4231249</v>
      </c>
      <c r="K57" s="277"/>
      <c r="L57" s="277"/>
      <c r="M57" s="289" t="n">
        <v>30000</v>
      </c>
      <c r="N57" s="255" t="n">
        <v>6057</v>
      </c>
      <c r="O57" s="260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16900326</v>
      </c>
      <c r="K58" s="292"/>
      <c r="L58" s="292"/>
      <c r="M58" s="292"/>
      <c r="N58" s="153" t="s">
        <v>72</v>
      </c>
      <c r="O58" s="154" t="n">
        <f aca="false">O54+O55+O56+O57</f>
        <v>394046748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255</v>
      </c>
      <c r="BF63" s="29"/>
      <c r="BG63" s="30"/>
    </row>
    <row r="64" customFormat="false" ht="15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5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256</v>
      </c>
    </row>
    <row r="66" customFormat="false" ht="15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5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5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5" hidden="false" customHeight="false" outlineLevel="0" collapsed="false">
      <c r="BE69" s="31" t="s">
        <v>230</v>
      </c>
      <c r="BF69" s="0" t="n">
        <f aca="false">8080/10^6</f>
        <v>0.00808</v>
      </c>
      <c r="BG69" s="32" t="s">
        <v>256</v>
      </c>
    </row>
    <row r="70" customFormat="false" ht="15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5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5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260</v>
      </c>
      <c r="D75" s="293"/>
      <c r="E75" s="293"/>
      <c r="F75" s="293"/>
      <c r="G75" s="293"/>
      <c r="H75" s="294" t="s">
        <v>49</v>
      </c>
      <c r="I75" s="294"/>
      <c r="J75" s="294"/>
      <c r="K75" s="295" t="s">
        <v>261</v>
      </c>
      <c r="L75" s="295"/>
      <c r="M75" s="296" t="s">
        <v>262</v>
      </c>
      <c r="N75" s="296"/>
      <c r="O75" s="297" t="s">
        <v>263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264</v>
      </c>
      <c r="D77" s="299" t="s">
        <v>265</v>
      </c>
      <c r="E77" s="300" t="s">
        <v>266</v>
      </c>
      <c r="F77" s="301" t="s">
        <v>267</v>
      </c>
      <c r="G77" s="301" t="s">
        <v>268</v>
      </c>
      <c r="H77" s="298" t="s">
        <v>269</v>
      </c>
      <c r="I77" s="302" t="s">
        <v>270</v>
      </c>
      <c r="J77" s="303" t="s">
        <v>271</v>
      </c>
      <c r="K77" s="106" t="s">
        <v>272</v>
      </c>
      <c r="L77" s="304" t="s">
        <v>271</v>
      </c>
      <c r="M77" s="305" t="s">
        <v>273</v>
      </c>
      <c r="N77" s="306" t="s">
        <v>274</v>
      </c>
      <c r="O77" s="106" t="s">
        <v>275</v>
      </c>
      <c r="P77" s="307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8" t="n">
        <f aca="false">технолог!V27</f>
        <v>3</v>
      </c>
      <c r="D78" s="309" t="n">
        <v>3</v>
      </c>
      <c r="E78" s="310" t="n">
        <f aca="false">E101</f>
        <v>118.8600288</v>
      </c>
      <c r="F78" s="311" t="n">
        <f aca="false">E105</f>
        <v>1825.146688</v>
      </c>
      <c r="G78" s="311" t="n">
        <f aca="false">E99+E100</f>
        <v>184.67369424</v>
      </c>
      <c r="H78" s="312" t="n">
        <f aca="false">VLOOKUP(технолог!G27,B110:BB122,53,0)</f>
        <v>31.296</v>
      </c>
      <c r="I78" s="313" t="n">
        <f aca="false">VLOOKUP(технолог!G27,B110:BA122,52,0)</f>
        <v>172.267</v>
      </c>
      <c r="J78" s="312" t="n">
        <f aca="false">VLOOKUP(технолог!G27,B110:BD122,55,0)</f>
        <v>1168.044</v>
      </c>
      <c r="K78" s="310" t="n">
        <f aca="false">VLOOKUP(технолог!G27,B110:BC122,54,0)</f>
        <v>172.267</v>
      </c>
      <c r="L78" s="312" t="n">
        <f aca="false">VLOOKUP(технолог!G27,B110:BD122,55,0)</f>
        <v>1168.044</v>
      </c>
      <c r="M78" s="310" t="n">
        <f aca="false">AX151</f>
        <v>26</v>
      </c>
      <c r="N78" s="312" t="n">
        <f aca="false">AX150+AX152+AY152+AX153</f>
        <v>8</v>
      </c>
      <c r="O78" s="310" t="n">
        <f aca="false">IF(VLOOKUP(D104,B110:BI122,60,0)&lt;0,0,VLOOKUP(D104,B110:BI122,60,0))+BG147*2</f>
        <v>60</v>
      </c>
      <c r="P78" s="314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279</v>
      </c>
      <c r="E92" s="316" t="s">
        <v>280</v>
      </c>
      <c r="G92" s="0" t="s">
        <v>281</v>
      </c>
    </row>
    <row r="93" customFormat="false" ht="15.75" hidden="false" customHeight="true" outlineLevel="0" collapsed="false">
      <c r="D93" s="315" t="s">
        <v>282</v>
      </c>
      <c r="E93" s="317" t="n">
        <f aca="false">VLOOKUP(D104,B110:L122,11,0)</f>
        <v>29.6994048</v>
      </c>
      <c r="G93" s="318" t="n">
        <f aca="false">VLOOKUP(технолог!P27,AS47:AT53,2,)</f>
        <v>0.00788</v>
      </c>
    </row>
    <row r="94" customFormat="false" ht="15.75" hidden="false" customHeight="true" outlineLevel="0" collapsed="false">
      <c r="D94" s="315" t="s">
        <v>283</v>
      </c>
      <c r="E94" s="317" t="n">
        <f aca="false">VLOOKUP(D104,B110:O122,14,0)</f>
        <v>27.4148352</v>
      </c>
    </row>
    <row r="95" customFormat="false" ht="15.75" hidden="false" customHeight="true" outlineLevel="0" collapsed="false">
      <c r="D95" s="315" t="s">
        <v>284</v>
      </c>
      <c r="E95" s="317" t="n">
        <f aca="false">VLOOKUP(D104,B110:R122,17,0)</f>
        <v>43.6640256</v>
      </c>
      <c r="G95" s="0" t="s">
        <v>285</v>
      </c>
    </row>
    <row r="96" customFormat="false" ht="15.75" hidden="false" customHeight="true" outlineLevel="0" collapsed="false">
      <c r="D96" s="315" t="s">
        <v>286</v>
      </c>
      <c r="E96" s="317"/>
      <c r="G96" s="318" t="n">
        <f aca="false">VLOOKUP(технолог!Q27,AS47:AT53,2,)</f>
        <v>0.00788</v>
      </c>
    </row>
    <row r="97" customFormat="false" ht="15.75" hidden="false" customHeight="true" outlineLevel="0" collapsed="false">
      <c r="D97" s="315" t="s">
        <v>287</v>
      </c>
      <c r="E97" s="317" t="n">
        <f aca="false">VLOOKUP(D104,B110:AB122,27,0)</f>
        <v>9.0437184</v>
      </c>
    </row>
    <row r="98" customFormat="false" ht="15.75" hidden="false" customHeight="true" outlineLevel="0" collapsed="false">
      <c r="D98" s="315" t="s">
        <v>288</v>
      </c>
      <c r="E98" s="317" t="n">
        <f aca="false">VLOOKUP(D104,B110:AE122,30,0)</f>
        <v>9.0380448</v>
      </c>
      <c r="G98" s="315" t="s">
        <v>289</v>
      </c>
      <c r="H98" s="315" t="s">
        <v>290</v>
      </c>
      <c r="I98" s="315"/>
    </row>
    <row r="99" customFormat="false" ht="15.75" hidden="false" customHeight="true" outlineLevel="0" collapsed="false">
      <c r="D99" s="315" t="s">
        <v>291</v>
      </c>
      <c r="E99" s="317" t="n">
        <f aca="false">VLOOKUP(D104,B110:AH122,33,0)</f>
        <v>92.45358144</v>
      </c>
      <c r="G99" s="319" t="n">
        <f aca="false">технолог!T27+технолог!U27</f>
        <v>6</v>
      </c>
      <c r="H99" s="320" t="n">
        <f aca="false">G99*технолог!I27</f>
        <v>2406</v>
      </c>
      <c r="I99" s="320"/>
    </row>
    <row r="100" customFormat="false" ht="15.75" hidden="false" customHeight="true" outlineLevel="0" collapsed="false">
      <c r="D100" s="315" t="s">
        <v>292</v>
      </c>
      <c r="E100" s="317" t="n">
        <f aca="false">VLOOKUP(D104,B110:AK122,36,0)</f>
        <v>92.2201128</v>
      </c>
    </row>
    <row r="101" customFormat="false" ht="15.75" hidden="false" customHeight="true" outlineLevel="0" collapsed="false">
      <c r="D101" s="315" t="s">
        <v>72</v>
      </c>
      <c r="E101" s="321" t="n">
        <f aca="false">SUM(E93:E98)</f>
        <v>118.8600288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293</v>
      </c>
      <c r="E103" s="315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1825.146688</v>
      </c>
      <c r="AL104" s="28" t="s">
        <v>296</v>
      </c>
      <c r="AM104" s="29"/>
      <c r="AN104" s="30"/>
      <c r="AO104" s="322" t="s">
        <v>297</v>
      </c>
      <c r="AP104" s="28" t="s">
        <v>296</v>
      </c>
      <c r="AQ104" s="29"/>
      <c r="AR104" s="30"/>
      <c r="AS104" s="322" t="s">
        <v>297</v>
      </c>
    </row>
    <row r="105" customFormat="false" ht="15.75" hidden="false" customHeight="true" outlineLevel="0" collapsed="false">
      <c r="D105" s="315" t="s">
        <v>72</v>
      </c>
      <c r="E105" s="321" t="n">
        <f aca="false">E104</f>
        <v>1825.146688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298</v>
      </c>
      <c r="W107" s="324"/>
      <c r="X107" s="324"/>
      <c r="Y107" s="324"/>
    </row>
    <row r="108" customFormat="false" ht="15.75" hidden="false" customHeight="true" outlineLevel="0" collapsed="false">
      <c r="B108" s="325" t="s">
        <v>299</v>
      </c>
      <c r="C108" s="326"/>
      <c r="D108" s="326"/>
      <c r="E108" s="326"/>
      <c r="F108" s="326"/>
      <c r="G108" s="326"/>
      <c r="H108" s="316"/>
      <c r="I108" s="315"/>
      <c r="J108" s="315" t="s">
        <v>300</v>
      </c>
      <c r="K108" s="315" t="s">
        <v>301</v>
      </c>
      <c r="L108" s="315" t="s">
        <v>302</v>
      </c>
      <c r="M108" s="315" t="s">
        <v>300</v>
      </c>
      <c r="N108" s="315" t="s">
        <v>301</v>
      </c>
      <c r="O108" s="315" t="s">
        <v>302</v>
      </c>
      <c r="P108" s="315" t="s">
        <v>301</v>
      </c>
      <c r="Q108" s="315" t="s">
        <v>300</v>
      </c>
      <c r="R108" s="315" t="s">
        <v>303</v>
      </c>
      <c r="S108" s="315" t="s">
        <v>300</v>
      </c>
      <c r="T108" s="327" t="s">
        <v>300</v>
      </c>
      <c r="U108" s="327" t="s">
        <v>301</v>
      </c>
      <c r="V108" s="327" t="s">
        <v>304</v>
      </c>
      <c r="W108" s="327" t="s">
        <v>300</v>
      </c>
      <c r="X108" s="327" t="s">
        <v>305</v>
      </c>
      <c r="Y108" s="327" t="s">
        <v>306</v>
      </c>
      <c r="Z108" s="315" t="s">
        <v>300</v>
      </c>
      <c r="AA108" s="315" t="s">
        <v>307</v>
      </c>
      <c r="AB108" s="315" t="s">
        <v>304</v>
      </c>
      <c r="AC108" s="315" t="s">
        <v>300</v>
      </c>
      <c r="AD108" s="315" t="s">
        <v>307</v>
      </c>
      <c r="AE108" s="315" t="s">
        <v>304</v>
      </c>
      <c r="AF108" s="325" t="s">
        <v>301</v>
      </c>
      <c r="AG108" s="326" t="s">
        <v>300</v>
      </c>
      <c r="AH108" s="326" t="s">
        <v>304</v>
      </c>
      <c r="AI108" s="326" t="s">
        <v>301</v>
      </c>
      <c r="AJ108" s="326" t="s">
        <v>300</v>
      </c>
      <c r="AK108" s="316" t="s">
        <v>304</v>
      </c>
      <c r="AO108" s="324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8" t="s">
        <v>310</v>
      </c>
      <c r="F109" s="328" t="s">
        <v>311</v>
      </c>
      <c r="G109" s="30" t="s">
        <v>312</v>
      </c>
      <c r="H109" s="315" t="s">
        <v>313</v>
      </c>
      <c r="I109" s="315" t="s">
        <v>314</v>
      </c>
      <c r="J109" s="329" t="s">
        <v>315</v>
      </c>
      <c r="K109" s="329"/>
      <c r="L109" s="329"/>
      <c r="M109" s="329" t="s">
        <v>316</v>
      </c>
      <c r="N109" s="329"/>
      <c r="O109" s="329"/>
      <c r="P109" s="330" t="s">
        <v>317</v>
      </c>
      <c r="Q109" s="330"/>
      <c r="R109" s="330"/>
      <c r="S109" s="331" t="s">
        <v>318</v>
      </c>
      <c r="T109" s="332" t="s">
        <v>319</v>
      </c>
      <c r="U109" s="332"/>
      <c r="V109" s="332"/>
      <c r="W109" s="332" t="s">
        <v>320</v>
      </c>
      <c r="X109" s="332"/>
      <c r="Y109" s="332"/>
      <c r="Z109" s="329" t="s">
        <v>321</v>
      </c>
      <c r="AA109" s="329"/>
      <c r="AB109" s="329"/>
      <c r="AC109" s="329" t="s">
        <v>322</v>
      </c>
      <c r="AD109" s="329"/>
      <c r="AE109" s="329"/>
      <c r="AF109" s="329" t="s">
        <v>323</v>
      </c>
      <c r="AG109" s="329"/>
      <c r="AH109" s="329"/>
      <c r="AI109" s="329" t="s">
        <v>324</v>
      </c>
      <c r="AJ109" s="329"/>
      <c r="AK109" s="329"/>
      <c r="AL109" s="28" t="s">
        <v>325</v>
      </c>
      <c r="AM109" s="29" t="s">
        <v>326</v>
      </c>
      <c r="AN109" s="29" t="s">
        <v>327</v>
      </c>
      <c r="AO109" s="333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4" t="s">
        <v>332</v>
      </c>
      <c r="AU109" s="335" t="s">
        <v>333</v>
      </c>
      <c r="AV109" s="336" t="s">
        <v>334</v>
      </c>
      <c r="AW109" s="334" t="s">
        <v>323</v>
      </c>
      <c r="AX109" s="336" t="s">
        <v>335</v>
      </c>
      <c r="AY109" s="334" t="s">
        <v>336</v>
      </c>
      <c r="AZ109" s="336" t="s">
        <v>337</v>
      </c>
      <c r="BA109" s="337" t="s">
        <v>338</v>
      </c>
      <c r="BB109" s="328" t="s">
        <v>339</v>
      </c>
      <c r="BC109" s="338" t="s">
        <v>340</v>
      </c>
      <c r="BD109" s="339" t="s">
        <v>341</v>
      </c>
      <c r="BE109" s="337" t="s">
        <v>342</v>
      </c>
      <c r="BF109" s="338" t="s">
        <v>343</v>
      </c>
      <c r="BG109" s="325" t="s">
        <v>344</v>
      </c>
      <c r="BH109" s="316" t="s">
        <v>345</v>
      </c>
      <c r="BI109" s="322" t="s">
        <v>346</v>
      </c>
    </row>
    <row r="110" customFormat="false" ht="15.75" hidden="false" customHeight="true" outlineLevel="0" collapsed="false">
      <c r="B110" s="31" t="s">
        <v>188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90.60639912</v>
      </c>
      <c r="I110" s="325" t="n">
        <v>40</v>
      </c>
      <c r="J110" s="343" t="n">
        <f aca="false">I110+20</f>
        <v>60</v>
      </c>
      <c r="K110" s="344" t="n">
        <f aca="false">$H$99+10</f>
        <v>2416</v>
      </c>
      <c r="L110" s="344" t="n">
        <f aca="false">J110*K110*$D$78*$G$93/1000*4</f>
        <v>13.7074176</v>
      </c>
      <c r="M110" s="343" t="n">
        <f aca="false">I110+10</f>
        <v>50</v>
      </c>
      <c r="N110" s="344" t="n">
        <f aca="false">$H$99+10</f>
        <v>2416</v>
      </c>
      <c r="O110" s="30" t="n">
        <f aca="false">M110*N110*$D$78*$G$93/1000*4</f>
        <v>11.422848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2.56678392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5142</v>
      </c>
      <c r="AB110" s="30" t="n">
        <f aca="false">Z110*AA110*$D$78*$G$93/1000*2</f>
        <v>3.88982016</v>
      </c>
      <c r="AC110" s="28" t="n">
        <f aca="false">S110+5</f>
        <v>16</v>
      </c>
      <c r="AD110" s="29" t="n">
        <f aca="false">($H$99+S110)*2+(D110+15+S110)*2</f>
        <v>5142</v>
      </c>
      <c r="AE110" s="30" t="n">
        <f aca="false">AC110*AD110*$D$78*$G$93/1000*2</f>
        <v>3.88982016</v>
      </c>
      <c r="AF110" s="28" t="n">
        <f aca="false">$H$99+S110+S110+3+10</f>
        <v>2441</v>
      </c>
      <c r="AG110" s="29" t="n">
        <f aca="false">C110+2*S110+10</f>
        <v>175</v>
      </c>
      <c r="AH110" s="30" t="n">
        <f aca="false">AF110*AG110*$C$78*$G$96/1000*2</f>
        <v>20.196834</v>
      </c>
      <c r="AI110" s="28" t="n">
        <f aca="false">$H$99+S110+S110+3+10</f>
        <v>2441</v>
      </c>
      <c r="AJ110" s="29" t="n">
        <f aca="false">D110+15+2*S110+10</f>
        <v>175</v>
      </c>
      <c r="AK110" s="30" t="n">
        <f aca="false">AI110*AJ110*$C$78*$G$96/1000*2</f>
        <v>20.196834</v>
      </c>
      <c r="AL110" s="347" t="n">
        <f aca="false">(технолог!$I$27/2*((5+6)*2+технолог!$T$27-0.5)+J110*2+K110)/1000*4</f>
        <v>31.397</v>
      </c>
      <c r="AM110" s="347" t="n">
        <f aca="false">(M110*2+N110*2)/1000*4</f>
        <v>19.728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41.488</v>
      </c>
      <c r="AQ110" s="347" t="n">
        <f aca="false">(AD110*2+S110*8)/1000*4</f>
        <v>41.488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217.342</v>
      </c>
      <c r="AW110" s="350" t="n">
        <f aca="false">(AF110*2+AG110*2)*2/1000+AY110</f>
        <v>11.5104</v>
      </c>
      <c r="AX110" s="349" t="n">
        <f aca="false">(AI110*2+AJ110*2)*2/1000+AZ110</f>
        <v>11.5104</v>
      </c>
      <c r="AY110" s="350" t="n">
        <f aca="false">(AF110/100+AG110/100)*20/1000*2</f>
        <v>1.0464</v>
      </c>
      <c r="AZ110" s="347" t="n">
        <f aca="false">((AI110/100+AJ110/100)*20)/1000*2</f>
        <v>1.0464</v>
      </c>
      <c r="BA110" s="350" t="n">
        <f aca="false">SUM(AL110:AN110,AP110:AS110)</f>
        <v>138.145</v>
      </c>
      <c r="BB110" s="347" t="n">
        <f aca="false">SUM(AW110:AZ110)</f>
        <v>25.1136</v>
      </c>
      <c r="BC110" s="349" t="n">
        <f aca="false">SUM(AL110:AN110,AP110:AS110)</f>
        <v>138.145</v>
      </c>
      <c r="BD110" s="350" t="n">
        <f aca="false">SUM(AT110:AV110)</f>
        <v>219.022</v>
      </c>
      <c r="BE110" s="351" t="n">
        <f aca="false">$AZ$134+$BA$134</f>
        <v>14</v>
      </c>
      <c r="BF110" s="352" t="n">
        <f aca="false">$BC$134+$BD$134</f>
        <v>8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44</v>
      </c>
    </row>
    <row r="111" customFormat="false" ht="15.75" hidden="false" customHeight="true" outlineLevel="0" collapsed="false">
      <c r="B111" s="206" t="s">
        <v>196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205.3922</v>
      </c>
      <c r="I111" s="325" t="n">
        <v>40</v>
      </c>
      <c r="J111" s="356" t="n">
        <f aca="false">I111+20</f>
        <v>60</v>
      </c>
      <c r="K111" s="340" t="n">
        <f aca="false">$H$99+10</f>
        <v>2416</v>
      </c>
      <c r="L111" s="340" t="n">
        <f aca="false">J111*K111*$D$78*$G$93/1000*4</f>
        <v>13.7074176</v>
      </c>
      <c r="M111" s="356" t="n">
        <f aca="false">I111+10</f>
        <v>50</v>
      </c>
      <c r="N111" s="340" t="n">
        <f aca="false">$H$99+10</f>
        <v>2416</v>
      </c>
      <c r="O111" s="32" t="n">
        <f aca="false">M111*N111*$D$78*$G$93/1000*4</f>
        <v>11.422848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4.75111992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5310</v>
      </c>
      <c r="AB111" s="32" t="n">
        <f aca="false">Z111*AA111*$D$78*$G$93/1000*2</f>
        <v>4.0169088</v>
      </c>
      <c r="AC111" s="31" t="n">
        <f aca="false">S111+5</f>
        <v>16</v>
      </c>
      <c r="AD111" s="0" t="n">
        <f aca="false">($H$99+S111)*2+(D111+15+S111)*2</f>
        <v>5310</v>
      </c>
      <c r="AE111" s="32" t="n">
        <f aca="false">AC111*AD111*$D$78*$G$93/1000*2</f>
        <v>4.0169088</v>
      </c>
      <c r="AF111" s="31" t="n">
        <f aca="false">$H$99+S111+S111+3+10</f>
        <v>2441</v>
      </c>
      <c r="AG111" s="0" t="n">
        <f aca="false">C111+2*S111+10</f>
        <v>259</v>
      </c>
      <c r="AH111" s="32" t="n">
        <f aca="false">AF111*AG111*$C$78*$G$96/1000*2</f>
        <v>29.89131432</v>
      </c>
      <c r="AI111" s="31" t="n">
        <f aca="false">$H$99+S111+S111+3+10</f>
        <v>2441</v>
      </c>
      <c r="AJ111" s="0" t="n">
        <f aca="false">D111+15+2*S111+10</f>
        <v>259</v>
      </c>
      <c r="AK111" s="32" t="n">
        <f aca="false">AI111*AJ111*$C$78*$G$96/1000*2</f>
        <v>29.89131432</v>
      </c>
      <c r="AL111" s="353" t="n">
        <f aca="false">(технолог!$I$27/2*((5+6)*2+технолог!$T$27-0.5)+J111*2+K111)/1000*4</f>
        <v>31.397</v>
      </c>
      <c r="AM111" s="353" t="n">
        <f aca="false">(M111*2+N111*2)/1000*4</f>
        <v>19.728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42.832</v>
      </c>
      <c r="AQ111" s="353" t="n">
        <f aca="false">(AD111*2+S111*8)/1000*4</f>
        <v>42.832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352.078</v>
      </c>
      <c r="AW111" s="361" t="n">
        <f aca="false">(AF111*2+AG111*2)*2/1000+AY111</f>
        <v>11.88</v>
      </c>
      <c r="AX111" s="360" t="n">
        <f aca="false">(AI111*2+AJ111*2)*2/1000+AZ111</f>
        <v>11.88</v>
      </c>
      <c r="AY111" s="361" t="n">
        <f aca="false">(AF111/100+AG111/100)*20/1000*2</f>
        <v>1.08</v>
      </c>
      <c r="AZ111" s="353" t="n">
        <f aca="false">((AI111/100+AJ111/100)*20)/1000*2</f>
        <v>1.08</v>
      </c>
      <c r="BA111" s="361" t="n">
        <f aca="false">SUM(AL111:AN111,AP111:AS111)</f>
        <v>142.345</v>
      </c>
      <c r="BB111" s="353" t="n">
        <f aca="false">SUM(AW111:AZ111)</f>
        <v>25.92</v>
      </c>
      <c r="BC111" s="360" t="n">
        <f aca="false">SUM(AL111:AN111,AP111:AS111)</f>
        <v>142.345</v>
      </c>
      <c r="BD111" s="361" t="n">
        <f aca="false">SUM(AT111:AV111)</f>
        <v>354.598</v>
      </c>
      <c r="BE111" s="236" t="n">
        <f aca="false">$AZ$134+$BA$134</f>
        <v>14</v>
      </c>
      <c r="BF111" s="362" t="n">
        <f aca="false">$BC$134+$BD$134</f>
        <v>8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44</v>
      </c>
    </row>
    <row r="112" customFormat="false" ht="15.75" hidden="false" customHeight="true" outlineLevel="0" collapsed="false">
      <c r="B112" s="206" t="s">
        <v>201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333.446337</v>
      </c>
      <c r="I112" s="325" t="n">
        <v>50</v>
      </c>
      <c r="J112" s="356" t="n">
        <f aca="false">I112+20</f>
        <v>70</v>
      </c>
      <c r="K112" s="340" t="n">
        <f aca="false">$H$99+10</f>
        <v>2416</v>
      </c>
      <c r="L112" s="340" t="n">
        <f aca="false">J112*K112*$D$78*$G$93/1000*4</f>
        <v>15.9919872</v>
      </c>
      <c r="M112" s="356" t="n">
        <f aca="false">I112+10</f>
        <v>60</v>
      </c>
      <c r="N112" s="340" t="n">
        <f aca="false">$H$99+10</f>
        <v>2416</v>
      </c>
      <c r="O112" s="32" t="n">
        <f aca="false">M112*N112*$D$78*$G$93/1000*4</f>
        <v>13.7074176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8.02549632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5460</v>
      </c>
      <c r="AB112" s="32" t="n">
        <f aca="false">Z112*AA112*$D$78*$G$93/1000*2</f>
        <v>4.1303808</v>
      </c>
      <c r="AC112" s="31" t="n">
        <f aca="false">S112+5</f>
        <v>16</v>
      </c>
      <c r="AD112" s="0" t="n">
        <f aca="false">($H$99+S112)*2+(D112+15+S112)*2</f>
        <v>5460</v>
      </c>
      <c r="AE112" s="32" t="n">
        <f aca="false">AC112*AD112*$D$78*$G$93/1000*2</f>
        <v>4.1303808</v>
      </c>
      <c r="AF112" s="31" t="n">
        <f aca="false">$H$99+S112+S112+3+10</f>
        <v>2441</v>
      </c>
      <c r="AG112" s="0" t="n">
        <f aca="false">C112+2*S112+10</f>
        <v>334</v>
      </c>
      <c r="AH112" s="32" t="n">
        <f aca="false">AF112*AG112*$C$78*$G$96/1000*2</f>
        <v>38.54710032</v>
      </c>
      <c r="AI112" s="31" t="n">
        <f aca="false">$H$99+S112+S112+3+10</f>
        <v>2441</v>
      </c>
      <c r="AJ112" s="0" t="n">
        <f aca="false">D112+15+2*S112+10</f>
        <v>334</v>
      </c>
      <c r="AK112" s="32" t="n">
        <f aca="false">AI112*AJ112*$C$78*$G$96/1000*2</f>
        <v>38.54710032</v>
      </c>
      <c r="AL112" s="353" t="n">
        <f aca="false">(технолог!$I$27/2*((5+6)*2+технолог!$T$27-0.5)+J112*2+K112)/1000*4</f>
        <v>31.477</v>
      </c>
      <c r="AM112" s="353" t="n">
        <f aca="false">(M112*2+N112*2)/1000*4</f>
        <v>19.808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44.032</v>
      </c>
      <c r="AQ112" s="353" t="n">
        <f aca="false">(AD112*2+S112*8)/1000*4</f>
        <v>44.032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472.378</v>
      </c>
      <c r="AW112" s="361" t="n">
        <f aca="false">(AF112*2+AG112*2)*2/1000+AY112</f>
        <v>12.21</v>
      </c>
      <c r="AX112" s="360" t="n">
        <f aca="false">(AI112*2+AJ112*2)*2/1000+AZ112</f>
        <v>12.21</v>
      </c>
      <c r="AY112" s="361" t="n">
        <f aca="false">(AF112/100+AG112/100)*20/1000*2</f>
        <v>1.11</v>
      </c>
      <c r="AZ112" s="353" t="n">
        <f aca="false">((AI112/100+AJ112/100)*20)/1000*2</f>
        <v>1.11</v>
      </c>
      <c r="BA112" s="361" t="n">
        <f aca="false">SUM(AL112:AN112,AP112:AS112)</f>
        <v>146.515</v>
      </c>
      <c r="BB112" s="353" t="n">
        <f aca="false">SUM(AW112:AZ112)</f>
        <v>26.64</v>
      </c>
      <c r="BC112" s="360" t="n">
        <f aca="false">SUM(AL112:AN112,AP112:AS112)</f>
        <v>146.515</v>
      </c>
      <c r="BD112" s="361" t="n">
        <f aca="false">SUM(AT112:AV112)</f>
        <v>475.648</v>
      </c>
      <c r="BE112" s="236" t="n">
        <f aca="false">$AZ$134+$BA$134</f>
        <v>14</v>
      </c>
      <c r="BF112" s="362" t="n">
        <f aca="false">$BC$134+$BD$134</f>
        <v>8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44</v>
      </c>
    </row>
    <row r="113" customFormat="false" ht="15.75" hidden="false" customHeight="true" outlineLevel="0" collapsed="false">
      <c r="B113" s="206" t="s">
        <v>208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511.742566</v>
      </c>
      <c r="I113" s="325" t="n">
        <v>60</v>
      </c>
      <c r="J113" s="356" t="n">
        <f aca="false">I113+20</f>
        <v>80</v>
      </c>
      <c r="K113" s="340" t="n">
        <f aca="false">$H$99+10</f>
        <v>2416</v>
      </c>
      <c r="L113" s="340" t="n">
        <f aca="false">J113*K113*$D$78*$G$93/1000*4</f>
        <v>18.2765568</v>
      </c>
      <c r="M113" s="356" t="n">
        <f aca="false">I113+10</f>
        <v>70</v>
      </c>
      <c r="N113" s="340" t="n">
        <f aca="false">$H$99+10</f>
        <v>2416</v>
      </c>
      <c r="O113" s="32" t="n">
        <f aca="false">M113*N113*$D$78*$G$93/1000*4</f>
        <v>15.9919872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12.0098292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5614</v>
      </c>
      <c r="AB113" s="32" t="n">
        <f aca="false">Z113*AA113*$D$78*$G$93/1000*2</f>
        <v>5.04316848</v>
      </c>
      <c r="AC113" s="31" t="n">
        <f aca="false">S113+5</f>
        <v>19</v>
      </c>
      <c r="AD113" s="0" t="n">
        <f aca="false">($H$99+S113)*2+(D113+15+S113)*2</f>
        <v>5618</v>
      </c>
      <c r="AE113" s="32" t="n">
        <f aca="false">AC113*AD113*$D$78*$G$93/1000*2</f>
        <v>5.04676176</v>
      </c>
      <c r="AF113" s="31" t="n">
        <f aca="false">$H$99+S113+S113+3+10</f>
        <v>2447</v>
      </c>
      <c r="AG113" s="0" t="n">
        <f aca="false">C113+2*S113+10</f>
        <v>411</v>
      </c>
      <c r="AH113" s="32" t="n">
        <f aca="false">AF113*AG113*$C$78*$G$96/1000*2</f>
        <v>47.55029976</v>
      </c>
      <c r="AI113" s="31" t="n">
        <f aca="false">$H$99+S113+S113+3+10</f>
        <v>2447</v>
      </c>
      <c r="AJ113" s="0" t="n">
        <f aca="false">D113+15+2*S113+10</f>
        <v>413</v>
      </c>
      <c r="AK113" s="32" t="n">
        <f aca="false">AI113*AJ113*$C$78*$G$96/1000*2</f>
        <v>47.78168808</v>
      </c>
      <c r="AL113" s="353" t="n">
        <f aca="false">(технолог!$I$27/2*((5+6)*2+технолог!$T$27-0.5)+J113*2+K113)/1000*4</f>
        <v>31.557</v>
      </c>
      <c r="AM113" s="353" t="n">
        <f aca="false">(M113*2+N113*2)/1000*4</f>
        <v>19.888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45.36</v>
      </c>
      <c r="AQ113" s="353" t="n">
        <f aca="false">(AD113*2+S113*8)/1000*4</f>
        <v>45.392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587.866</v>
      </c>
      <c r="AW113" s="361" t="n">
        <f aca="false">(AF113*2+AG113*2)*2/1000+AY113</f>
        <v>12.5752</v>
      </c>
      <c r="AX113" s="360" t="n">
        <f aca="false">(AI113*2+AJ113*2)*2/1000+AZ113</f>
        <v>12.584</v>
      </c>
      <c r="AY113" s="361" t="n">
        <f aca="false">(AF113/100+AG113/100)*20/1000*2</f>
        <v>1.1432</v>
      </c>
      <c r="AZ113" s="353" t="n">
        <f aca="false">((AI113/100+AJ113/100)*20)/1000*2</f>
        <v>1.144</v>
      </c>
      <c r="BA113" s="361" t="n">
        <f aca="false">SUM(AL113:AN113,AP113:AS113)</f>
        <v>150.929</v>
      </c>
      <c r="BB113" s="353" t="n">
        <f aca="false">SUM(AW113:AZ113)</f>
        <v>27.4464</v>
      </c>
      <c r="BC113" s="360" t="n">
        <f aca="false">SUM(AL113:AN113,AP113:AS113)</f>
        <v>150.929</v>
      </c>
      <c r="BD113" s="361" t="n">
        <f aca="false">SUM(AT113:AV113)</f>
        <v>591.866</v>
      </c>
      <c r="BE113" s="236" t="n">
        <f aca="false">$AZ$134+$BA$134</f>
        <v>14</v>
      </c>
      <c r="BF113" s="362" t="n">
        <f aca="false">$BC$134+$BD$134</f>
        <v>8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44</v>
      </c>
    </row>
    <row r="114" customFormat="false" ht="15.75" hidden="false" customHeight="true" outlineLevel="0" collapsed="false">
      <c r="B114" s="206" t="s">
        <v>219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821.884788</v>
      </c>
      <c r="I114" s="325" t="n">
        <v>70</v>
      </c>
      <c r="J114" s="356" t="n">
        <f aca="false">I114+20</f>
        <v>90</v>
      </c>
      <c r="K114" s="340" t="n">
        <f aca="false">$H$99+10</f>
        <v>2416</v>
      </c>
      <c r="L114" s="340" t="n">
        <f aca="false">J114*K114*$D$78*$G$93/1000*4</f>
        <v>20.5611264</v>
      </c>
      <c r="M114" s="356" t="n">
        <f aca="false">I114+10</f>
        <v>80</v>
      </c>
      <c r="N114" s="340" t="n">
        <f aca="false">$H$99+10</f>
        <v>2416</v>
      </c>
      <c r="O114" s="32" t="n">
        <f aca="false">M114*N114*$D$78*$G$93/1000*4</f>
        <v>18.2765568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18.3503136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5828</v>
      </c>
      <c r="AB114" s="32" t="n">
        <f aca="false">Z114*AA114*$D$78*$G$93/1000*2</f>
        <v>5.78650464</v>
      </c>
      <c r="AC114" s="31" t="n">
        <f aca="false">S114+5</f>
        <v>21</v>
      </c>
      <c r="AD114" s="0" t="n">
        <f aca="false">($H$99+S114)*2+(D114+15+S114)*2</f>
        <v>5816</v>
      </c>
      <c r="AE114" s="32" t="n">
        <f aca="false">AC114*AD114*$D$78*$G$93/1000*2</f>
        <v>5.77459008</v>
      </c>
      <c r="AF114" s="31" t="n">
        <f aca="false">$H$99+S114+S114+3+10</f>
        <v>2451</v>
      </c>
      <c r="AG114" s="0" t="n">
        <f aca="false">C114+2*S114+10</f>
        <v>518</v>
      </c>
      <c r="AH114" s="32" t="n">
        <f aca="false">AF114*AG114*$C$78*$G$96/1000*2</f>
        <v>60.02753904</v>
      </c>
      <c r="AI114" s="31" t="n">
        <f aca="false">$H$99+S114+S114+3+10</f>
        <v>2451</v>
      </c>
      <c r="AJ114" s="0" t="n">
        <f aca="false">D114+15+2*S114+10</f>
        <v>512</v>
      </c>
      <c r="AK114" s="32" t="n">
        <f aca="false">AI114*AJ114*$C$78*$G$96/1000*2</f>
        <v>59.33223936</v>
      </c>
      <c r="AL114" s="353" t="n">
        <f aca="false">(технолог!$I$27/2*((5+6)*2+технолог!$T$27-0.5)+J114*2+K114)/1000*4</f>
        <v>31.637</v>
      </c>
      <c r="AM114" s="353" t="n">
        <f aca="false">(M114*2+N114*2)/1000*4</f>
        <v>19.968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47.136</v>
      </c>
      <c r="AQ114" s="353" t="n">
        <f aca="false">(AD114*2+S114*8)/1000*4</f>
        <v>47.04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746.662</v>
      </c>
      <c r="AW114" s="361" t="n">
        <f aca="false">(AF114*2+AG114*2)*2/1000+AY114</f>
        <v>13.0636</v>
      </c>
      <c r="AX114" s="360" t="n">
        <f aca="false">(AI114*2+AJ114*2)*2/1000+AZ114</f>
        <v>13.0372</v>
      </c>
      <c r="AY114" s="361" t="n">
        <f aca="false">(AF114/100+AG114/100)*20/1000*2</f>
        <v>1.1876</v>
      </c>
      <c r="AZ114" s="353" t="n">
        <f aca="false">((AI114/100+AJ114/100)*20)/1000*2</f>
        <v>1.1852</v>
      </c>
      <c r="BA114" s="361" t="n">
        <f aca="false">SUM(AL114:AN114,AP114:AS114)</f>
        <v>156.515</v>
      </c>
      <c r="BB114" s="353" t="n">
        <f aca="false">SUM(AW114:AZ114)</f>
        <v>28.4736</v>
      </c>
      <c r="BC114" s="360" t="n">
        <f aca="false">SUM(AL114:AN114,AP114:AS114)</f>
        <v>156.515</v>
      </c>
      <c r="BD114" s="361" t="n">
        <f aca="false">SUM(AT114:AV114)</f>
        <v>751.612</v>
      </c>
      <c r="BE114" s="236" t="n">
        <f aca="false">$AZ$134+$BA$134</f>
        <v>14</v>
      </c>
      <c r="BF114" s="362" t="n">
        <f aca="false">$BC$134+$BD$134</f>
        <v>8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44</v>
      </c>
    </row>
    <row r="115" customFormat="false" ht="15.75" hidden="false" customHeight="true" outlineLevel="0" collapsed="false">
      <c r="B115" s="206" t="s">
        <v>214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420.6116268</v>
      </c>
      <c r="I115" s="325" t="n">
        <v>70</v>
      </c>
      <c r="J115" s="356" t="n">
        <f aca="false">I115+20</f>
        <v>90</v>
      </c>
      <c r="K115" s="340" t="n">
        <f aca="false">$H$99+10</f>
        <v>2416</v>
      </c>
      <c r="L115" s="340" t="n">
        <f aca="false">J115*K115*$D$78*$G$93/1000*4</f>
        <v>20.5611264</v>
      </c>
      <c r="M115" s="356" t="n">
        <f aca="false">I115+10</f>
        <v>80</v>
      </c>
      <c r="N115" s="340" t="n">
        <f aca="false">$H$99+10</f>
        <v>2416</v>
      </c>
      <c r="O115" s="32" t="n">
        <f aca="false">M115*N115*$D$78*$G$93/1000*4</f>
        <v>18.2765568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11.9868984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5828</v>
      </c>
      <c r="AB115" s="32" t="n">
        <f aca="false">Z115*AA115*$D$78*$G$93/1000*2</f>
        <v>5.78650464</v>
      </c>
      <c r="AC115" s="31" t="n">
        <f aca="false">S115+5</f>
        <v>21</v>
      </c>
      <c r="AD115" s="0" t="n">
        <f aca="false">($H$99+S115)*2+(D115+15+S115)*2</f>
        <v>5386</v>
      </c>
      <c r="AE115" s="32" t="n">
        <f aca="false">AC115*AD115*$D$78*$G$93/1000*2</f>
        <v>5.34765168</v>
      </c>
      <c r="AF115" s="31" t="n">
        <f aca="false">$H$99+S115+S115+3+10</f>
        <v>2451</v>
      </c>
      <c r="AG115" s="0" t="n">
        <f aca="false">C115+2*S115+10</f>
        <v>518</v>
      </c>
      <c r="AH115" s="32" t="n">
        <f aca="false">AF115*AG115*$C$78*$G$96/1000*2</f>
        <v>60.02753904</v>
      </c>
      <c r="AI115" s="31" t="n">
        <f aca="false">$H$99+S115+S115+3+10</f>
        <v>2451</v>
      </c>
      <c r="AJ115" s="0" t="n">
        <f aca="false">D115+15+2*S115+10</f>
        <v>297</v>
      </c>
      <c r="AK115" s="32" t="n">
        <f aca="false">AI115*AJ115*$C$78*$G$96/1000*2</f>
        <v>34.41733416</v>
      </c>
      <c r="AL115" s="353" t="n">
        <f aca="false">(технолог!$I$27/2*((5+6)*2+технолог!$T$27-0.5)+J115*2+K115)/1000*4</f>
        <v>31.637</v>
      </c>
      <c r="AM115" s="353" t="n">
        <f aca="false">(M115*2+N115*2)/1000*4</f>
        <v>19.968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47.136</v>
      </c>
      <c r="AQ115" s="353" t="n">
        <f aca="false">(AD115*2+S115*8)/1000*4</f>
        <v>43.6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574.232</v>
      </c>
      <c r="AW115" s="361" t="n">
        <f aca="false">(AF115*2+AG115*2)*2/1000+AY115</f>
        <v>13.0636</v>
      </c>
      <c r="AX115" s="360" t="n">
        <f aca="false">(AI115*2+AJ115*2)*2/1000+AZ115</f>
        <v>12.0912</v>
      </c>
      <c r="AY115" s="361" t="n">
        <f aca="false">(AF115/100+AG115/100)*20/1000*2</f>
        <v>1.1876</v>
      </c>
      <c r="AZ115" s="353" t="n">
        <f aca="false">((AI115/100+AJ115/100)*20)/1000*2</f>
        <v>1.0992</v>
      </c>
      <c r="BA115" s="361" t="n">
        <f aca="false">SUM(AL115:AN115,AP115:AS115)</f>
        <v>150.065</v>
      </c>
      <c r="BB115" s="353" t="n">
        <f aca="false">SUM(AW115:AZ115)</f>
        <v>27.4416</v>
      </c>
      <c r="BC115" s="360" t="n">
        <f aca="false">SUM(AL115:AN115,AP115:AS115)</f>
        <v>150.065</v>
      </c>
      <c r="BD115" s="361" t="n">
        <f aca="false">SUM(AT115:AV115)</f>
        <v>577.032</v>
      </c>
      <c r="BE115" s="236" t="n">
        <f aca="false">$AZ$134+$BA$134</f>
        <v>14</v>
      </c>
      <c r="BF115" s="362" t="n">
        <f aca="false">$BC$134+$BD$134</f>
        <v>8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44</v>
      </c>
    </row>
    <row r="116" customFormat="false" ht="15.75" hidden="false" customHeight="true" outlineLevel="0" collapsed="false">
      <c r="B116" s="206" t="s">
        <v>225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1254.156372</v>
      </c>
      <c r="I116" s="325" t="n">
        <v>70</v>
      </c>
      <c r="J116" s="356" t="n">
        <f aca="false">I116+20</f>
        <v>90</v>
      </c>
      <c r="K116" s="340" t="n">
        <f aca="false">$H$99+10</f>
        <v>2416</v>
      </c>
      <c r="L116" s="340" t="n">
        <f aca="false">J116*K116*$D$78*$G$93/1000*4</f>
        <v>20.5611264</v>
      </c>
      <c r="M116" s="356" t="n">
        <f aca="false">I116+10</f>
        <v>80</v>
      </c>
      <c r="N116" s="340" t="n">
        <f aca="false">$H$99+10</f>
        <v>2416</v>
      </c>
      <c r="O116" s="32" t="n">
        <f aca="false">M116*N116*$D$78*$G$93/1000*4</f>
        <v>18.2765568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26.769936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6066</v>
      </c>
      <c r="AB116" s="32" t="n">
        <f aca="false">Z116*AA116*$D$78*$G$93/1000*2</f>
        <v>6.02281008</v>
      </c>
      <c r="AC116" s="31" t="n">
        <f aca="false">S116+5</f>
        <v>21</v>
      </c>
      <c r="AD116" s="0" t="n">
        <f aca="false">($H$99+S116)*2+(D116+15+S116)*2</f>
        <v>6096</v>
      </c>
      <c r="AE116" s="32" t="n">
        <f aca="false">AC116*AD116*$D$78*$G$93/1000*2</f>
        <v>6.05259648</v>
      </c>
      <c r="AF116" s="31" t="n">
        <f aca="false">$H$99+S116+S116+3+10</f>
        <v>2451</v>
      </c>
      <c r="AG116" s="0" t="n">
        <f aca="false">C116+2*S116+10</f>
        <v>637</v>
      </c>
      <c r="AH116" s="32" t="n">
        <f aca="false">AF116*AG116*$C$78*$G$96/1000*2</f>
        <v>73.81764936</v>
      </c>
      <c r="AI116" s="31" t="n">
        <f aca="false">$H$99+S116+S116+3+10</f>
        <v>2451</v>
      </c>
      <c r="AJ116" s="0" t="n">
        <f aca="false">D116+15+2*S116+10</f>
        <v>652</v>
      </c>
      <c r="AK116" s="32" t="n">
        <f aca="false">AI116*AJ116*$C$78*$G$96/1000*2</f>
        <v>75.55589856</v>
      </c>
      <c r="AL116" s="353" t="n">
        <f aca="false">(технолог!$I$27/2*((5+6)*2+технолог!$T$27-0.5)+J116*2+K116)/1000*4</f>
        <v>31.637</v>
      </c>
      <c r="AM116" s="353" t="n">
        <f aca="false">(M116*2+N116*2)/1000*4</f>
        <v>19.968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49.04</v>
      </c>
      <c r="AQ116" s="353" t="n">
        <f aca="false">(AD116*2+S116*8)/1000*4</f>
        <v>49.28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954.38</v>
      </c>
      <c r="AW116" s="361" t="n">
        <f aca="false">(AF116*2+AG116*2)*2/1000+AY116</f>
        <v>13.5872</v>
      </c>
      <c r="AX116" s="360" t="n">
        <f aca="false">(AI116*2+AJ116*2)*2/1000+AZ116</f>
        <v>13.6532</v>
      </c>
      <c r="AY116" s="361" t="n">
        <f aca="false">(AF116/100+AG116/100)*20/1000*2</f>
        <v>1.2352</v>
      </c>
      <c r="AZ116" s="353" t="n">
        <f aca="false">((AI116/100+AJ116/100)*20)/1000*2</f>
        <v>1.2412</v>
      </c>
      <c r="BA116" s="361" t="n">
        <f aca="false">SUM(AL116:AN116,AP116:AS116)</f>
        <v>163.095</v>
      </c>
      <c r="BB116" s="353" t="n">
        <f aca="false">SUM(AW116:AZ116)</f>
        <v>29.7168</v>
      </c>
      <c r="BC116" s="360" t="n">
        <f aca="false">SUM(AL116:AN116,AP116:AS116)</f>
        <v>163.095</v>
      </c>
      <c r="BD116" s="361" t="n">
        <f aca="false">SUM(AT116:AV116)</f>
        <v>960.73</v>
      </c>
      <c r="BE116" s="236" t="n">
        <f aca="false">$AZ$134+$BA$134</f>
        <v>14</v>
      </c>
      <c r="BF116" s="362" t="n">
        <f aca="false">$BC$134+$BD$134</f>
        <v>8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44</v>
      </c>
    </row>
    <row r="117" customFormat="false" ht="15.75" hidden="false" customHeight="true" outlineLevel="0" collapsed="false">
      <c r="B117" s="206" t="s">
        <v>228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633.0503592</v>
      </c>
      <c r="I117" s="325" t="n">
        <v>70</v>
      </c>
      <c r="J117" s="356" t="n">
        <f aca="false">I117+20</f>
        <v>90</v>
      </c>
      <c r="K117" s="340" t="n">
        <f aca="false">$H$99+10</f>
        <v>2416</v>
      </c>
      <c r="L117" s="340" t="n">
        <f aca="false">J117*K117*$D$78*$G$93/1000*4</f>
        <v>20.5611264</v>
      </c>
      <c r="M117" s="356" t="n">
        <f aca="false">I117+10</f>
        <v>80</v>
      </c>
      <c r="N117" s="340" t="n">
        <f aca="false">$H$99+10</f>
        <v>2416</v>
      </c>
      <c r="O117" s="32" t="n">
        <f aca="false">M117*N117*$D$78*$G$93/1000*4</f>
        <v>18.2765568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16.202856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6066</v>
      </c>
      <c r="AB117" s="32" t="n">
        <f aca="false">Z117*AA117*$D$78*$G$93/1000*2</f>
        <v>6.02281008</v>
      </c>
      <c r="AC117" s="31" t="n">
        <f aca="false">S117+5</f>
        <v>21</v>
      </c>
      <c r="AD117" s="0" t="n">
        <f aca="false">($H$99+S117)*2+(D117+15+S117)*2</f>
        <v>5496</v>
      </c>
      <c r="AE117" s="32" t="n">
        <f aca="false">AC117*AD117*$D$78*$G$93/1000*2</f>
        <v>5.45686848</v>
      </c>
      <c r="AF117" s="31" t="n">
        <f aca="false">$H$99+S117+S117+3+10</f>
        <v>2451</v>
      </c>
      <c r="AG117" s="0" t="n">
        <f aca="false">C117+2*S117+10</f>
        <v>637</v>
      </c>
      <c r="AH117" s="32" t="n">
        <f aca="false">AF117*AG117*$C$78*$G$96/1000*2</f>
        <v>73.81764936</v>
      </c>
      <c r="AI117" s="31" t="n">
        <f aca="false">$H$99+S117+S117+3+10</f>
        <v>2451</v>
      </c>
      <c r="AJ117" s="0" t="n">
        <f aca="false">D117+15+2*S117+10</f>
        <v>352</v>
      </c>
      <c r="AK117" s="32" t="n">
        <f aca="false">AI117*AJ117*$C$78*$G$96/1000*2</f>
        <v>40.79091456</v>
      </c>
      <c r="AL117" s="353" t="n">
        <f aca="false">(технолог!$I$27/2*((5+6)*2+технолог!$T$27-0.5)+J117*2+K117)/1000*4</f>
        <v>31.637</v>
      </c>
      <c r="AM117" s="353" t="n">
        <f aca="false">(M117*2+N117*2)/1000*4</f>
        <v>19.968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49.04</v>
      </c>
      <c r="AQ117" s="353" t="n">
        <f aca="false">(AD117*2+S117*8)/1000*4</f>
        <v>44.48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713.78</v>
      </c>
      <c r="AW117" s="361" t="n">
        <f aca="false">(AF117*2+AG117*2)*2/1000+AY117</f>
        <v>13.5872</v>
      </c>
      <c r="AX117" s="360" t="n">
        <f aca="false">(AI117*2+AJ117*2)*2/1000+AZ117</f>
        <v>12.3332</v>
      </c>
      <c r="AY117" s="361" t="n">
        <f aca="false">(AF117/100+AG117/100)*20/1000*2</f>
        <v>1.2352</v>
      </c>
      <c r="AZ117" s="353" t="n">
        <f aca="false">((AI117/100+AJ117/100)*20)/1000*2</f>
        <v>1.1212</v>
      </c>
      <c r="BA117" s="361" t="n">
        <f aca="false">SUM(AL117:AN117,AP117:AS117)</f>
        <v>154.095</v>
      </c>
      <c r="BB117" s="353" t="n">
        <f aca="false">SUM(AW117:AZ117)</f>
        <v>28.2768</v>
      </c>
      <c r="BC117" s="360" t="n">
        <f aca="false">SUM(AL117:AN117,AP117:AS117)</f>
        <v>154.095</v>
      </c>
      <c r="BD117" s="361" t="n">
        <f aca="false">SUM(AT117:AV117)</f>
        <v>717.13</v>
      </c>
      <c r="BE117" s="236" t="n">
        <f aca="false">$AZ$134+$BA$134</f>
        <v>14</v>
      </c>
      <c r="BF117" s="362" t="n">
        <f aca="false">$BC$134+$BD$134</f>
        <v>8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1825.146688</v>
      </c>
      <c r="I118" s="325" t="n">
        <v>110</v>
      </c>
      <c r="J118" s="356" t="n">
        <f aca="false">I118+20</f>
        <v>130</v>
      </c>
      <c r="K118" s="340" t="n">
        <f aca="false">$H$99+10</f>
        <v>2416</v>
      </c>
      <c r="L118" s="340" t="n">
        <f aca="false">J118*K118*$D$78*$G$93/1000*4</f>
        <v>29.6994048</v>
      </c>
      <c r="M118" s="356" t="n">
        <f aca="false">I118+10</f>
        <v>120</v>
      </c>
      <c r="N118" s="340" t="n">
        <f aca="false">$H$99+10</f>
        <v>2416</v>
      </c>
      <c r="O118" s="32" t="n">
        <f aca="false">M118*N118*$D$78*$G$93/1000*4</f>
        <v>27.4148352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43.6640256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6376</v>
      </c>
      <c r="AB118" s="32" t="n">
        <f aca="false">Z118*AA118*$D$78*$G$93/1000*2</f>
        <v>9.0437184</v>
      </c>
      <c r="AC118" s="31" t="n">
        <f aca="false">S118+5</f>
        <v>30</v>
      </c>
      <c r="AD118" s="0" t="n">
        <f aca="false">($H$99+S118)*2+(D118+15+S118)*2</f>
        <v>6372</v>
      </c>
      <c r="AE118" s="32" t="n">
        <f aca="false">AC118*AD118*$D$78*$G$93/1000*2</f>
        <v>9.0380448</v>
      </c>
      <c r="AF118" s="31" t="n">
        <f aca="false">$H$99+S118+S118+3+10</f>
        <v>2469</v>
      </c>
      <c r="AG118" s="0" t="n">
        <f aca="false">C118+2*S118+10</f>
        <v>792</v>
      </c>
      <c r="AH118" s="32" t="n">
        <f aca="false">AF118*AG118*$C$78*$G$96/1000*2</f>
        <v>92.45358144</v>
      </c>
      <c r="AI118" s="31" t="n">
        <f aca="false">$H$99+S118+S118+3+10</f>
        <v>2469</v>
      </c>
      <c r="AJ118" s="0" t="n">
        <f aca="false">D118+15+2*S118+10</f>
        <v>790</v>
      </c>
      <c r="AK118" s="32" t="n">
        <f aca="false">AI118*AJ118*$C$78*$G$96/1000*2</f>
        <v>92.2201128</v>
      </c>
      <c r="AL118" s="353" t="n">
        <f aca="false">(технолог!$I$27/2*((5+6)*2+технолог!$T$27-0.5)+J118*2+K118)/1000*4</f>
        <v>31.957</v>
      </c>
      <c r="AM118" s="353" t="n">
        <f aca="false">(M118*2+N118*2)/1000*4</f>
        <v>20.288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51.808</v>
      </c>
      <c r="AQ118" s="353" t="n">
        <f aca="false">(AD118*2+S118*8)/1000*4</f>
        <v>51.776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1160.494</v>
      </c>
      <c r="AW118" s="361" t="n">
        <f aca="false">(AF118*2+AG118*2)*2/1000+AY118</f>
        <v>14.3484</v>
      </c>
      <c r="AX118" s="360" t="n">
        <f aca="false">(AI118*2+AJ118*2)*2/1000+AZ118</f>
        <v>14.3396</v>
      </c>
      <c r="AY118" s="361" t="n">
        <f aca="false">(AF118/100+AG118/100)*20/1000*2</f>
        <v>1.3044</v>
      </c>
      <c r="AZ118" s="353" t="n">
        <f aca="false">((AI118/100+AJ118/100)*20)/1000*2</f>
        <v>1.3036</v>
      </c>
      <c r="BA118" s="361" t="n">
        <f aca="false">SUM(AL118:AN118,AP118:AS118)</f>
        <v>172.267</v>
      </c>
      <c r="BB118" s="353" t="n">
        <f aca="false">SUM(AW118:AZ118)</f>
        <v>31.296</v>
      </c>
      <c r="BC118" s="360" t="n">
        <f aca="false">SUM(AL118:AN118,AP118:AS118)</f>
        <v>172.267</v>
      </c>
      <c r="BD118" s="361" t="n">
        <f aca="false">SUM(AT118:AV118)</f>
        <v>1168.044</v>
      </c>
      <c r="BE118" s="236" t="n">
        <f aca="false">$AZ$134+$BA$134</f>
        <v>14</v>
      </c>
      <c r="BF118" s="362" t="n">
        <f aca="false">$BC$134+$BD$134</f>
        <v>8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44</v>
      </c>
    </row>
    <row r="119" customFormat="false" ht="15.75" hidden="false" customHeight="true" outlineLevel="0" collapsed="false">
      <c r="B119" s="206" t="s">
        <v>236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1651.748273</v>
      </c>
      <c r="I119" s="325" t="n">
        <v>70</v>
      </c>
      <c r="J119" s="356" t="n">
        <f aca="false">I119+20</f>
        <v>90</v>
      </c>
      <c r="K119" s="340" t="n">
        <f aca="false">$H$99+10</f>
        <v>2416</v>
      </c>
      <c r="L119" s="340" t="n">
        <f aca="false">J119*K119*$D$78*$G$93/1000*4</f>
        <v>20.5611264</v>
      </c>
      <c r="M119" s="356" t="n">
        <f aca="false">I119+10</f>
        <v>80</v>
      </c>
      <c r="N119" s="340" t="n">
        <f aca="false">$H$99+10</f>
        <v>2416</v>
      </c>
      <c r="O119" s="32" t="n">
        <f aca="false">M119*N119*$D$78*$G$93/1000*4</f>
        <v>18.2765568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34.460028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6836</v>
      </c>
      <c r="AB119" s="32" t="n">
        <f aca="false">Z119*AA119*$D$78*$G$93/1000*2</f>
        <v>6.78732768</v>
      </c>
      <c r="AC119" s="31" t="n">
        <f aca="false">S119+5</f>
        <v>21</v>
      </c>
      <c r="AD119" s="0" t="n">
        <f aca="false">($H$99+S119)*2+(D119+15+S119)*2</f>
        <v>5866</v>
      </c>
      <c r="AE119" s="32" t="n">
        <f aca="false">AC119*AD119*$D$78*$G$93/1000*2</f>
        <v>5.82423408</v>
      </c>
      <c r="AF119" s="31" t="n">
        <f aca="false">$H$99+S119+S119+3+10</f>
        <v>2451</v>
      </c>
      <c r="AG119" s="0" t="n">
        <f aca="false">C119+2*S119+10</f>
        <v>1022</v>
      </c>
      <c r="AH119" s="32" t="n">
        <f aca="false">AF119*AG119*$C$78*$G$96/1000*2</f>
        <v>118.43271216</v>
      </c>
      <c r="AI119" s="31" t="n">
        <f aca="false">$H$99+S119+S119+3+10</f>
        <v>2451</v>
      </c>
      <c r="AJ119" s="0" t="n">
        <f aca="false">D119+15+2*S119+10</f>
        <v>537</v>
      </c>
      <c r="AK119" s="32" t="n">
        <f aca="false">AI119*AJ119*$C$78*$G$96/1000*2</f>
        <v>62.22932136</v>
      </c>
      <c r="AL119" s="353" t="n">
        <f aca="false">(технолог!$I$27/2*((5+6)*2+технолог!$T$27-0.5)+J119*2+K119)/1000*4</f>
        <v>31.637</v>
      </c>
      <c r="AM119" s="353" t="n">
        <f aca="false">(M119*2+N119*2)/1000*4</f>
        <v>19.968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55.2</v>
      </c>
      <c r="AQ119" s="353" t="n">
        <f aca="false">(AD119*2+S119*8)/1000*4</f>
        <v>47.44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1170.92</v>
      </c>
      <c r="AW119" s="361" t="n">
        <f aca="false">(AF119*2+AG119*2)*2/1000+AY119</f>
        <v>15.2812</v>
      </c>
      <c r="AX119" s="360" t="n">
        <f aca="false">(AI119*2+AJ119*2)*2/1000+AZ119</f>
        <v>13.1472</v>
      </c>
      <c r="AY119" s="361" t="n">
        <f aca="false">(AF119/100+AG119/100)*20/1000*2</f>
        <v>1.3892</v>
      </c>
      <c r="AZ119" s="353" t="n">
        <f aca="false">((AI119/100+AJ119/100)*20)/1000*2</f>
        <v>1.1952</v>
      </c>
      <c r="BA119" s="361" t="n">
        <f aca="false">SUM(AL119:AN119,AP119:AS119)</f>
        <v>167.345</v>
      </c>
      <c r="BB119" s="353" t="n">
        <f aca="false">SUM(AW119:AZ119)</f>
        <v>31.0128</v>
      </c>
      <c r="BC119" s="360" t="n">
        <f aca="false">SUM(AL119:AN119,AP119:AS119)</f>
        <v>167.345</v>
      </c>
      <c r="BD119" s="361" t="n">
        <f aca="false">SUM(AT119:AV119)</f>
        <v>1176.12</v>
      </c>
      <c r="BE119" s="236" t="n">
        <f aca="false">$AZ$134+$BA$134</f>
        <v>14</v>
      </c>
      <c r="BF119" s="362" t="n">
        <f aca="false">$BC$134+$BD$134</f>
        <v>8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44</v>
      </c>
    </row>
    <row r="120" customFormat="false" ht="15.75" hidden="false" customHeight="true" outlineLevel="0" collapsed="false">
      <c r="B120" s="206" t="s">
        <v>233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3255.387373</v>
      </c>
      <c r="I120" s="325" t="n">
        <v>130</v>
      </c>
      <c r="J120" s="356" t="n">
        <f aca="false">I120+20</f>
        <v>150</v>
      </c>
      <c r="K120" s="340" t="n">
        <f aca="false">$H$99+10</f>
        <v>2416</v>
      </c>
      <c r="L120" s="340" t="n">
        <f aca="false">J120*K120*$D$78*$G$93/1000*4</f>
        <v>34.268544</v>
      </c>
      <c r="M120" s="356" t="n">
        <f aca="false">I120+10</f>
        <v>140</v>
      </c>
      <c r="N120" s="340" t="n">
        <f aca="false">$H$99+10</f>
        <v>2416</v>
      </c>
      <c r="O120" s="32" t="n">
        <f aca="false">M120*N120*$D$78*$G$93/1000*4</f>
        <v>31.9839744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73.875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6892</v>
      </c>
      <c r="AB120" s="32" t="n">
        <f aca="false">Z120*AA120*$D$78*$G$93/1000*2</f>
        <v>11.4048816</v>
      </c>
      <c r="AC120" s="31" t="n">
        <f aca="false">S120+5</f>
        <v>35</v>
      </c>
      <c r="AD120" s="0" t="n">
        <f aca="false">($H$99+S120)*2+(D120+15+S120)*2</f>
        <v>6892</v>
      </c>
      <c r="AE120" s="32" t="n">
        <f aca="false">AC120*AD120*$D$78*$G$93/1000*2</f>
        <v>11.4048816</v>
      </c>
      <c r="AF120" s="31" t="n">
        <f aca="false">$H$99+S120+S120+3+10</f>
        <v>2479</v>
      </c>
      <c r="AG120" s="0" t="n">
        <f aca="false">C120+2*S120+10</f>
        <v>1050</v>
      </c>
      <c r="AH120" s="32" t="n">
        <f aca="false">AF120*AG120*$C$78*$G$96/1000*2</f>
        <v>123.067476</v>
      </c>
      <c r="AI120" s="31" t="n">
        <f aca="false">$H$99+S120+S120+3+10</f>
        <v>2479</v>
      </c>
      <c r="AJ120" s="0" t="n">
        <f aca="false">D120+15+2*S120+10</f>
        <v>1050</v>
      </c>
      <c r="AK120" s="32" t="n">
        <f aca="false">AI120*AJ120*$C$78*$G$96/1000*2</f>
        <v>123.067476</v>
      </c>
      <c r="AL120" s="353" t="n">
        <f aca="false">(технолог!$I$27/2*((5+6)*2+технолог!$T$27-0.5)+J120*2+K120)/1000*4</f>
        <v>32.117</v>
      </c>
      <c r="AM120" s="353" t="n">
        <f aca="false">(M120*2+N120*2)/1000*4</f>
        <v>20.448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56.096</v>
      </c>
      <c r="AQ120" s="353" t="n">
        <f aca="false">(AD120*2+S120*8)/1000*4</f>
        <v>56.096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1559.89</v>
      </c>
      <c r="AW120" s="361" t="n">
        <f aca="false">(AF120*2+AG120*2)*2/1000+AY120</f>
        <v>15.5276</v>
      </c>
      <c r="AX120" s="360" t="n">
        <f aca="false">(AI120*2+AJ120*2)*2/1000+AZ120</f>
        <v>15.5276</v>
      </c>
      <c r="AY120" s="361" t="n">
        <f aca="false">(AF120/100+AG120/100)*20/1000*2</f>
        <v>1.4116</v>
      </c>
      <c r="AZ120" s="353" t="n">
        <f aca="false">((AI120/100+AJ120/100)*20)/1000*2</f>
        <v>1.4116</v>
      </c>
      <c r="BA120" s="361" t="n">
        <f aca="false">SUM(AL120:AN120,AP120:AS120)</f>
        <v>186.207</v>
      </c>
      <c r="BB120" s="353" t="n">
        <f aca="false">SUM(AW120:AZ120)</f>
        <v>33.8784</v>
      </c>
      <c r="BC120" s="360" t="n">
        <f aca="false">SUM(AL120:AN120,AP120:AS120)</f>
        <v>186.207</v>
      </c>
      <c r="BD120" s="361" t="n">
        <f aca="false">SUM(AT120:AV120)</f>
        <v>1569.94</v>
      </c>
      <c r="BE120" s="236" t="n">
        <f aca="false">$AZ$134+$BA$134</f>
        <v>14</v>
      </c>
      <c r="BF120" s="362" t="n">
        <f aca="false">$BC$134+$BD$134</f>
        <v>8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44</v>
      </c>
    </row>
    <row r="121" customFormat="false" ht="15.75" hidden="false" customHeight="true" outlineLevel="0" collapsed="false">
      <c r="B121" s="206" t="s">
        <v>241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4856.656563</v>
      </c>
      <c r="I121" s="325" t="n">
        <v>180</v>
      </c>
      <c r="J121" s="356" t="n">
        <f aca="false">I121+20</f>
        <v>200</v>
      </c>
      <c r="K121" s="340" t="n">
        <f aca="false">$H$99+10</f>
        <v>2416</v>
      </c>
      <c r="L121" s="340" t="n">
        <f aca="false">J121*K121*$D$78*$G$93/1000*4</f>
        <v>45.691392</v>
      </c>
      <c r="M121" s="356" t="n">
        <f aca="false">I121+10</f>
        <v>190</v>
      </c>
      <c r="N121" s="340" t="n">
        <f aca="false">$H$99+10</f>
        <v>2416</v>
      </c>
      <c r="O121" s="32" t="n">
        <f aca="false">M121*N121*$D$78*$G$93/1000*4</f>
        <v>43.4068224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113.22378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7312</v>
      </c>
      <c r="AB121" s="32" t="n">
        <f aca="false">Z121*AA121*$D$78*$G$93/1000*2</f>
        <v>13.8284544</v>
      </c>
      <c r="AC121" s="31" t="n">
        <f aca="false">S121+5</f>
        <v>40</v>
      </c>
      <c r="AD121" s="0" t="n">
        <f aca="false">($H$99+S121)*2+(D121+15+S121)*2</f>
        <v>7302</v>
      </c>
      <c r="AE121" s="32" t="n">
        <f aca="false">AC121*AD121*$D$78*$G$93/1000*2</f>
        <v>13.8095424</v>
      </c>
      <c r="AF121" s="31" t="n">
        <f aca="false">$H$99+S121+S121+3+10</f>
        <v>2489</v>
      </c>
      <c r="AG121" s="0" t="n">
        <f aca="false">C121+2*S121+10</f>
        <v>1260</v>
      </c>
      <c r="AH121" s="32" t="n">
        <f aca="false">AF121*AG121*$C$78*$G$96/1000*2</f>
        <v>148.2766992</v>
      </c>
      <c r="AI121" s="31" t="n">
        <f aca="false">$H$99+S121+S121+3+10</f>
        <v>2489</v>
      </c>
      <c r="AJ121" s="0" t="n">
        <f aca="false">D121+15+2*S121+10</f>
        <v>1255</v>
      </c>
      <c r="AK121" s="32" t="n">
        <f aca="false">AI121*AJ121*$C$78*$G$96/1000*2</f>
        <v>147.6882996</v>
      </c>
      <c r="AL121" s="353" t="n">
        <f aca="false">(технолог!$I$27/2*((5+6)*2+технолог!$T$27-0.5)+J121*2+K121)/1000*4</f>
        <v>32.517</v>
      </c>
      <c r="AM121" s="353" t="n">
        <f aca="false">(M121*2+N121*2)/1000*4</f>
        <v>20.848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59.616</v>
      </c>
      <c r="AQ121" s="353" t="n">
        <f aca="false">(AD121*2+S121*8)/1000*4</f>
        <v>59.536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1876.68</v>
      </c>
      <c r="AW121" s="361" t="n">
        <f aca="false">(AF121*2+AG121*2)*2/1000+AY121</f>
        <v>16.4956</v>
      </c>
      <c r="AX121" s="360" t="n">
        <f aca="false">(AI121*2+AJ121*2)*2/1000+AZ121</f>
        <v>16.4736</v>
      </c>
      <c r="AY121" s="361" t="n">
        <f aca="false">(AF121/100+AG121/100)*20/1000*2</f>
        <v>1.4996</v>
      </c>
      <c r="AZ121" s="353" t="n">
        <f aca="false">((AI121/100+AJ121/100)*20)/1000*2</f>
        <v>1.4976</v>
      </c>
      <c r="BA121" s="361" t="n">
        <f aca="false">SUM(AL121:AN121,AP121:AS121)</f>
        <v>198.797</v>
      </c>
      <c r="BB121" s="353" t="n">
        <f aca="false">SUM(AW121:AZ121)</f>
        <v>35.9664</v>
      </c>
      <c r="BC121" s="360" t="n">
        <f aca="false">SUM(AL121:AN121,AP121:AS121)</f>
        <v>198.797</v>
      </c>
      <c r="BD121" s="361" t="n">
        <f aca="false">SUM(AT121:AV121)</f>
        <v>1888.68</v>
      </c>
      <c r="BE121" s="236" t="n">
        <f aca="false">$AZ$134+$BA$134</f>
        <v>14</v>
      </c>
      <c r="BF121" s="362" t="n">
        <f aca="false">$BC$134+$BD$134</f>
        <v>8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44</v>
      </c>
    </row>
    <row r="122" customFormat="false" ht="15.75" hidden="false" customHeight="true" outlineLevel="0" collapsed="false">
      <c r="B122" s="364" t="s">
        <v>245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2538.252607</v>
      </c>
      <c r="I122" s="325" t="n">
        <v>180</v>
      </c>
      <c r="J122" s="368" t="n">
        <f aca="false">I122+20</f>
        <v>200</v>
      </c>
      <c r="K122" s="365" t="n">
        <f aca="false">$H$99+10</f>
        <v>2416</v>
      </c>
      <c r="L122" s="365" t="n">
        <f aca="false">J122*K122*$D$78*$G$93/1000*4</f>
        <v>45.691392</v>
      </c>
      <c r="M122" s="368" t="n">
        <f aca="false">I122+10</f>
        <v>190</v>
      </c>
      <c r="N122" s="365" t="n">
        <f aca="false">$H$99+10</f>
        <v>2416</v>
      </c>
      <c r="O122" s="55" t="n">
        <f aca="false">M122*N122*$D$78*$G$93/1000*4</f>
        <v>43.4068224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71.81832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7312</v>
      </c>
      <c r="AB122" s="55" t="n">
        <f aca="false">Z122*AA122*$D$78*$G$93/1000*2</f>
        <v>13.8284544</v>
      </c>
      <c r="AC122" s="53" t="n">
        <f aca="false">S122+5</f>
        <v>40</v>
      </c>
      <c r="AD122" s="54" t="n">
        <f aca="false">($H$99+S122)*2+(D122+15+S122)*2</f>
        <v>6172</v>
      </c>
      <c r="AE122" s="55" t="n">
        <f aca="false">AC122*AD122*$D$78*$G$93/1000*2</f>
        <v>11.6724864</v>
      </c>
      <c r="AF122" s="53" t="n">
        <f aca="false">$H$99+S122+S122+3+10</f>
        <v>2489</v>
      </c>
      <c r="AG122" s="54" t="n">
        <f aca="false">C122+2*S122+10</f>
        <v>1260</v>
      </c>
      <c r="AH122" s="55" t="n">
        <f aca="false">AF122*AG122*$C$78*$G$96/1000*2</f>
        <v>148.2766992</v>
      </c>
      <c r="AI122" s="53" t="n">
        <f aca="false">$H$99+S122+S122+3+10</f>
        <v>2489</v>
      </c>
      <c r="AJ122" s="54" t="n">
        <f aca="false">D122+15+2*S122+10</f>
        <v>690</v>
      </c>
      <c r="AK122" s="55" t="n">
        <f aca="false">AI122*AJ122*$C$78*$G$96/1000*2</f>
        <v>81.1991448</v>
      </c>
      <c r="AL122" s="372" t="n">
        <f aca="false">(технолог!$I$27/2*((5+6)*2+технолог!$T$27-0.5)+J122*2+K122)/1000*4</f>
        <v>32.517</v>
      </c>
      <c r="AM122" s="372" t="n">
        <f aca="false">(M122*2+N122*2)/1000*4</f>
        <v>20.848</v>
      </c>
      <c r="AN122" s="372" t="n">
        <f aca="false">(P122*2+Q122*2)/1000*2</f>
        <v>10.12</v>
      </c>
      <c r="AO122" s="370"/>
      <c r="AP122" s="372" t="n">
        <f aca="false">(AA122*2+S122*8)/1000*4</f>
        <v>59.616</v>
      </c>
      <c r="AQ122" s="372" t="n">
        <f aca="false">(AD122*2+S122*8)/1000*4</f>
        <v>50.496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1423.55</v>
      </c>
      <c r="AW122" s="374" t="n">
        <f aca="false">(AF122*2+AG122*2)*2/1000+AY122</f>
        <v>16.4956</v>
      </c>
      <c r="AX122" s="373" t="n">
        <f aca="false">(AI122*2+AJ122*2)*2/1000+AZ122</f>
        <v>13.9876</v>
      </c>
      <c r="AY122" s="374" t="n">
        <f aca="false">(AF122/100+AG122/100)*20/1000*2</f>
        <v>1.4996</v>
      </c>
      <c r="AZ122" s="372" t="n">
        <f aca="false">((AI122/100+AJ122/100)*20)/1000*2</f>
        <v>1.2716</v>
      </c>
      <c r="BA122" s="374" t="n">
        <f aca="false">SUM(AL122:AN122,AP122:AS122)</f>
        <v>181.847</v>
      </c>
      <c r="BB122" s="372" t="n">
        <f aca="false">SUM(AW122:AZ122)</f>
        <v>33.2544</v>
      </c>
      <c r="BC122" s="373" t="n">
        <f aca="false">SUM(AL122:AN122,AP122:AS122)</f>
        <v>181.847</v>
      </c>
      <c r="BD122" s="374" t="n">
        <f aca="false">SUM(AT122:AV122)</f>
        <v>1429.9</v>
      </c>
      <c r="BE122" s="375" t="n">
        <f aca="false">$AZ$134+$BA$134</f>
        <v>14</v>
      </c>
      <c r="BF122" s="376" t="n">
        <f aca="false">$BC$134+$BD$134</f>
        <v>8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347</v>
      </c>
      <c r="BA128" s="379"/>
      <c r="BB128" s="340"/>
      <c r="BF128" s="0" t="s">
        <v>348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80"/>
      <c r="AW131" s="31" t="s">
        <v>354</v>
      </c>
      <c r="AZ131" s="325" t="n">
        <f aca="false">IF(H99/(AZ130+1)&lt;$BF$129,AZ130-1,AZ130)</f>
        <v>8</v>
      </c>
      <c r="BA131" s="326" t="n">
        <f aca="false">IF(H99/(BA130+1)&lt;$BF$129,BA130-1,BA130)</f>
        <v>8</v>
      </c>
      <c r="BB131" s="326"/>
      <c r="BC131" s="326" t="n">
        <f aca="false">IF(H99/(BC130+1)&lt;$BF$129,BC130-1,BC130)</f>
        <v>8</v>
      </c>
      <c r="BD131" s="316" t="n">
        <f aca="false">IF(H99/(BD130+1)&lt;$BF$129,BD130-1,BD130)</f>
        <v>8</v>
      </c>
    </row>
    <row r="132" customFormat="false" ht="15.75" hidden="false" customHeight="true" outlineLevel="0" collapsed="false">
      <c r="D132" s="378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356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2</v>
      </c>
      <c r="BD133" s="316" t="n">
        <f aca="false">IF(AS105=2,BD138,IF(AS106=TRUE(),BD139,BD140))</f>
        <v>6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5" hidden="false" customHeight="false" outlineLevel="0" collapsed="false">
      <c r="D139" s="380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5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362</v>
      </c>
      <c r="AY145" s="316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1"/>
      <c r="AX146" s="382" t="s">
        <v>365</v>
      </c>
      <c r="AY146" s="383" t="s">
        <v>366</v>
      </c>
      <c r="BA146" s="384" t="s">
        <v>367</v>
      </c>
      <c r="BB146" s="385"/>
      <c r="BC146" s="386" t="s">
        <v>368</v>
      </c>
      <c r="BD146" s="386" t="s">
        <v>369</v>
      </c>
      <c r="BE146" s="387" t="s">
        <v>368</v>
      </c>
      <c r="BG146" s="388" t="s">
        <v>370</v>
      </c>
      <c r="BH146" s="388" t="s">
        <v>368</v>
      </c>
    </row>
    <row r="147" customFormat="false" ht="30.75" hidden="false" customHeight="true" outlineLevel="0" collapsed="false">
      <c r="AW147" s="389" t="s">
        <v>371</v>
      </c>
      <c r="AX147" s="148" t="n">
        <f aca="false">IFERROR(ROUNDUP(BA147/ROUNDDOWN(1000/BC147,0),0),0)</f>
        <v>14</v>
      </c>
      <c r="AY147" s="390" t="n">
        <f aca="false">IFERROR(ROUNDUP(BD147/ROUNDDOWN(1000/BE147,0),0),0)</f>
        <v>8</v>
      </c>
      <c r="BA147" s="391" t="n">
        <f aca="false">IF(VLOOKUP(D104,B110:BE122,56,0)&lt;0,0,VLOOKUP(D104,B110:BE122,56,0))</f>
        <v>14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8</v>
      </c>
      <c r="BE147" s="395" t="n">
        <f aca="false">VLOOKUP(D104,B110:BH122,59,0)</f>
        <v>730</v>
      </c>
      <c r="BG147" s="396" t="n">
        <v>8</v>
      </c>
      <c r="BH147" s="396" t="n">
        <f aca="false">H99</f>
        <v>2406</v>
      </c>
    </row>
    <row r="148" customFormat="false" ht="30" hidden="false" customHeight="true" outlineLevel="0" collapsed="false">
      <c r="AW148" s="389" t="s">
        <v>372</v>
      </c>
      <c r="AX148" s="148" t="n">
        <f aca="false">AX147+AY147</f>
        <v>22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373</v>
      </c>
      <c r="AX149" s="148" t="n">
        <f aca="false">IF(BH147&lt;1000,8,0)+IF(AND(BH147&gt;2500,BH147&lt;3000),8,0)+IF(AND(BH147&gt;2000,BH147&lt;2500),4,0)</f>
        <v>4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374</v>
      </c>
      <c r="AX150" s="148" t="n">
        <f aca="false">IF(BH147&gt;1000,8,0)+IF(AND(BH147&gt;3000,BH147&lt;4000),8,0)</f>
        <v>8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375</v>
      </c>
      <c r="AX151" s="399" t="n">
        <f aca="false">AX147+AY147+AX149</f>
        <v>26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377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378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379</v>
      </c>
      <c r="G23" s="408" t="s">
        <v>380</v>
      </c>
      <c r="H23" s="408"/>
      <c r="I23" s="408"/>
      <c r="J23" s="408"/>
      <c r="K23" s="409" t="s">
        <v>381</v>
      </c>
      <c r="L23" s="409"/>
      <c r="M23" s="409"/>
      <c r="N23" s="410" t="s">
        <v>382</v>
      </c>
      <c r="O23" s="410" t="s">
        <v>383</v>
      </c>
      <c r="P23" s="410" t="s">
        <v>384</v>
      </c>
      <c r="Q23" s="411" t="s">
        <v>385</v>
      </c>
      <c r="R23" s="411"/>
      <c r="S23" s="411"/>
      <c r="T23" s="411"/>
      <c r="U23" s="411"/>
      <c r="V23" s="411"/>
      <c r="W23" s="411"/>
      <c r="X23" s="412" t="s">
        <v>149</v>
      </c>
    </row>
    <row r="24" customFormat="false" ht="85.5" hidden="false" customHeight="true" outlineLevel="0" collapsed="false">
      <c r="E24" s="413"/>
      <c r="F24" s="407"/>
      <c r="G24" s="414" t="s">
        <v>386</v>
      </c>
      <c r="H24" s="415" t="s">
        <v>387</v>
      </c>
      <c r="I24" s="415" t="s">
        <v>388</v>
      </c>
      <c r="J24" s="416" t="s">
        <v>389</v>
      </c>
      <c r="K24" s="414" t="s">
        <v>390</v>
      </c>
      <c r="L24" s="415" t="s">
        <v>391</v>
      </c>
      <c r="M24" s="416" t="s">
        <v>392</v>
      </c>
      <c r="N24" s="410"/>
      <c r="O24" s="410"/>
      <c r="P24" s="410"/>
      <c r="Q24" s="417" t="s">
        <v>112</v>
      </c>
      <c r="R24" s="418" t="s">
        <v>131</v>
      </c>
      <c r="S24" s="418" t="s">
        <v>135</v>
      </c>
      <c r="T24" s="418" t="s">
        <v>137</v>
      </c>
      <c r="U24" s="418" t="s">
        <v>187</v>
      </c>
      <c r="V24" s="419" t="s">
        <v>393</v>
      </c>
      <c r="W24" s="420" t="s">
        <v>144</v>
      </c>
      <c r="X24" s="412"/>
    </row>
    <row r="25" customFormat="false" ht="43.5" hidden="false" customHeight="true" outlineLevel="0" collapsed="false">
      <c r="E25" s="421" t="s">
        <v>394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2</v>
      </c>
      <c r="N25" s="410"/>
      <c r="O25" s="410"/>
      <c r="P25" s="410"/>
      <c r="Q25" s="417"/>
      <c r="R25" s="418"/>
      <c r="S25" s="418"/>
      <c r="T25" s="418"/>
      <c r="U25" s="423" t="s">
        <v>395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701</v>
      </c>
      <c r="F26" s="425" t="n">
        <f aca="false">снабжение!K14</f>
        <v>2500</v>
      </c>
      <c r="G26" s="426" t="n">
        <f aca="false">снабжение!G35+снабжение!M35</f>
        <v>1.26726738689173E+017</v>
      </c>
      <c r="H26" s="427" t="n">
        <f aca="false">снабжение!E8*снабжение!G78*снабжение!D14*снабжение!D14+технолог!V27*снабжение!H78*снабжение!D13</f>
        <v>129734.82135648</v>
      </c>
      <c r="I26" s="428" t="n">
        <f aca="false">снабжение!G22*2</f>
        <v>16158283004082</v>
      </c>
      <c r="J26" s="429" t="n">
        <f aca="false">снабжение!M22*4</f>
        <v>6.07480499862305E+020</v>
      </c>
      <c r="K26" s="430" t="n">
        <f aca="false">снабжение!Q25</f>
        <v>168940311</v>
      </c>
      <c r="L26" s="431" t="n">
        <f aca="false">снабжение!F38</f>
        <v>4152</v>
      </c>
      <c r="M26" s="429" t="n">
        <f aca="false">L26*M25</f>
        <v>8304</v>
      </c>
      <c r="N26" s="432" t="n">
        <f aca="false">снабжение!F78*снабжение!D8+технолог!U27*снабжение!J78*снабжение!D13</f>
        <v>1280595.872288</v>
      </c>
      <c r="O26" s="432" t="n">
        <f aca="false">снабжение!D8*снабжение!E78*снабжение!D14*снабжение!D14+снабжение!D78*снабжение!I78*снабжение!D13</f>
        <v>83837.6811888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210918</v>
      </c>
      <c r="Q26" s="430" t="n">
        <f aca="false">снабжение!T44</f>
        <v>130546</v>
      </c>
      <c r="R26" s="434" t="n">
        <f aca="false">снабжение!I40</f>
        <v>4077</v>
      </c>
      <c r="S26" s="434" t="n">
        <f aca="false">снабжение!K40</f>
        <v>6077</v>
      </c>
      <c r="T26" s="434" t="n">
        <f aca="false">снабжение!M44+снабжение!M45+снабжение!M46</f>
        <v>15135</v>
      </c>
      <c r="U26" s="428" t="n">
        <f aca="false">снабжение!M40</f>
        <v>10077</v>
      </c>
      <c r="V26" s="429" t="n">
        <f aca="false">снабжение!P45</f>
        <v>7045</v>
      </c>
      <c r="W26" s="431" t="n">
        <f aca="false">снабжение!J53+снабжение!J58+снабжение!O53+снабжение!O58</f>
        <v>527730800</v>
      </c>
      <c r="X26" s="435" t="n">
        <f aca="false">снабжение!P13</f>
        <v>120013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379</v>
      </c>
      <c r="J30" s="447" t="n">
        <f aca="false">F26</f>
        <v>2500</v>
      </c>
    </row>
    <row r="31" customFormat="false" ht="15.75" hidden="false" customHeight="true" outlineLevel="0" collapsed="false">
      <c r="I31" s="448" t="s">
        <v>380</v>
      </c>
      <c r="J31" s="449" t="n">
        <f aca="false">G26+H26+I26+J26</f>
        <v>6.07607242759277E+020</v>
      </c>
    </row>
    <row r="32" customFormat="false" ht="15" hidden="false" customHeight="false" outlineLevel="0" collapsed="false">
      <c r="I32" s="448" t="s">
        <v>396</v>
      </c>
      <c r="J32" s="449" t="n">
        <f aca="false">N26+O26+P26</f>
        <v>1575351.5534768</v>
      </c>
      <c r="S32" s="450" t="s">
        <v>72</v>
      </c>
      <c r="T32" s="450"/>
      <c r="U32" s="451" t="n">
        <f aca="false">SUM(F26:X26)</f>
        <v>6.07607242759976E+020</v>
      </c>
      <c r="V32" s="451"/>
      <c r="W32" s="451"/>
      <c r="X32" s="451"/>
    </row>
    <row r="33" customFormat="false" ht="15" hidden="false" customHeight="false" outlineLevel="0" collapsed="false">
      <c r="I33" s="448" t="s">
        <v>381</v>
      </c>
      <c r="J33" s="449" t="n">
        <f aca="false">K26+L26+M26</f>
        <v>168952767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385</v>
      </c>
      <c r="J34" s="449" t="n">
        <f aca="false">R26+S26+T26+U26+V26+X26</f>
        <v>162424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112</v>
      </c>
      <c r="J35" s="449" t="n">
        <f aca="false">Q26</f>
        <v>130546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144</v>
      </c>
      <c r="J36" s="453" t="n">
        <f aca="false">W26</f>
        <v>527730800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