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4645" windowHeight="11700" activeTab="1"/>
  </bookViews>
  <sheets>
    <sheet sheetId="3" name="технолог" state="visible" r:id="rId4"/>
    <sheet sheetId="1" name="снабжение" state="visible" r:id="rId5"/>
    <sheet sheetId="4" name="результат " state="visible" r:id="rId6"/>
  </sheets>
  <definedNames>
    <definedName name="К4_750">'снабжение'!$AM$45:$AM$57</definedName>
    <definedName name="крепеж_для_фланцев">'снабжение'!$AW$37:$AW$45</definedName>
    <definedName name="материал_корпуса">'снабжение'!$AU$47:$AU$54</definedName>
    <definedName name="материал_крепежа_для_фланцев">'снабжение'!$AX$37:$AX$39</definedName>
    <definedName name="материал_крепежа_панелей">'снабжение'!$AS$37:$AS$40</definedName>
    <definedName name="материал_пластин">'снабжение'!$AS$47:$AS$54</definedName>
    <definedName name="покрытие_крепежа_для_фланцев">'снабжение'!$AY$37:$AY$40</definedName>
    <definedName name="покрытие_крепежа_панелей">'снабжение'!$AT$37:$AT$39</definedName>
    <definedName name="размер_крепежа_для_фланцев">'снабжение'!$AW$37:$AW$45</definedName>
    <definedName name="размер_крепежа_панелей">'снабжение'!$AV$37:$AV$43</definedName>
    <definedName name="Рядность_фланцев">'снабжение'!$AR$37:$AR$44</definedName>
    <definedName name="тип_поверхности">'снабжение'!$AZ$36:$AZ$40</definedName>
    <definedName name="тип_поставки">'снабжение'!$AL$39:$AL$41</definedName>
    <definedName name="типоразмеры_К4">'снабжение'!$AM$45:$AM$52</definedName>
    <definedName name="типоразмерыК4">'снабжение'!$AM$45:$AM$46</definedName>
    <definedName name="типорзамеры_К4">'снабжение'!$AM$40:$AM$52</definedName>
    <definedName name="толщина_пластины">'снабжение'!$AL$47:$AL$53</definedName>
    <definedName name="Фланцы">'снабжение'!$AQ$37:$AQ$55</definedName>
  </definedNames>
  <calcPr calcId="171027" fullCalcOnLoad="1"/>
</workbook>
</file>

<file path=xl/comments1.xml><?xml version="1.0" encoding="utf-8"?>
<comments xmlns="http://schemas.openxmlformats.org/spreadsheetml/2006/main">
  <authors>
    <author>Author</author>
  </authors>
  <commentList>
    <comment ref="D10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проката с завода для типоразмеров 500, 600, 750 и 1200. 
Для всех остальных типоразмеров (если толщина проката меньше 90мм) принимать актуальную цену проката с металлобазы</t>
        </r>
      </text>
    </comment>
    <comment ref="D11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металлопроката с завода для толщин больше 90мм, для толщин меньше 90мм принимать цену с металобазы</t>
        </r>
      </text>
    </comment>
    <comment ref="I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
</t>
        </r>
      </text>
    </comment>
    <comment ref="I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  <comment ref="I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</commentList>
</comments>
</file>

<file path=xl/sharedStrings.xml><?xml version="1.0" encoding="utf-8"?>
<sst xmlns="http://schemas.openxmlformats.org/spreadsheetml/2006/main" count="613" uniqueCount="414">
  <si>
    <t>желтым выделено то, что нужно выбрать из списка ТЕХНОЛОГ</t>
  </si>
  <si>
    <t>зелёным выделено то, что нужно ввести в ручную ТЕХНОЛОГ</t>
  </si>
  <si>
    <t>оранжевым выделено то, что нужно ввести в ручную или выбрать из списка ИНЖЕНЕРАМ-КОНСТРУКТОРАМ</t>
  </si>
  <si>
    <t>синим выделено то, что рассчитывавется само (НЕ ТРОГАТЬ)</t>
  </si>
  <si>
    <t>красным выделено то, что может менять только Генеральный директор</t>
  </si>
  <si>
    <t>Исходные заполяет технолог</t>
  </si>
  <si>
    <t>номер у технолога</t>
  </si>
  <si>
    <t>Номер позиции в ОЛ Заказчика</t>
  </si>
  <si>
    <t>тип поставки</t>
  </si>
  <si>
    <t>типоразмер К4</t>
  </si>
  <si>
    <t>ходы</t>
  </si>
  <si>
    <t>Количество пластин</t>
  </si>
  <si>
    <t>Расч Давл по Гор Ст, бар</t>
  </si>
  <si>
    <t>Расч Давл по хол ст, бар</t>
  </si>
  <si>
    <t>Расч Темп по Гор Стороне, С</t>
  </si>
  <si>
    <t>Расч Темп по Хол Стороне, С</t>
  </si>
  <si>
    <t>Давление испытаний Гор ст, бар</t>
  </si>
  <si>
    <t>Давление испытаний Хол ст, бар</t>
  </si>
  <si>
    <t>Материал пластин</t>
  </si>
  <si>
    <t>Материал плакировки панелей</t>
  </si>
  <si>
    <t>Материал Корпуса</t>
  </si>
  <si>
    <t>тип гофры</t>
  </si>
  <si>
    <t>глубина вытяжки, мм</t>
  </si>
  <si>
    <t>толщина пластины, мм</t>
  </si>
  <si>
    <t>толщина плакировки, мм</t>
  </si>
  <si>
    <t>Е-113</t>
  </si>
  <si>
    <t>Целый ТА</t>
  </si>
  <si>
    <t>К4-750</t>
  </si>
  <si>
    <t>1/6</t>
  </si>
  <si>
    <t>AISI 316L</t>
  </si>
  <si>
    <t>09Г2С</t>
  </si>
  <si>
    <t>гофра</t>
  </si>
  <si>
    <r>
      <t xml:space="preserve">Расчетная температура, </t>
    </r>
    <r>
      <rPr>
        <charset val="204"/>
        <color theme="1"/>
        <family val="2"/>
        <sz val="11"/>
        <rFont val="Calibri"/>
      </rPr>
      <t>°С</t>
    </r>
  </si>
  <si>
    <t>Допускаемые напряжения 09Г2С, МПа</t>
  </si>
  <si>
    <t>Температура, °С</t>
  </si>
  <si>
    <t>Ϭ, МПа</t>
  </si>
  <si>
    <t>Расчетное давление, МПа</t>
  </si>
  <si>
    <t>Давление гидроиспытаний, МПа</t>
  </si>
  <si>
    <t>расч напр по гор ст</t>
  </si>
  <si>
    <t>расч напр по хол ст</t>
  </si>
  <si>
    <t>давление расчётное гор ст</t>
  </si>
  <si>
    <t>давление расчётное хол ст</t>
  </si>
  <si>
    <t>Давление ГИ Гор ст</t>
  </si>
  <si>
    <t>Давление ГИ Хол ст</t>
  </si>
  <si>
    <t>0605;1210</t>
  </si>
  <si>
    <t>номер проекта</t>
  </si>
  <si>
    <t>желтым выделено то, что нужно выбрать из списка</t>
  </si>
  <si>
    <t>зелёным выделено то, что нужно ввести в ручную СНАБЖЕНИЕ</t>
  </si>
  <si>
    <t>Теплоблок</t>
  </si>
  <si>
    <t>оранжевым выделено то, что нужно ввести в ручную или выбрать из списка должны вводить ИНЖЕНЕРЫ-КОНСТРУКТОРЫ</t>
  </si>
  <si>
    <t>пластина</t>
  </si>
  <si>
    <t>плакировка</t>
  </si>
  <si>
    <t>ФАЙЛ: ВЕРСИЯ 7 для битрикс</t>
  </si>
  <si>
    <t>Принятая Цена материала проточной части за кг, руб</t>
  </si>
  <si>
    <t>Материал корпуса</t>
  </si>
  <si>
    <t>поз</t>
  </si>
  <si>
    <t>типоразмер</t>
  </si>
  <si>
    <t>кол-во пластин</t>
  </si>
  <si>
    <t>тип пластин</t>
  </si>
  <si>
    <t>материал пластин</t>
  </si>
  <si>
    <t>толщина пластин,мм</t>
  </si>
  <si>
    <t>вытяжка, мм</t>
  </si>
  <si>
    <t>материал плакировки панелей</t>
  </si>
  <si>
    <t>толщина плакировки панелей, мм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</si>
  <si>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колонн, крышек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</si>
  <si>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cost_material_1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</si>
  <si>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панелей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</si>
  <si>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cost_material_2</t>
  </si>
  <si>
    <t>Принятая цена нормочаса, руб</t>
  </si>
  <si>
    <t xml:space="preserve">Стоимость раскроя - песок, электричество, вода (руб/метр) </t>
  </si>
  <si>
    <t>количество нормачасов</t>
  </si>
  <si>
    <t>внутренняя логитика</t>
  </si>
  <si>
    <t>Поправка на раскрой для плакировки и гребёнок</t>
  </si>
  <si>
    <t>ИТОГО</t>
  </si>
  <si>
    <t>поправка на раскрой колонн</t>
  </si>
  <si>
    <t>поправка на раскрой крышек</t>
  </si>
  <si>
    <t>ПРОВЕРКА</t>
  </si>
  <si>
    <t>поправка на раскрой панелей</t>
  </si>
  <si>
    <t>weight_thickness</t>
  </si>
  <si>
    <t>КРЫШКА 1 штука</t>
  </si>
  <si>
    <t>КОЛОННА 1 штука</t>
  </si>
  <si>
    <t>КРЕПЕЖ ПАНЕЛЕЙ</t>
  </si>
  <si>
    <t>работы</t>
  </si>
  <si>
    <t>МЕТАЛЛ</t>
  </si>
  <si>
    <t>толщина проката, м</t>
  </si>
  <si>
    <t>плотность</t>
  </si>
  <si>
    <t>количество</t>
  </si>
  <si>
    <t>панели</t>
  </si>
  <si>
    <t>цена раскроя</t>
  </si>
  <si>
    <t>weight_thick_total_1</t>
  </si>
  <si>
    <t>вес загот, кг</t>
  </si>
  <si>
    <t>материал</t>
  </si>
  <si>
    <t>40Х</t>
  </si>
  <si>
    <t>плакировка панелей</t>
  </si>
  <si>
    <t>ОБРАБОТКА 1 шт</t>
  </si>
  <si>
    <t>weight_thick_total_2</t>
  </si>
  <si>
    <t>ОБРАБОТКА 1шт</t>
  </si>
  <si>
    <t>высота, м</t>
  </si>
  <si>
    <t>покрытие</t>
  </si>
  <si>
    <t>Zn-Cr 9мкм</t>
  </si>
  <si>
    <t>цена за 1шт</t>
  </si>
  <si>
    <t>крышки</t>
  </si>
  <si>
    <t>ИТОГО 1 крышка</t>
  </si>
  <si>
    <t>ИТОГО 1 колонна</t>
  </si>
  <si>
    <t>шпилька</t>
  </si>
  <si>
    <t>М33</t>
  </si>
  <si>
    <t>колонны</t>
  </si>
  <si>
    <t>гайка</t>
  </si>
  <si>
    <t>крепёж панелей</t>
  </si>
  <si>
    <t>ПАНЕЛЬ А 1 штука</t>
  </si>
  <si>
    <t>ПАНЕЛЬ Б 1 штука</t>
  </si>
  <si>
    <t>шайба</t>
  </si>
  <si>
    <t>прокладки панелей</t>
  </si>
  <si>
    <t>МЕТАЛЛ на 1шт</t>
  </si>
  <si>
    <t>МЕТАЛЛ на 1 шт</t>
  </si>
  <si>
    <t>резерв прокладок панелей</t>
  </si>
  <si>
    <t>weight_thick_1</t>
  </si>
  <si>
    <t>пакет пластин</t>
  </si>
  <si>
    <t>ОБРАБОТКА за 1шт</t>
  </si>
  <si>
    <t>weight_thick_2</t>
  </si>
  <si>
    <t>ширина, м</t>
  </si>
  <si>
    <t>КОФ</t>
  </si>
  <si>
    <t>зеркала-гребёнки-плакировка крышек-перегородки</t>
  </si>
  <si>
    <t>Фланец №1</t>
  </si>
  <si>
    <t>Ру40</t>
  </si>
  <si>
    <t>Ду600</t>
  </si>
  <si>
    <t>цена 1шт</t>
  </si>
  <si>
    <t>f28_total</t>
  </si>
  <si>
    <t>Фланец №3</t>
  </si>
  <si>
    <t>Ру25</t>
  </si>
  <si>
    <t>Ду450</t>
  </si>
  <si>
    <t>ЦЕНА 1шт</t>
  </si>
  <si>
    <t>распорки</t>
  </si>
  <si>
    <t>Фланец №2</t>
  </si>
  <si>
    <t>f29_pipe</t>
  </si>
  <si>
    <t>Фланец №4</t>
  </si>
  <si>
    <t>Ру63</t>
  </si>
  <si>
    <t>Ду300</t>
  </si>
  <si>
    <t>крепёж</t>
  </si>
  <si>
    <t>М18</t>
  </si>
  <si>
    <t>ст40Х</t>
  </si>
  <si>
    <t>комплект</t>
  </si>
  <si>
    <t>Цена заготовки трубы под фланец №1, 1шт</t>
  </si>
  <si>
    <t>f30_pipe</t>
  </si>
  <si>
    <t>Цена заготовки трубы под фланец №3, 1шт</t>
  </si>
  <si>
    <t>прокладка</t>
  </si>
  <si>
    <t>1шт</t>
  </si>
  <si>
    <t>проушины</t>
  </si>
  <si>
    <t>Цена заготовки трубы под фланец №2, 1шт</t>
  </si>
  <si>
    <t>f31_pipe</t>
  </si>
  <si>
    <t>Цена заготовки трубы под фланец №4, 1шт</t>
  </si>
  <si>
    <t>обтюратор</t>
  </si>
  <si>
    <t>лапы</t>
  </si>
  <si>
    <t>Цена на патрубок (фланец+труба) дренажа, 1шт</t>
  </si>
  <si>
    <t>f32_pipe</t>
  </si>
  <si>
    <t>другие материалы</t>
  </si>
  <si>
    <t>Цена на патрубок(фланец+труба) вентиляции, 1шт</t>
  </si>
  <si>
    <t>f33_pipe</t>
  </si>
  <si>
    <t>раскосы для ШОТ_БЛОКА</t>
  </si>
  <si>
    <t>ИТОГО ПАНЕЛЬ</t>
  </si>
  <si>
    <t>ИТОГО ПАТРУБКИ</t>
  </si>
  <si>
    <t>неучтёнка</t>
  </si>
  <si>
    <t>ИТОГО 2 панели с патрубками</t>
  </si>
  <si>
    <t>ЗИП</t>
  </si>
  <si>
    <t>Фланцы</t>
  </si>
  <si>
    <t>КРЕПЁЖ ПАНЕЛЕЙ</t>
  </si>
  <si>
    <t>КРЕПЕЖ ДЛЯ ФЛАНЦЕВ</t>
  </si>
  <si>
    <t>тип поверхности</t>
  </si>
  <si>
    <t>Внутренняя логистика</t>
  </si>
  <si>
    <t>размер</t>
  </si>
  <si>
    <t>Рядность</t>
  </si>
  <si>
    <t>ПРОКЛАДКИ ПАНЕЛЕЙ</t>
  </si>
  <si>
    <t>ПРОУШИНЫ, комплект</t>
  </si>
  <si>
    <t>ЛАПЫ, комплект</t>
  </si>
  <si>
    <t>РАСКОСЫ, комплект</t>
  </si>
  <si>
    <t>Ду25</t>
  </si>
  <si>
    <t>Ру6</t>
  </si>
  <si>
    <t>М24</t>
  </si>
  <si>
    <t>М16</t>
  </si>
  <si>
    <t>ст35</t>
  </si>
  <si>
    <t>дв. лунка</t>
  </si>
  <si>
    <t>Цена 1 шт</t>
  </si>
  <si>
    <t>quantity_total</t>
  </si>
  <si>
    <t>комплект 4шт</t>
  </si>
  <si>
    <t>металл</t>
  </si>
  <si>
    <t>площадь крышки</t>
  </si>
  <si>
    <t>ширина панели А</t>
  </si>
  <si>
    <t>ширина панели Б</t>
  </si>
  <si>
    <t>Ду32</t>
  </si>
  <si>
    <t>Ру10</t>
  </si>
  <si>
    <t>38ХМ (35ХМ)</t>
  </si>
  <si>
    <t>Zn-Cr 25мкм</t>
  </si>
  <si>
    <t>М30</t>
  </si>
  <si>
    <t>од. лунка</t>
  </si>
  <si>
    <t>количество запасных комплектов (резерв на давление)</t>
  </si>
  <si>
    <t>обработка</t>
  </si>
  <si>
    <t>м2</t>
  </si>
  <si>
    <t>Ду40</t>
  </si>
  <si>
    <t>Ру16</t>
  </si>
  <si>
    <t>30ХМА</t>
  </si>
  <si>
    <t>Cd-Cr</t>
  </si>
  <si>
    <t>М20</t>
  </si>
  <si>
    <t>20ХН3А</t>
  </si>
  <si>
    <t>ШОТ-БЛОК</t>
  </si>
  <si>
    <t>К4-150</t>
  </si>
  <si>
    <t>Ду50</t>
  </si>
  <si>
    <t>М36</t>
  </si>
  <si>
    <t>М22</t>
  </si>
  <si>
    <t>Чернение</t>
  </si>
  <si>
    <t>шпилька-лунка</t>
  </si>
  <si>
    <t>РЕИНЖ</t>
  </si>
  <si>
    <t>К4-200</t>
  </si>
  <si>
    <t>Ду65</t>
  </si>
  <si>
    <t>М39</t>
  </si>
  <si>
    <t>РАСПОРКИ</t>
  </si>
  <si>
    <t>ДРУГИЕ МАТЕРИАЛЫ (не ЗИП), например, теплоизоляция, короб теплоизоляции, втулки для крепления теплоизоляции</t>
  </si>
  <si>
    <t>К4-300</t>
  </si>
  <si>
    <t>Ду80</t>
  </si>
  <si>
    <t>М42</t>
  </si>
  <si>
    <t>М27</t>
  </si>
  <si>
    <t>цена  шпильки М24х2000, шт</t>
  </si>
  <si>
    <t>цена выс. гайки М24 DIN6330, шт</t>
  </si>
  <si>
    <t>К4-400</t>
  </si>
  <si>
    <t>Ду100</t>
  </si>
  <si>
    <t>Ру100</t>
  </si>
  <si>
    <t>М48</t>
  </si>
  <si>
    <t>Цена шпильки М24х1000, шт</t>
  </si>
  <si>
    <t>цена гайки М24 DIN933, шт</t>
  </si>
  <si>
    <t>втулка теплоизоляции 90шт</t>
  </si>
  <si>
    <t>К4-500*250</t>
  </si>
  <si>
    <t>Ду125</t>
  </si>
  <si>
    <t>Ру160</t>
  </si>
  <si>
    <t>Цена шпильки М20х2000, шт</t>
  </si>
  <si>
    <t>цена гайки М20/М16 DIN933, шт</t>
  </si>
  <si>
    <t>впишите информацию</t>
  </si>
  <si>
    <t>К4-500</t>
  </si>
  <si>
    <t>Ду150</t>
  </si>
  <si>
    <t>Цена шпильки М20/М16х1000, шт</t>
  </si>
  <si>
    <t>толщина пластины</t>
  </si>
  <si>
    <t>Ду200</t>
  </si>
  <si>
    <t>материал корпуса</t>
  </si>
  <si>
    <t>К4-600</t>
  </si>
  <si>
    <t>Ду250</t>
  </si>
  <si>
    <t>ст3</t>
  </si>
  <si>
    <t>К4-600*300</t>
  </si>
  <si>
    <t>SMO 254</t>
  </si>
  <si>
    <t>ст20</t>
  </si>
  <si>
    <t>сумма</t>
  </si>
  <si>
    <t>К4-1000</t>
  </si>
  <si>
    <t>Ду350</t>
  </si>
  <si>
    <t>Hast-C276</t>
  </si>
  <si>
    <t>Прокладки панелей</t>
  </si>
  <si>
    <t>К4-1000*500</t>
  </si>
  <si>
    <t>Ду400</t>
  </si>
  <si>
    <t>Titanium</t>
  </si>
  <si>
    <t>12Х18Н10Т</t>
  </si>
  <si>
    <t>крепёж к фундаменту, анкерные болты</t>
  </si>
  <si>
    <t>К4-1200</t>
  </si>
  <si>
    <t>AISI 304</t>
  </si>
  <si>
    <t>ДРУГОЕ</t>
  </si>
  <si>
    <t>К4-1200*600</t>
  </si>
  <si>
    <t>Ду500</t>
  </si>
  <si>
    <t>AISI316Ti</t>
  </si>
  <si>
    <t>904L</t>
  </si>
  <si>
    <t>AISI 321</t>
  </si>
  <si>
    <t>Фланцевый крепёж</t>
  </si>
  <si>
    <t>Фланцевые прокладки</t>
  </si>
  <si>
    <t>Ду800</t>
  </si>
  <si>
    <t>AISI 316Ti</t>
  </si>
  <si>
    <t>Ду1000</t>
  </si>
  <si>
    <t>Плотность материалов</t>
  </si>
  <si>
    <t>кг/мм3</t>
  </si>
  <si>
    <t>06ХН28МДТ</t>
  </si>
  <si>
    <t>Titan</t>
  </si>
  <si>
    <t xml:space="preserve">ХН65МВУ (ЭП567) </t>
  </si>
  <si>
    <t>Расчетная масса</t>
  </si>
  <si>
    <t>Реинжиниринг</t>
  </si>
  <si>
    <t>Распорки</t>
  </si>
  <si>
    <t>Гайки</t>
  </si>
  <si>
    <t>Толщина плакировки панелей</t>
  </si>
  <si>
    <t>Толщина нержавейки</t>
  </si>
  <si>
    <t>Гребёнки, зеркала, плакировка крышек</t>
  </si>
  <si>
    <t>Масса пластин</t>
  </si>
  <si>
    <t>Масса листов плакирующих панели</t>
  </si>
  <si>
    <t>Длина резки плакировки панелей</t>
  </si>
  <si>
    <t>Длина резки нержавейки гребёнки, зеркала, плакировка крышек</t>
  </si>
  <si>
    <t>Длина резки нержавейки 1мм</t>
  </si>
  <si>
    <t>Длина резки нержавейки пакета пластин</t>
  </si>
  <si>
    <t>Кол-во 1 м шпилек, шт</t>
  </si>
  <si>
    <t>Кол-во 2 м шпилек, шт</t>
  </si>
  <si>
    <t>DIN 933</t>
  </si>
  <si>
    <t>DIN 6330</t>
  </si>
  <si>
    <t>большие</t>
  </si>
  <si>
    <t>остальные</t>
  </si>
  <si>
    <t>Наименование детали</t>
  </si>
  <si>
    <t>Масса, кг</t>
  </si>
  <si>
    <t>Плотность пакета, кг/мм3</t>
  </si>
  <si>
    <t>Гребенка 4шт</t>
  </si>
  <si>
    <t>Полоса гребенки 4шт</t>
  </si>
  <si>
    <t>Лист концевой 2шт</t>
  </si>
  <si>
    <t>плотность плакировки,кг/мм3</t>
  </si>
  <si>
    <t>Зеркало лист 8шт</t>
  </si>
  <si>
    <t>Зеркало А 4шт</t>
  </si>
  <si>
    <t>Зеркало Б 4шт</t>
  </si>
  <si>
    <t>Высота пластины</t>
  </si>
  <si>
    <t>Высота пакета пластин</t>
  </si>
  <si>
    <t>Лист плакирующий А 2шт</t>
  </si>
  <si>
    <t xml:space="preserve">Лист плакирующий Б 2шт </t>
  </si>
  <si>
    <t>mass_pipe_1</t>
  </si>
  <si>
    <t>Масса пластин, кг</t>
  </si>
  <si>
    <t>А</t>
  </si>
  <si>
    <t>Б</t>
  </si>
  <si>
    <t>3 столбца не трогать</t>
  </si>
  <si>
    <t>Количество ходов</t>
  </si>
  <si>
    <t>mass_pipe_2</t>
  </si>
  <si>
    <t>Не используется</t>
  </si>
  <si>
    <t>Таблица пластин</t>
  </si>
  <si>
    <t>Ширина</t>
  </si>
  <si>
    <t>Длина</t>
  </si>
  <si>
    <t>Масса 4шт</t>
  </si>
  <si>
    <t>Масса 2шт</t>
  </si>
  <si>
    <t>Масса</t>
  </si>
  <si>
    <t>Длина А</t>
  </si>
  <si>
    <t>Длина Б</t>
  </si>
  <si>
    <t>Длина (средний периметр)</t>
  </si>
  <si>
    <t>Не применимо</t>
  </si>
  <si>
    <t>Пластины</t>
  </si>
  <si>
    <t>Длина заготовки</t>
  </si>
  <si>
    <t>Ширина заготовки</t>
  </si>
  <si>
    <t>Высота</t>
  </si>
  <si>
    <t>масса заготовок</t>
  </si>
  <si>
    <t>Колонны</t>
  </si>
  <si>
    <t>Гребенка</t>
  </si>
  <si>
    <t>Полоса гребенки</t>
  </si>
  <si>
    <t>Лист концевой</t>
  </si>
  <si>
    <t>Зеркало лист без прибавки на резку</t>
  </si>
  <si>
    <t>Зеркало лист</t>
  </si>
  <si>
    <t>Зеркало 1шт без прибавки на резку</t>
  </si>
  <si>
    <t>Зеркало А 2шт</t>
  </si>
  <si>
    <t>Зеркало Б 2шт</t>
  </si>
  <si>
    <t>Лист плакирующий А</t>
  </si>
  <si>
    <t>Лист плакирующий Б</t>
  </si>
  <si>
    <t>Длина Гребенки</t>
  </si>
  <si>
    <t>Длина полосы гребенки</t>
  </si>
  <si>
    <t>Длина лист концевой</t>
  </si>
  <si>
    <t>Зеркало А</t>
  </si>
  <si>
    <t>Зеркало Б</t>
  </si>
  <si>
    <t>Дефлектор А</t>
  </si>
  <si>
    <t>Дефлектор Б</t>
  </si>
  <si>
    <t>Ласточка A</t>
  </si>
  <si>
    <t>Ласточка Б</t>
  </si>
  <si>
    <t>Пластина</t>
  </si>
  <si>
    <t>Лист Плакирующий Б</t>
  </si>
  <si>
    <t>отверстия листа плак А</t>
  </si>
  <si>
    <t>отверстия листа плак Б</t>
  </si>
  <si>
    <t>Сумма 3мм Теплоблок (пакет)</t>
  </si>
  <si>
    <t>Сумма 3мм Теплоблок (плакировка)</t>
  </si>
  <si>
    <t>Сумма 3мм реинж</t>
  </si>
  <si>
    <t>Сумма 1мм</t>
  </si>
  <si>
    <t>Рапорка горизонтальная А</t>
  </si>
  <si>
    <t>Распорка горизонтальная Б</t>
  </si>
  <si>
    <t>Длина горизонтальной А</t>
  </si>
  <si>
    <t>Длина горизонтальной Б</t>
  </si>
  <si>
    <t>Гайка DIN933</t>
  </si>
  <si>
    <t>1 строка</t>
  </si>
  <si>
    <t>Шаг установки распорок</t>
  </si>
  <si>
    <t>АА</t>
  </si>
  <si>
    <t>АБ</t>
  </si>
  <si>
    <t>БА</t>
  </si>
  <si>
    <t>ББ</t>
  </si>
  <si>
    <t>кол-во распорок на длину (предварит)</t>
  </si>
  <si>
    <t>кол-во горизонтальных распорок (без дефлект)</t>
  </si>
  <si>
    <t>кол-во дефлекторов</t>
  </si>
  <si>
    <t>кол-во распорок с дефлекторами</t>
  </si>
  <si>
    <t>кол-во горизонтальных распорок пакета пластин</t>
  </si>
  <si>
    <t>1 ход</t>
  </si>
  <si>
    <t>2хода</t>
  </si>
  <si>
    <t>четное</t>
  </si>
  <si>
    <t>нечетное</t>
  </si>
  <si>
    <t>1 строка таблицы</t>
  </si>
  <si>
    <t>Горизонтальные длина</t>
  </si>
  <si>
    <t>Вертикальные длина</t>
  </si>
  <si>
    <t>А сторона</t>
  </si>
  <si>
    <t>Б сторона</t>
  </si>
  <si>
    <t>Сторона А кол-во, шт</t>
  </si>
  <si>
    <t>Длина 1шт</t>
  </si>
  <si>
    <t>Сторона Б кол-во, шт</t>
  </si>
  <si>
    <t>Кол-во</t>
  </si>
  <si>
    <t>кол-во из 1м шпильки</t>
  </si>
  <si>
    <t>кол-во 1 м шпилек</t>
  </si>
  <si>
    <t>кол-во 1 м шпилек вертикальных</t>
  </si>
  <si>
    <t>шпилек на 2 метра</t>
  </si>
  <si>
    <t>ощее кол-во 1 м шпилек</t>
  </si>
  <si>
    <t>кол-во 2м шпилек для 1200</t>
  </si>
  <si>
    <t>кол-во 2м шпилек для 1200x600</t>
  </si>
  <si>
    <t>СВОДНЫЙ РЕЗУЛЬТАТ</t>
  </si>
  <si>
    <t>РАБОТЫ</t>
  </si>
  <si>
    <t>КОРПУС</t>
  </si>
  <si>
    <t>СОЕДИНЕНИЯ</t>
  </si>
  <si>
    <t>пакет пластин (материал + раскрой)</t>
  </si>
  <si>
    <t>зеркала, гребёнки, плакировка крышек, перегородки (материал + раскрой)</t>
  </si>
  <si>
    <t>внутренние распорки (шпильки+гайки)</t>
  </si>
  <si>
    <t>ПРОЧЕЕ</t>
  </si>
  <si>
    <r>
      <rPr>
        <b/>
        <charset val="204"/>
        <color theme="1"/>
        <family val="2"/>
        <scheme val="minor"/>
        <sz val="11"/>
        <rFont val="Calibri"/>
      </rPr>
      <t xml:space="preserve">панели </t>
    </r>
    <r>
      <rPr>
        <color theme="1"/>
        <family val="2"/>
        <scheme val="minor"/>
        <sz val="11"/>
        <rFont val="Calibri"/>
      </rPr>
      <t>(материал+обработка, патрубки, фланцы)</t>
    </r>
  </si>
  <si>
    <r>
      <t xml:space="preserve">плакировка панелей </t>
    </r>
    <r>
      <rPr>
        <charset val="204"/>
        <color theme="1"/>
        <family val="2"/>
        <scheme val="minor"/>
        <sz val="11"/>
        <rFont val="Calibri"/>
      </rPr>
      <t xml:space="preserve"> (материал + раскрой)</t>
    </r>
  </si>
  <si>
    <r>
      <rPr>
        <b/>
        <charset val="204"/>
        <color theme="1"/>
        <family val="2"/>
        <scheme val="minor"/>
        <sz val="11"/>
        <rFont val="Calibri"/>
      </rPr>
      <t xml:space="preserve">крышки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</si>
  <si>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rPr>
        <b/>
        <charset val="204"/>
        <color theme="1"/>
        <family val="2"/>
        <scheme val="minor"/>
        <sz val="11"/>
        <rFont val="Calibri"/>
      </rPr>
      <t xml:space="preserve">стойки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</si>
  <si>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t xml:space="preserve">КРЕПЁЖ ПАНЕЛЕЙ шпильки и гайки </t>
    </r>
    <r>
      <rPr>
        <charset val="204"/>
        <color theme="1"/>
        <family val="2"/>
        <scheme val="minor"/>
        <sz val="11"/>
        <rFont val="Calibri"/>
      </rPr>
      <t>(для стяжки панелей)</t>
    </r>
  </si>
  <si>
    <t>прокладки панелей (1 комплект)</t>
  </si>
  <si>
    <t>резервных комплектов предусмотрено</t>
  </si>
  <si>
    <t>НЕУЧТЁНКА</t>
  </si>
  <si>
    <t>цена за 1 кг материала проточной части теплообменника</t>
  </si>
  <si>
    <t>раскосы</t>
  </si>
  <si>
    <t>СЕРДЕЧНИК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</si>
</sst>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,##0.00&quot;р.&quot;"/>
    <numFmt numFmtId="166" formatCode="_-* #,##0.00&quot;р.&quot;_-;-* #,##0.00&quot;р.&quot;_-;_-* &quot;-&quot;??&quot;р.&quot;_-;_-@_-"/>
    <numFmt numFmtId="167" formatCode="0.000"/>
    <numFmt numFmtId="168" formatCode="#,##0.0000"/>
    <numFmt numFmtId="169" formatCode="#,##0 &quot;₽&quot;"/>
  </numFmts>
  <fonts count="30" x14ac:knownFonts="1">
    <font>
      <color theme="1"/>
      <family val="2"/>
      <scheme val="minor"/>
      <sz val="11"/>
      <name val="Calibri"/>
    </font>
    <font>
      <color theme="1"/>
      <family val="2"/>
      <scheme val="minor"/>
      <sz val="36"/>
      <name val="Calibri"/>
    </font>
    <font>
      <color theme="1"/>
      <family val="2"/>
      <scheme val="minor"/>
      <sz val="10"/>
      <name val="Calibri"/>
    </font>
    <font>
      <charset val="204"/>
      <color theme="1"/>
      <family val="2"/>
      <sz val="11"/>
      <name val="Calibri"/>
    </font>
    <font>
      <color theme="0" tint="-0.1499984740745262"/>
      <family val="2"/>
      <scheme val="minor"/>
      <sz val="11"/>
      <name val="Calibri"/>
    </font>
    <font>
      <color theme="1"/>
      <family val="2"/>
      <scheme val="minor"/>
      <sz val="16"/>
      <name val="Calibri"/>
    </font>
    <font>
      <b/>
      <charset val="204"/>
      <family val="2"/>
      <scheme val="minor"/>
      <sz val="16"/>
      <name val="Calibri"/>
    </font>
    <font>
      <b/>
      <charset val="204"/>
      <color theme="1"/>
      <family val="2"/>
      <scheme val="minor"/>
      <sz val="18"/>
      <name val="Calibri"/>
    </font>
    <font>
      <b/>
      <charset val="204"/>
      <color theme="1"/>
      <family val="2"/>
      <scheme val="minor"/>
      <sz val="26"/>
      <name val="Calibri"/>
    </font>
    <font>
      <color rgb="FFFF0000"/>
      <family val="2"/>
      <scheme val="minor"/>
      <sz val="22"/>
      <name val="Calibri"/>
    </font>
    <font>
      <charset val="204"/>
      <color theme="1"/>
      <family val="2"/>
      <scheme val="minor"/>
      <sz val="11"/>
      <name val="Calibri"/>
    </font>
    <font>
      <i/>
      <charset val="204"/>
      <family val="2"/>
      <scheme val="minor"/>
      <sz val="11"/>
      <name val="Calibri"/>
    </font>
    <font>
      <b/>
      <charset val="204"/>
      <color rgb="FFFF0000"/>
      <family val="2"/>
      <scheme val="minor"/>
      <sz val="11"/>
      <name val="Calibri"/>
    </font>
    <font>
      <color theme="1"/>
      <family val="2"/>
      <scheme val="minor"/>
      <sz val="8"/>
      <name val="Calibri"/>
    </font>
    <font>
      <i/>
      <charset val="204"/>
      <color theme="1"/>
      <family val="2"/>
      <scheme val="minor"/>
      <sz val="11"/>
      <name val="Calibri"/>
    </font>
    <font>
      <b/>
      <charset val="204"/>
      <color theme="1"/>
      <family val="2"/>
      <scheme val="minor"/>
      <sz val="11"/>
      <name val="Calibri"/>
    </font>
    <font>
      <color theme="1"/>
      <family val="2"/>
      <scheme val="minor"/>
      <sz val="20"/>
      <name val="Calibri"/>
    </font>
    <font>
      <b/>
      <i/>
      <charset val="204"/>
      <color rgb="FFFF0000"/>
      <family val="2"/>
      <scheme val="minor"/>
      <sz val="10"/>
      <name val="Calibri"/>
    </font>
    <font>
      <i/>
      <charset val="204"/>
      <color theme="1"/>
      <family val="2"/>
      <scheme val="minor"/>
      <sz val="10"/>
      <name val="Calibri"/>
    </font>
    <font>
      <charset val="204"/>
      <color theme="1"/>
      <family val="2"/>
      <scheme val="minor"/>
      <sz val="10"/>
      <name val="Calibri"/>
    </font>
    <font>
      <charset val="204"/>
      <family val="2"/>
      <scheme val="minor"/>
      <sz val="10"/>
      <name val="Calibri"/>
    </font>
    <font>
      <charset val="204"/>
      <family val="2"/>
      <scheme val="minor"/>
      <sz val="11"/>
      <name val="Calibri"/>
    </font>
    <font>
      <b/>
      <charset val="204"/>
      <color theme="1"/>
      <family val="2"/>
      <scheme val="minor"/>
      <sz val="10"/>
      <name val="Calibri"/>
    </font>
    <font>
      <family val="2"/>
      <scheme val="minor"/>
      <sz val="11"/>
      <name val="Calibri"/>
    </font>
    <font>
      <b/>
      <i/>
      <charset val="204"/>
      <color theme="1"/>
      <family val="2"/>
      <scheme val="minor"/>
      <sz val="10"/>
      <name val="Calibri"/>
    </font>
    <font>
      <color rgb="FFFF0000"/>
      <family val="2"/>
      <scheme val="minor"/>
      <sz val="11"/>
      <name val="Calibri"/>
    </font>
    <font>
      <color theme="1"/>
      <family val="2"/>
      <scheme val="minor"/>
      <sz val="48"/>
      <name val="Calibri"/>
    </font>
    <font>
      <charset val="204"/>
      <color theme="1"/>
      <family val="2"/>
      <scheme val="minor"/>
      <sz val="20"/>
      <name val="Calibri"/>
    </font>
    <font>
      <b/>
      <charset val="204"/>
      <color theme="1"/>
      <family val="2"/>
      <scheme val="minor"/>
      <sz val="48"/>
      <name val="Calibri"/>
    </font>
    <font>
      <b/>
      <charset val="204"/>
      <color theme="1"/>
      <family val="2"/>
      <scheme val="minor"/>
      <sz val="28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"/>
        <bgColor indexed="64"/>
      </patternFill>
    </fill>
  </fills>
  <borders count="136">
    <border>
      <left/>
      <right/>
      <top/>
      <bottom/>
      <diagonal/>
    </border>
    <border>
      <left style="thick"/>
      <right/>
      <top style="thick"/>
      <bottom/>
      <diagonal/>
    </border>
    <border>
      <left/>
      <right/>
      <top style="thick"/>
      <bottom/>
      <diagonal/>
    </border>
    <border>
      <left/>
      <right style="thick"/>
      <top style="thick"/>
      <bottom/>
      <diagonal/>
    </border>
    <border>
      <left style="thick"/>
      <right/>
      <top/>
      <bottom style="thick"/>
      <diagonal/>
    </border>
    <border>
      <left/>
      <right/>
      <top/>
      <bottom style="thick"/>
      <diagonal/>
    </border>
    <border>
      <left/>
      <right style="thick"/>
      <top/>
      <bottom style="thick"/>
      <diagonal/>
    </border>
    <border>
      <left style="thick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ck"/>
      <top/>
      <bottom style="thin"/>
      <diagonal/>
    </border>
    <border>
      <left style="thick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ck"/>
      <top style="thin"/>
      <bottom style="thin"/>
      <diagonal/>
    </border>
    <border>
      <left style="thick"/>
      <right style="thin"/>
      <top style="thin"/>
      <bottom style="thick"/>
      <diagonal/>
    </border>
    <border>
      <left style="thin"/>
      <right style="thin"/>
      <top style="thin"/>
      <bottom style="thick"/>
      <diagonal/>
    </border>
    <border>
      <left style="thin"/>
      <right/>
      <top style="thin"/>
      <bottom style="thick"/>
      <diagonal/>
    </border>
    <border>
      <left style="thin"/>
      <right style="thick"/>
      <top style="thin"/>
      <bottom style="thick"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/>
      <top style="medium">
        <color indexed="64"/>
      </top>
      <bottom style="medium">
        <color indexed="64"/>
      </bottom>
      <diagonal/>
    </border>
    <border>
      <left style="thin"/>
      <right style="thin"/>
      <top style="medium">
        <color indexed="64"/>
      </top>
      <bottom style="medium">
        <color indexed="64"/>
      </bottom>
      <diagonal/>
    </border>
    <border>
      <left style="thin"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/>
      <top/>
      <bottom style="medium">
        <color indexed="64"/>
      </bottom>
      <diagonal/>
    </border>
    <border>
      <left style="thin"/>
      <right style="thin"/>
      <top/>
      <bottom style="medium">
        <color indexed="64"/>
      </bottom>
      <diagonal/>
    </border>
    <border>
      <left style="thin"/>
      <right style="medium">
        <color indexed="64"/>
      </right>
      <top/>
      <bottom style="medium">
        <color indexed="64"/>
      </bottom>
      <diagonal/>
    </border>
    <border>
      <left style="thin"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ck"/>
      <right style="thin"/>
      <top style="thick"/>
      <bottom style="thin"/>
      <diagonal/>
    </border>
    <border>
      <left style="thin"/>
      <right style="thick"/>
      <top style="thick"/>
      <bottom style="thin"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/>
      <right style="thick"/>
      <top style="thick"/>
      <bottom style="thick"/>
      <diagonal/>
    </border>
    <border>
      <left/>
      <right/>
      <top style="thin"/>
      <bottom/>
      <diagonal/>
    </border>
    <border>
      <left style="thick"/>
      <right style="thin"/>
      <top style="thick"/>
      <bottom style="thick"/>
      <diagonal/>
    </border>
    <border>
      <left style="thin"/>
      <right style="thin"/>
      <top style="thick"/>
      <bottom style="thick"/>
      <diagonal/>
    </border>
    <border>
      <left style="thin"/>
      <right style="thick"/>
      <top style="thick"/>
      <bottom style="thick"/>
      <diagonal/>
    </border>
    <border>
      <left style="thick"/>
      <right/>
      <top style="thick"/>
      <bottom style="thin"/>
      <diagonal/>
    </border>
    <border>
      <left/>
      <right/>
      <top style="thick"/>
      <bottom style="thin"/>
      <diagonal/>
    </border>
    <border>
      <left/>
      <right style="thick"/>
      <top style="thick"/>
      <bottom style="thin"/>
      <diagonal/>
    </border>
    <border>
      <left style="thin"/>
      <right style="thin"/>
      <top style="thick"/>
      <bottom style="thin"/>
      <diagonal/>
    </border>
    <border>
      <left style="thick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thick"/>
      <top style="thin"/>
      <bottom/>
      <diagonal/>
    </border>
    <border>
      <left style="thick"/>
      <right/>
      <top style="thin"/>
      <bottom/>
      <diagonal/>
    </border>
    <border>
      <left/>
      <right style="thick"/>
      <top style="thin"/>
      <bottom/>
      <diagonal/>
    </border>
    <border>
      <left style="thick"/>
      <right/>
      <top/>
      <bottom/>
      <diagonal/>
    </border>
    <border>
      <left style="thick"/>
      <right/>
      <top/>
      <bottom style="thin"/>
      <diagonal/>
    </border>
    <border>
      <left style="thick"/>
      <right style="thin"/>
      <top style="thick"/>
      <bottom/>
      <diagonal/>
    </border>
    <border>
      <left style="thin"/>
      <right style="thick"/>
      <top style="thick"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ck"/>
      <top/>
      <bottom/>
      <diagonal/>
    </border>
    <border>
      <left style="thick"/>
      <right/>
      <top style="thick"/>
      <bottom style="thick"/>
      <diagonal/>
    </border>
    <border>
      <left/>
      <right/>
      <top style="thick"/>
      <bottom style="thick"/>
      <diagonal/>
    </border>
    <border>
      <left/>
      <right style="thick"/>
      <top style="thick"/>
      <bottom style="thick"/>
      <diagonal/>
    </border>
    <border>
      <left style="thick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ck"/>
      <top style="thin"/>
      <bottom style="thin"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/>
      <right/>
      <top style="thin"/>
      <bottom style="thick"/>
      <diagonal/>
    </border>
    <border>
      <left/>
      <right/>
      <top style="thin"/>
      <bottom style="thick"/>
      <diagonal/>
    </border>
    <border>
      <left/>
      <right style="thick"/>
      <top style="thin"/>
      <bottom style="thick"/>
      <diagonal/>
    </border>
    <border>
      <left style="thin"/>
      <right style="thick"/>
      <top/>
      <bottom style="thick"/>
      <diagonal/>
    </border>
    <border>
      <left/>
      <right style="thin"/>
      <top style="thick"/>
      <bottom style="thick"/>
      <diagonal/>
    </border>
    <border>
      <left style="thin"/>
      <right/>
      <top style="thick"/>
      <bottom style="thick"/>
      <diagonal/>
    </border>
    <border>
      <left style="thin"/>
      <right style="thick"/>
      <top/>
      <bottom/>
      <diagonal/>
    </border>
    <border>
      <left/>
      <right style="thin"/>
      <top style="thick"/>
      <bottom/>
      <diagonal/>
    </border>
    <border>
      <left/>
      <right style="thin"/>
      <top/>
      <bottom/>
      <diagonal/>
    </border>
    <border>
      <left/>
      <right style="thin"/>
      <top/>
      <bottom style="thick"/>
      <diagonal/>
    </border>
    <border>
      <left/>
      <right style="thick"/>
      <top style="medium">
        <color indexed="64"/>
      </top>
      <bottom/>
      <diagonal/>
    </border>
    <border>
      <left style="thick"/>
      <right/>
      <top style="medium">
        <color indexed="64"/>
      </top>
      <bottom/>
      <diagonal/>
    </border>
    <border>
      <left/>
      <right style="medium">
        <color indexed="64"/>
      </right>
      <top/>
      <bottom style="thick"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/>
      <diagonal/>
    </border>
    <border>
      <left/>
      <right style="thick"/>
      <top/>
      <bottom style="thin"/>
      <diagonal/>
    </border>
    <border>
      <left style="thin"/>
      <right style="medium">
        <color indexed="64"/>
      </right>
      <top style="thick"/>
      <bottom style="thin"/>
      <diagonal/>
    </border>
    <border>
      <left/>
      <right style="thick"/>
      <top style="thin"/>
      <bottom style="medium">
        <color indexed="64"/>
      </bottom>
      <diagonal/>
    </border>
    <border>
      <left style="thick"/>
      <right style="thin"/>
      <top style="thin"/>
      <bottom style="medium">
        <color indexed="64"/>
      </bottom>
      <diagonal/>
    </border>
    <border>
      <left style="thin"/>
      <right/>
      <top style="thin"/>
      <bottom style="medium">
        <color indexed="64"/>
      </bottom>
      <diagonal/>
    </border>
    <border>
      <left style="thin"/>
      <right style="thick"/>
      <top style="thin"/>
      <bottom style="medium">
        <color indexed="64"/>
      </bottom>
      <diagonal/>
    </border>
    <border>
      <left/>
      <right style="thin"/>
      <top style="thin"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 style="medium">
        <color indexed="64"/>
      </top>
      <bottom style="thin"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thin"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/>
      <top/>
      <bottom style="medium"/>
      <diagonal/>
    </border>
    <border>
      <left style="thick"/>
      <right/>
      <top style="medium"/>
      <bottom style="medium"/>
      <diagonal/>
    </border>
    <border>
      <left/>
      <right style="thick"/>
      <top style="medium"/>
      <bottom style="medium"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/>
      <diagonal/>
    </border>
    <border>
      <left style="thin">
        <color indexed="64"/>
      </left>
      <right style="thin"/>
      <top style="medium"/>
      <bottom/>
      <diagonal/>
    </border>
    <border>
      <left style="thin">
        <color indexed="64"/>
      </left>
      <right style="medium">
        <color indexed="64"/>
      </right>
      <top style="medium"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/>
      <diagonal/>
    </border>
    <border>
      <left style="medium">
        <color indexed="64"/>
      </left>
      <right style="medium">
        <color indexed="64"/>
      </right>
      <top style="thin"/>
      <bottom style="thin"/>
      <diagonal/>
    </border>
    <border>
      <left style="medium">
        <color indexed="64"/>
      </left>
      <right/>
      <top/>
      <bottom style="thin"/>
      <diagonal/>
    </border>
    <border>
      <left/>
      <right style="medium">
        <color indexed="64"/>
      </right>
      <top/>
      <bottom style="thin"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/>
      <bottom style="thin"/>
      <diagonal/>
    </border>
    <border>
      <left/>
      <right style="thin"/>
      <top style="thin"/>
      <bottom style="thin"/>
      <diagonal/>
    </border>
    <border>
      <left style="medium">
        <color indexed="64"/>
      </left>
      <right style="thick"/>
      <top style="thin"/>
      <bottom style="thin"/>
      <diagonal/>
    </border>
    <border>
      <left style="thick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/>
      <right/>
      <top/>
      <bottom style="thick"/>
      <diagonal/>
    </border>
    <border>
      <left style="medium">
        <color indexed="64"/>
      </left>
      <right style="thin"/>
      <top/>
      <bottom style="thick">
        <color indexed="64"/>
      </bottom>
      <diagonal/>
    </border>
    <border>
      <left style="medium">
        <color indexed="64"/>
      </left>
      <right style="thick"/>
      <top style="thin"/>
      <bottom style="thick"/>
      <diagonal/>
    </border>
  </borders>
  <cellStyleXfs count="1">
    <xf numFmtId="0" fontId="0" fillId="0" borderId="0"/>
  </cellStyleXfs>
  <cellXfs count="581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vertical="center" wrapText="1"/>
    </xf>
    <xf numFmtId="0" fontId="0" fillId="7" borderId="10" xfId="0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49" fontId="0" fillId="3" borderId="13" xfId="0" applyNumberFormat="1" applyFill="1" applyBorder="1" applyAlignment="1" applyProtection="1">
      <alignment vertical="center"/>
      <protection locked="0"/>
    </xf>
    <xf numFmtId="164" fontId="0" fillId="3" borderId="10" xfId="0" applyNumberFormat="1" applyFill="1" applyBorder="1" applyAlignment="1" applyProtection="1">
      <alignment horizontal="center" vertical="center"/>
      <protection locked="0"/>
    </xf>
    <xf numFmtId="2" fontId="0" fillId="5" borderId="10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 applyProtection="1">
      <alignment horizontal="center" vertical="center"/>
      <protection locked="0"/>
    </xf>
    <xf numFmtId="164" fontId="0" fillId="4" borderId="14" xfId="0" applyNumberFormat="1" applyFill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0" borderId="26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5" borderId="27" xfId="0" applyNumberFormat="1" applyFill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8" borderId="0" xfId="0" applyFont="1" applyFill="1"/>
    <xf numFmtId="49" fontId="0" fillId="8" borderId="0" xfId="0" applyNumberFormat="1" applyFill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0" borderId="0" xfId="0" applyFont="1" applyAlignment="1">
      <alignment horizontal="center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0" fontId="0" fillId="8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11" borderId="28" xfId="0" applyFill="1" applyBorder="1" applyAlignment="1" applyProtection="1">
      <alignment horizontal="center" vertical="center"/>
      <protection locked="0"/>
    </xf>
    <xf numFmtId="0" fontId="0" fillId="11" borderId="29" xfId="0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5" fontId="11" fillId="3" borderId="34" xfId="0" applyNumberFormat="1" applyFont="1" applyFill="1" applyBorder="1" applyAlignment="1" applyProtection="1">
      <alignment horizontal="center" vertical="center"/>
      <protection locked="0"/>
    </xf>
    <xf numFmtId="165" fontId="11" fillId="3" borderId="35" xfId="0" applyNumberFormat="1" applyFont="1" applyFill="1" applyBorder="1" applyAlignment="1" applyProtection="1">
      <alignment horizontal="center" vertical="center"/>
      <protection locked="0"/>
    </xf>
    <xf numFmtId="165" fontId="12" fillId="8" borderId="31" xfId="0" applyNumberFormat="1" applyFont="1" applyFill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0" fillId="4" borderId="37" xfId="0" applyFill="1" applyBorder="1" applyAlignment="1" applyProtection="1">
      <alignment horizontal="center" vertical="center"/>
      <protection locked="0"/>
    </xf>
    <xf numFmtId="0" fontId="0" fillId="4" borderId="38" xfId="0" applyFill="1" applyBorder="1" applyAlignment="1" applyProtection="1">
      <alignment horizontal="center" vertical="center"/>
      <protection locked="0"/>
    </xf>
    <xf numFmtId="0" fontId="0" fillId="8" borderId="0" xfId="0" applyFill="1" applyAlignment="1" applyProtection="1">
      <alignment horizontal="center" vertical="center"/>
      <protection locked="0"/>
    </xf>
    <xf numFmtId="0" fontId="2" fillId="12" borderId="33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>
      <alignment horizontal="center" vertical="center" wrapText="1"/>
    </xf>
    <xf numFmtId="165" fontId="2" fillId="12" borderId="34" xfId="0" applyNumberFormat="1" applyFont="1" applyFill="1" applyBorder="1" applyAlignment="1" applyProtection="1">
      <alignment horizontal="center" vertical="center" wrapText="1"/>
      <protection locked="0"/>
    </xf>
    <xf numFmtId="165" fontId="13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13" fillId="12" borderId="35" xfId="0" applyFont="1" applyFill="1" applyBorder="1" applyAlignment="1">
      <alignment horizontal="center" vertical="center" wrapText="1"/>
    </xf>
    <xf numFmtId="165" fontId="14" fillId="3" borderId="39" xfId="0" applyNumberFormat="1" applyFont="1" applyFill="1" applyBorder="1" applyAlignment="1" applyProtection="1">
      <alignment horizontal="center" vertical="center"/>
      <protection locked="0"/>
    </xf>
    <xf numFmtId="165" fontId="14" fillId="3" borderId="40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 applyProtection="1">
      <alignment horizontal="center" vertical="center"/>
      <protection locked="0"/>
    </xf>
    <xf numFmtId="165" fontId="10" fillId="11" borderId="41" xfId="0" applyNumberFormat="1" applyFont="1" applyFill="1" applyBorder="1" applyAlignment="1" applyProtection="1">
      <alignment horizontal="center" vertical="center"/>
      <protection locked="0"/>
    </xf>
    <xf numFmtId="165" fontId="10" fillId="11" borderId="42" xfId="0" applyNumberFormat="1" applyFont="1" applyFill="1" applyBorder="1" applyAlignment="1" applyProtection="1">
      <alignment horizontal="center" vertical="center"/>
      <protection locked="0"/>
    </xf>
    <xf numFmtId="0" fontId="10" fillId="11" borderId="42" xfId="0" applyFont="1" applyFill="1" applyBorder="1" applyAlignment="1">
      <alignment horizontal="center" vertical="center" wrapText="1"/>
    </xf>
    <xf numFmtId="0" fontId="10" fillId="11" borderId="42" xfId="0" applyFont="1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 wrapText="1"/>
    </xf>
    <xf numFmtId="4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2" xfId="0" applyNumberFormat="1" applyFill="1" applyBorder="1" applyAlignment="1">
      <alignment horizontal="center" vertical="center"/>
    </xf>
    <xf numFmtId="165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3" xfId="0" applyNumberFormat="1" applyFill="1" applyBorder="1" applyAlignment="1">
      <alignment horizontal="center" vertical="center"/>
    </xf>
    <xf numFmtId="165" fontId="14" fillId="3" borderId="34" xfId="0" applyNumberFormat="1" applyFont="1" applyFill="1" applyBorder="1" applyAlignment="1" applyProtection="1">
      <alignment horizontal="center" vertical="center"/>
      <protection locked="0"/>
    </xf>
    <xf numFmtId="165" fontId="14" fillId="3" borderId="35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>
      <alignment horizontal="center" vertical="center"/>
    </xf>
    <xf numFmtId="165" fontId="10" fillId="8" borderId="0" xfId="0" applyNumberFormat="1" applyFont="1" applyFill="1" applyAlignment="1">
      <alignment vertical="center" wrapText="1"/>
    </xf>
    <xf numFmtId="0" fontId="10" fillId="8" borderId="0" xfId="0" applyFont="1" applyFill="1" applyAlignment="1">
      <alignment vertical="center" wrapText="1"/>
    </xf>
    <xf numFmtId="165" fontId="10" fillId="8" borderId="0" xfId="0" applyNumberFormat="1" applyFont="1" applyFill="1" applyAlignment="1" applyProtection="1">
      <alignment horizontal="center" vertical="center"/>
      <protection locked="0"/>
    </xf>
    <xf numFmtId="0" fontId="0" fillId="8" borderId="20" xfId="0" applyFill="1" applyBorder="1"/>
    <xf numFmtId="165" fontId="0" fillId="8" borderId="0" xfId="0" applyNumberFormat="1" applyFill="1" applyProtection="1">
      <protection locked="0"/>
    </xf>
    <xf numFmtId="165" fontId="14" fillId="6" borderId="34" xfId="0" applyNumberFormat="1" applyFont="1" applyFill="1" applyBorder="1" applyAlignment="1" applyProtection="1">
      <alignment horizontal="center" vertical="center"/>
      <protection locked="0"/>
    </xf>
    <xf numFmtId="165" fontId="14" fillId="6" borderId="35" xfId="0" applyNumberFormat="1" applyFont="1" applyFill="1" applyBorder="1" applyAlignment="1" applyProtection="1">
      <alignment horizontal="center" vertical="center"/>
      <protection locked="0"/>
    </xf>
    <xf numFmtId="0" fontId="10" fillId="0" borderId="9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166" fontId="14" fillId="6" borderId="8" xfId="0" applyNumberFormat="1" applyFont="1" applyFill="1" applyBorder="1" applyAlignment="1">
      <alignment vertical="center"/>
    </xf>
    <xf numFmtId="166" fontId="15" fillId="8" borderId="46" xfId="0" applyNumberFormat="1" applyFont="1" applyFill="1" applyBorder="1" applyAlignment="1">
      <alignment vertical="center"/>
    </xf>
    <xf numFmtId="166" fontId="15" fillId="8" borderId="0" xfId="0" applyNumberFormat="1" applyFont="1" applyFill="1" applyAlignment="1">
      <alignment vertical="center"/>
    </xf>
    <xf numFmtId="0" fontId="0" fillId="0" borderId="47" xfId="0" applyBorder="1" applyAlignment="1">
      <alignment horizontal="center" vertical="center" wrapText="1"/>
    </xf>
    <xf numFmtId="3" fontId="10" fillId="3" borderId="48" xfId="0" applyNumberFormat="1" applyFont="1" applyFill="1" applyBorder="1" applyAlignment="1">
      <alignment horizontal="left" vertical="center"/>
    </xf>
    <xf numFmtId="0" fontId="0" fillId="8" borderId="0" xfId="0" applyFill="1" applyAlignment="1">
      <alignment vertical="center" wrapText="1"/>
    </xf>
    <xf numFmtId="0" fontId="16" fillId="8" borderId="0" xfId="0" applyFont="1" applyFill="1" applyAlignment="1">
      <alignment vertical="center"/>
    </xf>
    <xf numFmtId="0" fontId="2" fillId="0" borderId="49" xfId="0" applyFont="1" applyBorder="1" applyAlignment="1">
      <alignment horizontal="center" vertical="center" wrapText="1"/>
    </xf>
    <xf numFmtId="165" fontId="17" fillId="3" borderId="50" xfId="0" applyNumberFormat="1" applyFont="1" applyFill="1" applyBorder="1" applyAlignment="1">
      <alignment horizontal="right" vertical="center"/>
    </xf>
    <xf numFmtId="0" fontId="0" fillId="0" borderId="10" xfId="0" applyBorder="1" applyAlignment="1">
      <alignment horizontal="center"/>
    </xf>
    <xf numFmtId="0" fontId="14" fillId="6" borderId="10" xfId="0" applyFont="1" applyFill="1" applyBorder="1"/>
    <xf numFmtId="0" fontId="15" fillId="0" borderId="15" xfId="0" applyFont="1" applyBorder="1" applyAlignment="1">
      <alignment horizontal="right" vertical="center"/>
    </xf>
    <xf numFmtId="165" fontId="17" fillId="0" borderId="18" xfId="0" applyNumberFormat="1" applyFont="1" applyBorder="1" applyAlignment="1">
      <alignment horizontal="right"/>
    </xf>
    <xf numFmtId="0" fontId="15" fillId="8" borderId="0" xfId="0" applyFont="1" applyFill="1" applyAlignment="1">
      <alignment horizontal="right" vertical="center"/>
    </xf>
    <xf numFmtId="165" fontId="17" fillId="8" borderId="0" xfId="0" applyNumberFormat="1" applyFont="1" applyFill="1" applyAlignment="1">
      <alignment horizontal="right"/>
    </xf>
    <xf numFmtId="0" fontId="2" fillId="0" borderId="51" xfId="0" applyFont="1" applyBorder="1" applyAlignment="1">
      <alignment horizontal="center"/>
    </xf>
    <xf numFmtId="0" fontId="14" fillId="13" borderId="0" xfId="0" applyFont="1" applyFill="1"/>
    <xf numFmtId="0" fontId="2" fillId="0" borderId="0" xfId="0" applyFont="1" applyAlignment="1">
      <alignment horizontal="center"/>
    </xf>
    <xf numFmtId="0" fontId="15" fillId="12" borderId="49" xfId="0" applyFont="1" applyFill="1" applyBorder="1" applyAlignment="1">
      <alignment horizontal="center" vertical="center"/>
    </xf>
    <xf numFmtId="0" fontId="15" fillId="12" borderId="40" xfId="0" applyFont="1" applyFill="1" applyBorder="1" applyAlignment="1">
      <alignment horizontal="center" vertical="center"/>
    </xf>
    <xf numFmtId="0" fontId="14" fillId="3" borderId="0" xfId="0" applyFont="1" applyFill="1"/>
    <xf numFmtId="0" fontId="15" fillId="12" borderId="52" xfId="0" applyFont="1" applyFill="1" applyBorder="1" applyAlignment="1">
      <alignment horizontal="center"/>
    </xf>
    <xf numFmtId="0" fontId="15" fillId="12" borderId="53" xfId="0" applyFont="1" applyFill="1" applyBorder="1" applyAlignment="1">
      <alignment horizontal="center"/>
    </xf>
    <xf numFmtId="0" fontId="15" fillId="12" borderId="54" xfId="0" applyFont="1" applyFill="1" applyBorder="1" applyAlignment="1">
      <alignment horizontal="center"/>
    </xf>
    <xf numFmtId="0" fontId="15" fillId="12" borderId="55" xfId="0" applyFont="1" applyFill="1" applyBorder="1" applyAlignment="1">
      <alignment horizontal="center"/>
    </xf>
    <xf numFmtId="0" fontId="15" fillId="12" borderId="56" xfId="0" applyFont="1" applyFill="1" applyBorder="1" applyAlignment="1">
      <alignment horizontal="center"/>
    </xf>
    <xf numFmtId="0" fontId="15" fillId="12" borderId="57" xfId="0" applyFont="1" applyFill="1" applyBorder="1" applyAlignment="1">
      <alignment horizontal="center"/>
    </xf>
    <xf numFmtId="165" fontId="18" fillId="11" borderId="47" xfId="0" applyNumberFormat="1" applyFont="1" applyFill="1" applyBorder="1" applyAlignment="1">
      <alignment horizontal="right"/>
    </xf>
    <xf numFmtId="0" fontId="19" fillId="12" borderId="58" xfId="0" applyFont="1" applyFill="1" applyBorder="1" applyAlignment="1">
      <alignment horizontal="left"/>
    </xf>
    <xf numFmtId="0" fontId="19" fillId="12" borderId="48" xfId="0" applyFont="1" applyFill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right"/>
    </xf>
    <xf numFmtId="0" fontId="0" fillId="4" borderId="8" xfId="0" applyFill="1" applyBorder="1"/>
    <xf numFmtId="2" fontId="0" fillId="0" borderId="11" xfId="0" applyNumberFormat="1" applyBorder="1"/>
    <xf numFmtId="0" fontId="0" fillId="0" borderId="12" xfId="0" applyBorder="1" applyAlignment="1">
      <alignment horizontal="right"/>
    </xf>
    <xf numFmtId="0" fontId="0" fillId="4" borderId="10" xfId="0" applyFill="1" applyBorder="1" applyAlignment="1">
      <alignment horizontal="left"/>
    </xf>
    <xf numFmtId="0" fontId="0" fillId="0" borderId="14" xfId="0" applyBorder="1"/>
    <xf numFmtId="165" fontId="18" fillId="11" borderId="12" xfId="0" applyNumberFormat="1" applyFont="1" applyFill="1" applyBorder="1" applyAlignment="1">
      <alignment horizontal="right"/>
    </xf>
    <xf numFmtId="0" fontId="19" fillId="12" borderId="10" xfId="0" applyFont="1" applyFill="1" applyBorder="1" applyAlignment="1">
      <alignment horizontal="left"/>
    </xf>
    <xf numFmtId="0" fontId="19" fillId="12" borderId="14" xfId="0" applyFont="1" applyFill="1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2" fillId="0" borderId="10" xfId="0" applyFont="1" applyBorder="1" applyAlignment="1">
      <alignment horizontal="right"/>
    </xf>
    <xf numFmtId="165" fontId="20" fillId="3" borderId="10" xfId="0" applyNumberFormat="1" applyFont="1" applyFill="1" applyBorder="1" applyAlignment="1" applyProtection="1">
      <alignment horizontal="left" vertical="center"/>
      <protection locked="0"/>
    </xf>
    <xf numFmtId="167" fontId="0" fillId="5" borderId="14" xfId="0" applyNumberFormat="1" applyFill="1" applyBorder="1"/>
    <xf numFmtId="0" fontId="0" fillId="4" borderId="10" xfId="0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5" fontId="21" fillId="0" borderId="14" xfId="0" applyNumberFormat="1" applyFont="1" applyBorder="1" applyAlignment="1" applyProtection="1">
      <alignment horizontal="right" vertical="center"/>
      <protection locked="0"/>
    </xf>
    <xf numFmtId="168" fontId="21" fillId="5" borderId="14" xfId="0" applyNumberFormat="1" applyFont="1" applyFill="1" applyBorder="1" applyAlignment="1" applyProtection="1">
      <alignment horizontal="right" vertical="center"/>
      <protection locked="0"/>
    </xf>
    <xf numFmtId="0" fontId="0" fillId="8" borderId="0" xfId="0" applyFill="1" applyAlignment="1">
      <alignment horizontal="center"/>
    </xf>
    <xf numFmtId="165" fontId="20" fillId="0" borderId="15" xfId="0" applyNumberFormat="1" applyFont="1" applyBorder="1" applyAlignment="1" applyProtection="1">
      <alignment horizontal="left" vertical="center"/>
      <protection locked="0"/>
    </xf>
    <xf numFmtId="0" fontId="22" fillId="0" borderId="16" xfId="0" applyFont="1" applyBorder="1" applyAlignment="1">
      <alignment horizontal="right"/>
    </xf>
    <xf numFmtId="165" fontId="17" fillId="5" borderId="18" xfId="0" applyNumberFormat="1" applyFont="1" applyFill="1" applyBorder="1" applyAlignment="1" applyProtection="1">
      <alignment horizontal="right" vertical="center"/>
      <protection locked="0"/>
    </xf>
    <xf numFmtId="165" fontId="20" fillId="3" borderId="14" xfId="0" applyNumberFormat="1" applyFont="1" applyFill="1" applyBorder="1" applyAlignment="1" applyProtection="1">
      <alignment horizontal="left" vertical="center"/>
      <protection locked="0"/>
    </xf>
    <xf numFmtId="0" fontId="0" fillId="0" borderId="10" xfId="0" applyBorder="1"/>
    <xf numFmtId="0" fontId="0" fillId="0" borderId="15" xfId="0" applyBorder="1" applyAlignment="1">
      <alignment horizontal="right"/>
    </xf>
    <xf numFmtId="0" fontId="2" fillId="0" borderId="58" xfId="0" applyFont="1" applyBorder="1" applyAlignment="1">
      <alignment horizontal="right"/>
    </xf>
    <xf numFmtId="0" fontId="0" fillId="4" borderId="58" xfId="0" applyFill="1" applyBorder="1"/>
    <xf numFmtId="2" fontId="0" fillId="0" borderId="48" xfId="0" applyNumberFormat="1" applyBorder="1"/>
    <xf numFmtId="0" fontId="15" fillId="0" borderId="15" xfId="0" applyFont="1" applyBorder="1" applyAlignment="1">
      <alignment horizontal="right"/>
    </xf>
    <xf numFmtId="165" fontId="17" fillId="5" borderId="18" xfId="0" applyNumberFormat="1" applyFont="1" applyFill="1" applyBorder="1"/>
    <xf numFmtId="0" fontId="0" fillId="0" borderId="12" xfId="0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165" fontId="20" fillId="3" borderId="60" xfId="0" applyNumberFormat="1" applyFont="1" applyFill="1" applyBorder="1" applyAlignment="1" applyProtection="1">
      <alignment horizontal="left" vertical="center"/>
      <protection locked="0"/>
    </xf>
    <xf numFmtId="0" fontId="2" fillId="0" borderId="60" xfId="0" applyFont="1" applyBorder="1" applyAlignment="1">
      <alignment horizontal="right"/>
    </xf>
    <xf numFmtId="168" fontId="21" fillId="5" borderId="61" xfId="0" applyNumberFormat="1" applyFont="1" applyFill="1" applyBorder="1" applyAlignment="1" applyProtection="1">
      <alignment horizontal="right" vertical="center"/>
      <protection locked="0"/>
    </xf>
    <xf numFmtId="0" fontId="0" fillId="0" borderId="47" xfId="0" applyBorder="1"/>
    <xf numFmtId="0" fontId="23" fillId="4" borderId="58" xfId="0" applyFont="1" applyFill="1" applyBorder="1"/>
    <xf numFmtId="0" fontId="0" fillId="0" borderId="58" xfId="0" applyBorder="1" applyAlignment="1">
      <alignment horizontal="right"/>
    </xf>
    <xf numFmtId="165" fontId="20" fillId="3" borderId="58" xfId="0" applyNumberFormat="1" applyFont="1" applyFill="1" applyBorder="1" applyAlignment="1" applyProtection="1">
      <alignment horizontal="left" vertical="center"/>
      <protection locked="0"/>
    </xf>
    <xf numFmtId="0" fontId="0" fillId="0" borderId="48" xfId="0" applyBorder="1"/>
    <xf numFmtId="0" fontId="0" fillId="0" borderId="62" xfId="0" applyBorder="1" applyAlignment="1">
      <alignment horizontal="right"/>
    </xf>
    <xf numFmtId="0" fontId="0" fillId="0" borderId="51" xfId="0" applyBorder="1"/>
    <xf numFmtId="165" fontId="2" fillId="0" borderId="63" xfId="0" applyNumberFormat="1" applyFont="1" applyBorder="1"/>
    <xf numFmtId="0" fontId="0" fillId="0" borderId="12" xfId="0" applyBorder="1"/>
    <xf numFmtId="0" fontId="23" fillId="4" borderId="10" xfId="0" applyFont="1" applyFill="1" applyBorder="1"/>
    <xf numFmtId="0" fontId="0" fillId="0" borderId="10" xfId="0" applyBorder="1" applyAlignment="1">
      <alignment horizontal="right"/>
    </xf>
    <xf numFmtId="0" fontId="0" fillId="0" borderId="6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4" xfId="0" applyBorder="1"/>
    <xf numFmtId="0" fontId="0" fillId="0" borderId="65" xfId="0" applyBorder="1"/>
    <xf numFmtId="0" fontId="0" fillId="0" borderId="44" xfId="0" applyBorder="1"/>
    <xf numFmtId="0" fontId="0" fillId="0" borderId="44" xfId="0" applyBorder="1" applyAlignment="1">
      <alignment horizontal="right"/>
    </xf>
    <xf numFmtId="0" fontId="0" fillId="0" borderId="15" xfId="0" applyBorder="1"/>
    <xf numFmtId="0" fontId="2" fillId="0" borderId="16" xfId="0" applyFont="1" applyBorder="1" applyAlignment="1">
      <alignment horizontal="right"/>
    </xf>
    <xf numFmtId="165" fontId="24" fillId="5" borderId="10" xfId="0" applyNumberFormat="1" applyFont="1" applyFill="1" applyBorder="1" applyAlignment="1">
      <alignment horizontal="right"/>
    </xf>
    <xf numFmtId="0" fontId="19" fillId="0" borderId="10" xfId="0" applyFont="1" applyBorder="1" applyAlignment="1">
      <alignment horizontal="right"/>
    </xf>
    <xf numFmtId="165" fontId="14" fillId="0" borderId="14" xfId="0" applyNumberFormat="1" applyFont="1" applyBorder="1"/>
    <xf numFmtId="0" fontId="23" fillId="8" borderId="0" xfId="0" applyFont="1" applyFill="1"/>
    <xf numFmtId="0" fontId="0" fillId="0" borderId="16" xfId="0" applyBorder="1"/>
    <xf numFmtId="0" fontId="21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15" fillId="0" borderId="19" xfId="0" applyFont="1" applyBorder="1"/>
    <xf numFmtId="0" fontId="15" fillId="0" borderId="20" xfId="0" applyFont="1" applyBorder="1"/>
    <xf numFmtId="165" fontId="18" fillId="11" borderId="15" xfId="0" applyNumberFormat="1" applyFont="1" applyFill="1" applyBorder="1" applyAlignment="1">
      <alignment horizontal="right"/>
    </xf>
    <xf numFmtId="0" fontId="19" fillId="12" borderId="16" xfId="0" applyFont="1" applyFill="1" applyBorder="1" applyAlignment="1">
      <alignment horizontal="left"/>
    </xf>
    <xf numFmtId="0" fontId="19" fillId="12" borderId="18" xfId="0" applyFont="1" applyFill="1" applyBorder="1" applyAlignment="1">
      <alignment horizontal="left"/>
    </xf>
    <xf numFmtId="0" fontId="15" fillId="12" borderId="47" xfId="0" applyFont="1" applyFill="1" applyBorder="1" applyAlignment="1">
      <alignment horizontal="center"/>
    </xf>
    <xf numFmtId="0" fontId="15" fillId="12" borderId="58" xfId="0" applyFont="1" applyFill="1" applyBorder="1" applyAlignment="1">
      <alignment horizontal="center"/>
    </xf>
    <xf numFmtId="0" fontId="15" fillId="12" borderId="48" xfId="0" applyFont="1" applyFill="1" applyBorder="1" applyAlignment="1">
      <alignment horizontal="center"/>
    </xf>
    <xf numFmtId="0" fontId="15" fillId="12" borderId="66" xfId="0" applyFont="1" applyFill="1" applyBorder="1" applyAlignment="1">
      <alignment horizontal="center"/>
    </xf>
    <xf numFmtId="0" fontId="15" fillId="12" borderId="67" xfId="0" applyFont="1" applyFill="1" applyBorder="1" applyAlignment="1">
      <alignment horizontal="center"/>
    </xf>
    <xf numFmtId="165" fontId="2" fillId="3" borderId="10" xfId="0" applyNumberFormat="1" applyFont="1" applyFill="1" applyBorder="1" applyAlignment="1">
      <alignment horizontal="left"/>
    </xf>
    <xf numFmtId="165" fontId="19" fillId="5" borderId="14" xfId="0" applyNumberFormat="1" applyFont="1" applyFill="1" applyBorder="1" applyAlignment="1">
      <alignment horizontal="left"/>
    </xf>
    <xf numFmtId="165" fontId="2" fillId="3" borderId="48" xfId="0" applyNumberFormat="1" applyFont="1" applyFill="1" applyBorder="1" applyAlignment="1">
      <alignment horizontal="left"/>
    </xf>
    <xf numFmtId="0" fontId="0" fillId="0" borderId="7" xfId="0" applyBorder="1"/>
    <xf numFmtId="165" fontId="2" fillId="3" borderId="11" xfId="0" applyNumberFormat="1" applyFont="1" applyFill="1" applyBorder="1" applyAlignment="1">
      <alignment horizontal="left"/>
    </xf>
    <xf numFmtId="0" fontId="15" fillId="0" borderId="68" xfId="0" applyFont="1" applyBorder="1"/>
    <xf numFmtId="0" fontId="15" fillId="0" borderId="20" xfId="0" applyFont="1" applyBorder="1" applyAlignment="1">
      <alignment horizontal="right"/>
    </xf>
    <xf numFmtId="0" fontId="15" fillId="0" borderId="20" xfId="0" applyFont="1" applyBorder="1" applyAlignment="1">
      <alignment horizont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0" fillId="4" borderId="61" xfId="0" applyFill="1" applyBorder="1"/>
    <xf numFmtId="165" fontId="2" fillId="3" borderId="14" xfId="0" applyNumberFormat="1" applyFont="1" applyFill="1" applyBorder="1" applyAlignment="1">
      <alignment horizontal="left"/>
    </xf>
    <xf numFmtId="0" fontId="0" fillId="0" borderId="69" xfId="0" applyBorder="1"/>
    <xf numFmtId="0" fontId="15" fillId="0" borderId="0" xfId="0" applyFont="1" applyAlignment="1">
      <alignment horizontal="center" wrapText="1"/>
    </xf>
    <xf numFmtId="0" fontId="15" fillId="0" borderId="23" xfId="0" applyFont="1" applyBorder="1" applyAlignment="1">
      <alignment horizontal="center" vertical="center" wrapText="1"/>
    </xf>
    <xf numFmtId="165" fontId="17" fillId="5" borderId="18" xfId="0" applyNumberFormat="1" applyFont="1" applyFill="1" applyBorder="1" applyAlignment="1">
      <alignment horizontal="right"/>
    </xf>
    <xf numFmtId="165" fontId="17" fillId="0" borderId="18" xfId="0" applyNumberFormat="1" applyFont="1" applyBorder="1"/>
    <xf numFmtId="165" fontId="2" fillId="0" borderId="70" xfId="0" applyNumberFormat="1" applyFont="1" applyBorder="1"/>
    <xf numFmtId="49" fontId="0" fillId="0" borderId="22" xfId="0" applyNumberFormat="1" applyBorder="1"/>
    <xf numFmtId="0" fontId="0" fillId="0" borderId="23" xfId="0" applyBorder="1" applyAlignment="1">
      <alignment horizontal="right"/>
    </xf>
    <xf numFmtId="0" fontId="15" fillId="12" borderId="71" xfId="0" applyFont="1" applyFill="1" applyBorder="1" applyAlignment="1">
      <alignment horizontal="center"/>
    </xf>
    <xf numFmtId="0" fontId="15" fillId="12" borderId="72" xfId="0" applyFont="1" applyFill="1" applyBorder="1" applyAlignment="1">
      <alignment horizontal="center"/>
    </xf>
    <xf numFmtId="0" fontId="15" fillId="12" borderId="73" xfId="0" applyFont="1" applyFill="1" applyBorder="1" applyAlignment="1">
      <alignment horizontal="center"/>
    </xf>
    <xf numFmtId="0" fontId="15" fillId="12" borderId="47" xfId="0" applyFont="1" applyFill="1" applyBorder="1" applyAlignment="1">
      <alignment horizontal="center" wrapText="1"/>
    </xf>
    <xf numFmtId="0" fontId="15" fillId="12" borderId="58" xfId="0" applyFont="1" applyFill="1" applyBorder="1" applyAlignment="1">
      <alignment horizontal="center" wrapText="1"/>
    </xf>
    <xf numFmtId="0" fontId="15" fillId="12" borderId="48" xfId="0" applyFont="1" applyFill="1" applyBorder="1" applyAlignment="1">
      <alignment horizontal="center" wrapText="1"/>
    </xf>
    <xf numFmtId="0" fontId="13" fillId="0" borderId="55" xfId="0" applyFont="1" applyBorder="1" applyAlignment="1">
      <alignment horizontal="right" vertical="center" wrapText="1"/>
    </xf>
    <xf numFmtId="0" fontId="13" fillId="0" borderId="56" xfId="0" applyFont="1" applyBorder="1" applyAlignment="1">
      <alignment horizontal="right" vertical="center"/>
    </xf>
    <xf numFmtId="165" fontId="2" fillId="3" borderId="57" xfId="0" applyNumberFormat="1" applyFont="1" applyFill="1" applyBorder="1" applyAlignment="1" applyProtection="1">
      <alignment horizontal="left" vertical="center"/>
      <protection locked="0"/>
    </xf>
    <xf numFmtId="0" fontId="13" fillId="0" borderId="47" xfId="0" applyFont="1" applyBorder="1" applyAlignment="1">
      <alignment horizontal="right" vertical="center" wrapText="1"/>
    </xf>
    <xf numFmtId="0" fontId="13" fillId="0" borderId="58" xfId="0" applyFont="1" applyBorder="1" applyAlignment="1">
      <alignment horizontal="right" vertical="center" wrapText="1"/>
    </xf>
    <xf numFmtId="165" fontId="2" fillId="3" borderId="48" xfId="0" applyNumberFormat="1" applyFont="1" applyFill="1" applyBorder="1" applyAlignment="1" applyProtection="1">
      <alignment horizontal="left"/>
      <protection locked="0"/>
    </xf>
    <xf numFmtId="0" fontId="15" fillId="12" borderId="12" xfId="0" applyFont="1" applyFill="1" applyBorder="1" applyAlignment="1">
      <alignment horizontal="center" wrapText="1"/>
    </xf>
    <xf numFmtId="0" fontId="15" fillId="12" borderId="10" xfId="0" applyFont="1" applyFill="1" applyBorder="1" applyAlignment="1">
      <alignment horizontal="center" wrapText="1"/>
    </xf>
    <xf numFmtId="0" fontId="15" fillId="12" borderId="14" xfId="0" applyFont="1" applyFill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165" fontId="20" fillId="3" borderId="61" xfId="0" applyNumberFormat="1" applyFont="1" applyFill="1" applyBorder="1" applyAlignment="1" applyProtection="1">
      <alignment horizontal="left" vertical="center"/>
      <protection locked="0"/>
    </xf>
    <xf numFmtId="0" fontId="13" fillId="0" borderId="74" xfId="0" applyFont="1" applyBorder="1" applyAlignment="1">
      <alignment horizontal="right" vertical="center" wrapText="1"/>
    </xf>
    <xf numFmtId="0" fontId="13" fillId="0" borderId="75" xfId="0" applyFont="1" applyBorder="1" applyAlignment="1">
      <alignment horizontal="right" vertical="center" wrapText="1"/>
    </xf>
    <xf numFmtId="165" fontId="2" fillId="3" borderId="76" xfId="0" applyNumberFormat="1" applyFont="1" applyFill="1" applyBorder="1" applyAlignment="1" applyProtection="1">
      <alignment horizontal="left" vertical="center"/>
      <protection locked="0"/>
    </xf>
    <xf numFmtId="0" fontId="13" fillId="0" borderId="12" xfId="0" applyFont="1" applyBorder="1" applyAlignment="1">
      <alignment horizontal="right" vertical="center" wrapText="1"/>
    </xf>
    <xf numFmtId="0" fontId="13" fillId="0" borderId="10" xfId="0" applyFont="1" applyBorder="1" applyAlignment="1">
      <alignment horizontal="right" vertical="center" wrapText="1"/>
    </xf>
    <xf numFmtId="165" fontId="2" fillId="3" borderId="14" xfId="0" applyNumberFormat="1" applyFont="1" applyFill="1" applyBorder="1" applyAlignment="1" applyProtection="1">
      <alignment horizontal="left"/>
      <protection locked="0"/>
    </xf>
    <xf numFmtId="0" fontId="18" fillId="3" borderId="12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/>
    </xf>
    <xf numFmtId="165" fontId="2" fillId="3" borderId="14" xfId="0" applyNumberFormat="1" applyFont="1" applyFill="1" applyBorder="1"/>
    <xf numFmtId="49" fontId="25" fillId="0" borderId="22" xfId="0" applyNumberFormat="1" applyFont="1" applyBorder="1"/>
    <xf numFmtId="0" fontId="25" fillId="0" borderId="0" xfId="0" applyFont="1" applyAlignment="1">
      <alignment horizontal="right"/>
    </xf>
    <xf numFmtId="0" fontId="25" fillId="0" borderId="23" xfId="0" applyFont="1" applyBorder="1" applyAlignment="1">
      <alignment horizontal="right"/>
    </xf>
    <xf numFmtId="0" fontId="0" fillId="0" borderId="71" xfId="0" applyBorder="1" applyAlignment="1">
      <alignment horizontal="right"/>
    </xf>
    <xf numFmtId="165" fontId="20" fillId="3" borderId="54" xfId="0" applyNumberFormat="1" applyFont="1" applyFill="1" applyBorder="1" applyAlignment="1" applyProtection="1">
      <alignment horizontal="right" vertical="center"/>
      <protection locked="0"/>
    </xf>
    <xf numFmtId="0" fontId="0" fillId="0" borderId="77" xfId="0" applyBorder="1"/>
    <xf numFmtId="165" fontId="13" fillId="0" borderId="78" xfId="0" applyNumberFormat="1" applyFont="1" applyBorder="1" applyAlignment="1">
      <alignment horizontal="right" vertical="center" wrapText="1"/>
    </xf>
    <xf numFmtId="0" fontId="13" fillId="0" borderId="79" xfId="0" applyFont="1" applyBorder="1" applyAlignment="1">
      <alignment horizontal="right" vertical="center" wrapText="1"/>
    </xf>
    <xf numFmtId="165" fontId="2" fillId="3" borderId="80" xfId="0" applyNumberFormat="1" applyFont="1" applyFill="1" applyBorder="1" applyAlignment="1" applyProtection="1">
      <alignment horizontal="left" vertical="center"/>
      <protection locked="0"/>
    </xf>
    <xf numFmtId="165" fontId="2" fillId="3" borderId="18" xfId="0" applyNumberFormat="1" applyFont="1" applyFill="1" applyBorder="1" applyAlignment="1" applyProtection="1">
      <alignment horizontal="left"/>
      <protection locked="0"/>
    </xf>
    <xf numFmtId="0" fontId="18" fillId="3" borderId="15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center"/>
    </xf>
    <xf numFmtId="165" fontId="2" fillId="3" borderId="18" xfId="0" applyNumberFormat="1" applyFont="1" applyFill="1" applyBorder="1"/>
    <xf numFmtId="0" fontId="15" fillId="0" borderId="19" xfId="0" applyFont="1" applyBorder="1" applyAlignment="1">
      <alignment horizontal="right"/>
    </xf>
    <xf numFmtId="0" fontId="15" fillId="0" borderId="21" xfId="0" applyFont="1" applyBorder="1"/>
    <xf numFmtId="164" fontId="0" fillId="0" borderId="22" xfId="0" applyNumberFormat="1" applyBorder="1"/>
    <xf numFmtId="0" fontId="15" fillId="12" borderId="1" xfId="0" applyFont="1" applyFill="1" applyBorder="1" applyAlignment="1">
      <alignment horizontal="center"/>
    </xf>
    <xf numFmtId="0" fontId="15" fillId="12" borderId="2" xfId="0" applyFont="1" applyFill="1" applyBorder="1" applyAlignment="1">
      <alignment horizontal="center"/>
    </xf>
    <xf numFmtId="0" fontId="15" fillId="12" borderId="3" xfId="0" applyFont="1" applyFill="1" applyBorder="1" applyAlignment="1">
      <alignment horizontal="center"/>
    </xf>
    <xf numFmtId="0" fontId="0" fillId="12" borderId="64" xfId="0" applyFill="1" applyBorder="1"/>
    <xf numFmtId="0" fontId="0" fillId="12" borderId="0" xfId="0" applyFill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2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11" borderId="58" xfId="0" applyFill="1" applyBorder="1"/>
    <xf numFmtId="165" fontId="18" fillId="0" borderId="58" xfId="0" applyNumberFormat="1" applyFont="1" applyBorder="1"/>
    <xf numFmtId="0" fontId="0" fillId="3" borderId="58" xfId="0" applyFill="1" applyBorder="1"/>
    <xf numFmtId="165" fontId="18" fillId="5" borderId="48" xfId="0" applyNumberFormat="1" applyFont="1" applyFill="1" applyBorder="1"/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165" fontId="2" fillId="11" borderId="81" xfId="0" applyNumberFormat="1" applyFont="1" applyFill="1" applyBorder="1"/>
    <xf numFmtId="0" fontId="0" fillId="3" borderId="7" xfId="0" applyFill="1" applyBorder="1"/>
    <xf numFmtId="165" fontId="2" fillId="5" borderId="11" xfId="0" applyNumberFormat="1" applyFont="1" applyFill="1" applyBorder="1"/>
    <xf numFmtId="0" fontId="0" fillId="8" borderId="70" xfId="0" applyFill="1" applyBorder="1"/>
    <xf numFmtId="0" fontId="0" fillId="0" borderId="10" xfId="0" applyBorder="1" applyAlignment="1">
      <alignment horizontal="center" vertical="center"/>
    </xf>
    <xf numFmtId="0" fontId="0" fillId="11" borderId="10" xfId="0" applyFill="1" applyBorder="1"/>
    <xf numFmtId="165" fontId="18" fillId="0" borderId="10" xfId="0" applyNumberFormat="1" applyFont="1" applyBorder="1"/>
    <xf numFmtId="0" fontId="0" fillId="3" borderId="10" xfId="0" applyFill="1" applyBorder="1"/>
    <xf numFmtId="165" fontId="18" fillId="5" borderId="14" xfId="0" applyNumberFormat="1" applyFont="1" applyFill="1" applyBorder="1"/>
    <xf numFmtId="0" fontId="13" fillId="0" borderId="82" xfId="0" applyFont="1" applyBorder="1" applyAlignment="1">
      <alignment horizontal="center" wrapText="1"/>
    </xf>
    <xf numFmtId="0" fontId="13" fillId="0" borderId="53" xfId="0" applyFont="1" applyBorder="1" applyAlignment="1">
      <alignment horizontal="center" wrapText="1"/>
    </xf>
    <xf numFmtId="165" fontId="2" fillId="3" borderId="83" xfId="0" applyNumberFormat="1" applyFont="1" applyFill="1" applyBorder="1"/>
    <xf numFmtId="0" fontId="0" fillId="3" borderId="12" xfId="0" applyFill="1" applyBorder="1"/>
    <xf numFmtId="165" fontId="2" fillId="5" borderId="14" xfId="0" applyNumberFormat="1" applyFont="1" applyFill="1" applyBorder="1"/>
    <xf numFmtId="0" fontId="0" fillId="8" borderId="84" xfId="0" applyFill="1" applyBorder="1"/>
    <xf numFmtId="0" fontId="0" fillId="11" borderId="16" xfId="0" applyFill="1" applyBorder="1"/>
    <xf numFmtId="165" fontId="18" fillId="0" borderId="16" xfId="0" applyNumberFormat="1" applyFont="1" applyBorder="1"/>
    <xf numFmtId="0" fontId="0" fillId="0" borderId="82" xfId="0" applyBorder="1" applyAlignment="1">
      <alignment horizontal="center"/>
    </xf>
    <xf numFmtId="49" fontId="25" fillId="0" borderId="30" xfId="0" applyNumberFormat="1" applyFont="1" applyBorder="1"/>
    <xf numFmtId="0" fontId="25" fillId="0" borderId="31" xfId="0" applyFont="1" applyBorder="1" applyAlignment="1">
      <alignment horizontal="right"/>
    </xf>
    <xf numFmtId="0" fontId="25" fillId="0" borderId="32" xfId="0" applyFont="1" applyBorder="1" applyAlignment="1">
      <alignment horizontal="right"/>
    </xf>
    <xf numFmtId="0" fontId="0" fillId="8" borderId="1" xfId="0" applyFill="1" applyBorder="1" applyAlignment="1">
      <alignment vertical="center" wrapText="1"/>
    </xf>
    <xf numFmtId="0" fontId="0" fillId="8" borderId="71" xfId="0" applyFill="1" applyBorder="1" applyAlignment="1">
      <alignment vertical="center"/>
    </xf>
    <xf numFmtId="0" fontId="0" fillId="8" borderId="72" xfId="0" applyFill="1" applyBorder="1" applyAlignment="1">
      <alignment vertical="center"/>
    </xf>
    <xf numFmtId="0" fontId="0" fillId="8" borderId="73" xfId="0" applyFill="1" applyBorder="1"/>
    <xf numFmtId="164" fontId="0" fillId="0" borderId="77" xfId="0" applyNumberFormat="1" applyBorder="1"/>
    <xf numFmtId="0" fontId="0" fillId="11" borderId="58" xfId="0" applyFill="1" applyBorder="1" applyAlignment="1">
      <alignment vertical="center"/>
    </xf>
    <xf numFmtId="165" fontId="2" fillId="3" borderId="58" xfId="0" applyNumberFormat="1" applyFont="1" applyFill="1" applyBorder="1" applyAlignment="1">
      <alignment horizontal="right"/>
    </xf>
    <xf numFmtId="0" fontId="2" fillId="3" borderId="58" xfId="0" applyFont="1" applyFill="1" applyBorder="1"/>
    <xf numFmtId="0" fontId="0" fillId="0" borderId="2" xfId="0" applyBorder="1" applyAlignment="1">
      <alignment horizontal="center" vertical="center" wrapText="1"/>
    </xf>
    <xf numFmtId="0" fontId="0" fillId="0" borderId="85" xfId="0" applyBorder="1" applyAlignment="1">
      <alignment horizontal="center" vertical="center" wrapText="1"/>
    </xf>
    <xf numFmtId="165" fontId="2" fillId="11" borderId="58" xfId="0" applyNumberFormat="1" applyFont="1" applyFill="1" applyBorder="1"/>
    <xf numFmtId="165" fontId="2" fillId="5" borderId="48" xfId="0" applyNumberFormat="1" applyFont="1" applyFill="1" applyBorder="1"/>
    <xf numFmtId="0" fontId="0" fillId="11" borderId="10" xfId="0" applyFill="1" applyBorder="1" applyAlignment="1">
      <alignment vertical="center"/>
    </xf>
    <xf numFmtId="165" fontId="2" fillId="3" borderId="10" xfId="0" applyNumberFormat="1" applyFont="1" applyFill="1" applyBorder="1" applyAlignment="1">
      <alignment horizontal="right"/>
    </xf>
    <xf numFmtId="0" fontId="2" fillId="3" borderId="10" xfId="0" applyFont="1" applyFill="1" applyBorder="1"/>
    <xf numFmtId="0" fontId="0" fillId="0" borderId="86" xfId="0" applyBorder="1" applyAlignment="1">
      <alignment horizontal="center" vertical="center" wrapText="1"/>
    </xf>
    <xf numFmtId="165" fontId="2" fillId="11" borderId="10" xfId="0" applyNumberFormat="1" applyFont="1" applyFill="1" applyBorder="1"/>
    <xf numFmtId="0" fontId="0" fillId="0" borderId="30" xfId="0" applyBorder="1" applyAlignment="1">
      <alignment horizontal="center" vertical="center"/>
    </xf>
    <xf numFmtId="0" fontId="26" fillId="9" borderId="0" xfId="0" applyFont="1" applyFill="1" applyAlignment="1">
      <alignment vertical="center"/>
    </xf>
    <xf numFmtId="0" fontId="0" fillId="8" borderId="70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11" borderId="16" xfId="0" applyFill="1" applyBorder="1" applyAlignment="1">
      <alignment vertical="center"/>
    </xf>
    <xf numFmtId="165" fontId="2" fillId="3" borderId="16" xfId="0" applyNumberFormat="1" applyFont="1" applyFill="1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87" xfId="0" applyBorder="1" applyAlignment="1">
      <alignment horizontal="center" vertical="center" wrapText="1"/>
    </xf>
    <xf numFmtId="165" fontId="2" fillId="11" borderId="16" xfId="0" applyNumberFormat="1" applyFont="1" applyFill="1" applyBorder="1"/>
    <xf numFmtId="0" fontId="0" fillId="10" borderId="0" xfId="0" applyFill="1" applyAlignment="1">
      <alignment horizontal="center" vertical="center"/>
    </xf>
    <xf numFmtId="49" fontId="0" fillId="10" borderId="0" xfId="0" applyNumberFormat="1" applyFill="1"/>
    <xf numFmtId="0" fontId="0" fillId="8" borderId="2" xfId="0" applyFill="1" applyBorder="1"/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88" xfId="0" applyFont="1" applyBorder="1" applyAlignment="1">
      <alignment horizontal="center"/>
    </xf>
    <xf numFmtId="0" fontId="27" fillId="0" borderId="89" xfId="0" applyFont="1" applyBorder="1" applyAlignment="1">
      <alignment horizontal="center" wrapText="1"/>
    </xf>
    <xf numFmtId="0" fontId="27" fillId="0" borderId="88" xfId="0" applyFont="1" applyBorder="1" applyAlignment="1">
      <alignment horizontal="center" wrapText="1"/>
    </xf>
    <xf numFmtId="0" fontId="16" fillId="0" borderId="89" xfId="0" applyFont="1" applyBorder="1" applyAlignment="1">
      <alignment horizontal="center" wrapText="1"/>
    </xf>
    <xf numFmtId="0" fontId="16" fillId="0" borderId="21" xfId="0" applyFont="1" applyBorder="1" applyAlignment="1">
      <alignment horizontal="center" wrapText="1"/>
    </xf>
    <xf numFmtId="0" fontId="16" fillId="0" borderId="22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4" xfId="0" applyFont="1" applyBorder="1" applyAlignment="1">
      <alignment horizontal="center" wrapText="1"/>
    </xf>
    <xf numFmtId="0" fontId="27" fillId="0" borderId="6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16" fillId="0" borderId="90" xfId="0" applyFont="1" applyBorder="1" applyAlignment="1">
      <alignment horizontal="center" wrapText="1"/>
    </xf>
    <xf numFmtId="0" fontId="0" fillId="0" borderId="91" xfId="0" applyBorder="1" applyAlignment="1">
      <alignment horizontal="center" vertical="center" wrapText="1"/>
    </xf>
    <xf numFmtId="0" fontId="0" fillId="0" borderId="9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 wrapText="1"/>
    </xf>
    <xf numFmtId="0" fontId="0" fillId="0" borderId="93" xfId="0" applyBorder="1" applyAlignment="1">
      <alignment horizontal="center" vertical="center"/>
    </xf>
    <xf numFmtId="0" fontId="0" fillId="11" borderId="77" xfId="0" applyFill="1" applyBorder="1" applyAlignment="1">
      <alignment horizontal="center" vertical="center"/>
    </xf>
    <xf numFmtId="0" fontId="0" fillId="3" borderId="94" xfId="0" applyFill="1" applyBorder="1" applyAlignment="1">
      <alignment horizontal="center" vertical="center"/>
    </xf>
    <xf numFmtId="0" fontId="0" fillId="11" borderId="95" xfId="0" applyFill="1" applyBorder="1" applyAlignment="1">
      <alignment horizontal="center" vertical="center"/>
    </xf>
    <xf numFmtId="0" fontId="0" fillId="11" borderId="96" xfId="0" applyFill="1" applyBorder="1" applyAlignment="1">
      <alignment horizontal="center" vertical="center"/>
    </xf>
    <xf numFmtId="0" fontId="0" fillId="11" borderId="97" xfId="0" applyFill="1" applyBorder="1" applyAlignment="1">
      <alignment horizontal="center" vertical="center"/>
    </xf>
    <xf numFmtId="0" fontId="0" fillId="11" borderId="98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0" borderId="99" xfId="0" applyBorder="1"/>
    <xf numFmtId="0" fontId="0" fillId="0" borderId="40" xfId="0" applyBorder="1"/>
    <xf numFmtId="0" fontId="0" fillId="14" borderId="99" xfId="0" applyFill="1" applyBorder="1"/>
    <xf numFmtId="0" fontId="0" fillId="15" borderId="99" xfId="0" applyFill="1" applyBorder="1"/>
    <xf numFmtId="164" fontId="0" fillId="0" borderId="99" xfId="0" applyNumberFormat="1" applyBorder="1"/>
    <xf numFmtId="0" fontId="0" fillId="0" borderId="4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3" borderId="99" xfId="0" applyFill="1" applyBorder="1"/>
    <xf numFmtId="0" fontId="0" fillId="0" borderId="68" xfId="0" applyBorder="1"/>
    <xf numFmtId="0" fontId="0" fillId="16" borderId="0" xfId="0" applyFill="1"/>
    <xf numFmtId="0" fontId="0" fillId="0" borderId="49" xfId="0" applyBorder="1"/>
    <xf numFmtId="0" fontId="0" fillId="0" borderId="100" xfId="0" applyBorder="1"/>
    <xf numFmtId="0" fontId="0" fillId="16" borderId="99" xfId="0" applyFill="1" applyBorder="1"/>
    <xf numFmtId="0" fontId="0" fillId="0" borderId="20" xfId="0" applyBorder="1" applyAlignment="1">
      <alignment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0" xfId="0" applyBorder="1" applyAlignment="1">
      <alignment horizontal="center"/>
    </xf>
    <xf numFmtId="0" fontId="0" fillId="0" borderId="19" xfId="0" applyBorder="1" applyAlignment="1">
      <alignment vertical="center" wrapText="1"/>
    </xf>
    <xf numFmtId="0" fontId="0" fillId="16" borderId="49" xfId="0" applyFill="1" applyBorder="1" applyAlignment="1">
      <alignment horizontal="center"/>
    </xf>
    <xf numFmtId="0" fontId="0" fillId="16" borderId="100" xfId="0" applyFill="1" applyBorder="1" applyAlignment="1">
      <alignment horizontal="center"/>
    </xf>
    <xf numFmtId="0" fontId="0" fillId="16" borderId="40" xfId="0" applyFill="1" applyBorder="1" applyAlignment="1">
      <alignment horizontal="center"/>
    </xf>
    <xf numFmtId="0" fontId="0" fillId="16" borderId="20" xfId="0" applyFill="1" applyBorder="1"/>
    <xf numFmtId="0" fontId="0" fillId="0" borderId="49" xfId="0" applyBorder="1" applyAlignment="1">
      <alignment wrapText="1"/>
    </xf>
    <xf numFmtId="0" fontId="0" fillId="0" borderId="100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99" xfId="0" applyBorder="1" applyAlignment="1">
      <alignment wrapText="1"/>
    </xf>
    <xf numFmtId="0" fontId="0" fillId="0" borderId="0" xfId="0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68" xfId="0" applyBorder="1" applyAlignment="1">
      <alignment horizontal="left"/>
    </xf>
    <xf numFmtId="0" fontId="0" fillId="16" borderId="19" xfId="0" applyFill="1" applyBorder="1"/>
    <xf numFmtId="0" fontId="0" fillId="16" borderId="21" xfId="0" applyFill="1" applyBorder="1"/>
    <xf numFmtId="167" fontId="0" fillId="0" borderId="20" xfId="0" applyNumberFormat="1" applyBorder="1"/>
    <xf numFmtId="167" fontId="0" fillId="16" borderId="20" xfId="0" applyNumberFormat="1" applyFill="1" applyBorder="1"/>
    <xf numFmtId="167" fontId="0" fillId="0" borderId="21" xfId="0" applyNumberFormat="1" applyBorder="1"/>
    <xf numFmtId="167" fontId="0" fillId="0" borderId="19" xfId="0" applyNumberFormat="1" applyBorder="1"/>
    <xf numFmtId="164" fontId="0" fillId="0" borderId="19" xfId="0" applyNumberFormat="1" applyBorder="1"/>
    <xf numFmtId="164" fontId="0" fillId="0" borderId="21" xfId="0" applyNumberFormat="1" applyBorder="1"/>
    <xf numFmtId="167" fontId="0" fillId="0" borderId="0" xfId="0" applyNumberFormat="1"/>
    <xf numFmtId="1" fontId="0" fillId="0" borderId="68" xfId="0" applyNumberFormat="1" applyBorder="1"/>
    <xf numFmtId="0" fontId="0" fillId="0" borderId="69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16" borderId="22" xfId="0" applyFill="1" applyBorder="1"/>
    <xf numFmtId="0" fontId="0" fillId="16" borderId="23" xfId="0" applyFill="1" applyBorder="1"/>
    <xf numFmtId="167" fontId="0" fillId="16" borderId="0" xfId="0" applyNumberFormat="1" applyFill="1"/>
    <xf numFmtId="167" fontId="0" fillId="0" borderId="23" xfId="0" applyNumberFormat="1" applyBorder="1"/>
    <xf numFmtId="167" fontId="0" fillId="0" borderId="22" xfId="0" applyNumberFormat="1" applyBorder="1"/>
    <xf numFmtId="164" fontId="0" fillId="0" borderId="23" xfId="0" applyNumberFormat="1" applyBorder="1"/>
    <xf numFmtId="1" fontId="0" fillId="0" borderId="69" xfId="0" applyNumberFormat="1" applyBorder="1"/>
    <xf numFmtId="49" fontId="0" fillId="0" borderId="30" xfId="0" applyNumberFormat="1" applyBorder="1"/>
    <xf numFmtId="0" fontId="0" fillId="0" borderId="31" xfId="0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0" fillId="0" borderId="77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16" borderId="30" xfId="0" applyFill="1" applyBorder="1"/>
    <xf numFmtId="0" fontId="0" fillId="16" borderId="31" xfId="0" applyFill="1" applyBorder="1"/>
    <xf numFmtId="0" fontId="0" fillId="16" borderId="32" xfId="0" applyFill="1" applyBorder="1"/>
    <xf numFmtId="167" fontId="0" fillId="0" borderId="31" xfId="0" applyNumberFormat="1" applyBorder="1"/>
    <xf numFmtId="167" fontId="0" fillId="0" borderId="32" xfId="0" applyNumberFormat="1" applyBorder="1"/>
    <xf numFmtId="167" fontId="0" fillId="0" borderId="30" xfId="0" applyNumberFormat="1" applyBorder="1"/>
    <xf numFmtId="164" fontId="0" fillId="0" borderId="30" xfId="0" applyNumberFormat="1" applyBorder="1"/>
    <xf numFmtId="164" fontId="0" fillId="0" borderId="32" xfId="0" applyNumberFormat="1" applyBorder="1"/>
    <xf numFmtId="1" fontId="0" fillId="0" borderId="77" xfId="0" applyNumberFormat="1" applyBorder="1"/>
    <xf numFmtId="49" fontId="0" fillId="0" borderId="0" xfId="0" applyNumberFormat="1"/>
    <xf numFmtId="49" fontId="25" fillId="0" borderId="0" xfId="0" applyNumberFormat="1" applyFont="1"/>
    <xf numFmtId="0" fontId="16" fillId="0" borderId="24" xfId="0" applyFont="1" applyBorder="1" applyAlignment="1">
      <alignment wrapText="1"/>
    </xf>
    <xf numFmtId="0" fontId="0" fillId="0" borderId="101" xfId="0" applyBorder="1" applyAlignment="1">
      <alignment wrapText="1"/>
    </xf>
    <xf numFmtId="0" fontId="10" fillId="0" borderId="25" xfId="0" applyFont="1" applyBorder="1" applyAlignment="1">
      <alignment wrapText="1"/>
    </xf>
    <xf numFmtId="0" fontId="23" fillId="0" borderId="24" xfId="0" applyFont="1" applyBorder="1" applyAlignment="1">
      <alignment horizontal="center" vertical="center" wrapText="1"/>
    </xf>
    <xf numFmtId="0" fontId="23" fillId="0" borderId="102" xfId="0" applyFont="1" applyBorder="1" applyAlignment="1">
      <alignment horizontal="center" vertical="center" wrapText="1"/>
    </xf>
    <xf numFmtId="0" fontId="23" fillId="0" borderId="101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/>
    </xf>
    <xf numFmtId="0" fontId="23" fillId="0" borderId="68" xfId="0" applyFont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/>
    <xf numFmtId="0" fontId="23" fillId="11" borderId="28" xfId="0" applyFont="1" applyFill="1" applyBorder="1"/>
    <xf numFmtId="0" fontId="23" fillId="11" borderId="98" xfId="0" applyFont="1" applyFill="1" applyBorder="1"/>
    <xf numFmtId="0" fontId="23" fillId="11" borderId="103" xfId="0" applyFont="1" applyFill="1" applyBorder="1"/>
    <xf numFmtId="0" fontId="0" fillId="11" borderId="103" xfId="0" applyFill="1" applyBorder="1"/>
    <xf numFmtId="0" fontId="0" fillId="11" borderId="29" xfId="0" applyFill="1" applyBorder="1"/>
    <xf numFmtId="0" fontId="0" fillId="11" borderId="99" xfId="0" applyFill="1" applyBorder="1"/>
    <xf numFmtId="0" fontId="23" fillId="0" borderId="0" xfId="0" applyFont="1"/>
    <xf numFmtId="0" fontId="0" fillId="0" borderId="28" xfId="0" applyBorder="1" applyAlignment="1">
      <alignment wrapText="1"/>
    </xf>
    <xf numFmtId="0" fontId="0" fillId="0" borderId="103" xfId="0" applyBorder="1"/>
    <xf numFmtId="0" fontId="0" fillId="0" borderId="29" xfId="0" applyBorder="1"/>
    <xf numFmtId="0" fontId="0" fillId="0" borderId="104" xfId="0" applyBorder="1" applyAlignment="1">
      <alignment wrapText="1"/>
    </xf>
    <xf numFmtId="0" fontId="0" fillId="0" borderId="36" xfId="0" applyBorder="1" applyAlignment="1">
      <alignment wrapText="1"/>
    </xf>
    <xf numFmtId="0" fontId="0" fillId="15" borderId="0" xfId="0" applyFill="1"/>
    <xf numFmtId="0" fontId="0" fillId="2" borderId="0" xfId="0" applyFill="1"/>
    <xf numFmtId="0" fontId="28" fillId="0" borderId="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6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0" fontId="28" fillId="0" borderId="105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8" fillId="0" borderId="106" xfId="0" applyFont="1" applyBorder="1" applyAlignment="1">
      <alignment horizontal="center" vertical="center"/>
    </xf>
    <xf numFmtId="0" fontId="0" fillId="7" borderId="107" xfId="0" applyFill="1" applyBorder="1"/>
    <xf numFmtId="0" fontId="0" fillId="7" borderId="100" xfId="0" applyFill="1" applyBorder="1"/>
    <xf numFmtId="0" fontId="0" fillId="7" borderId="108" xfId="0" applyFill="1" applyBorder="1"/>
    <xf numFmtId="0" fontId="15" fillId="7" borderId="109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 wrapText="1"/>
    </xf>
    <xf numFmtId="0" fontId="15" fillId="7" borderId="34" xfId="0" applyFont="1" applyFill="1" applyBorder="1" applyAlignment="1">
      <alignment horizontal="center" vertical="center" wrapText="1"/>
    </xf>
    <xf numFmtId="0" fontId="15" fillId="7" borderId="35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/>
    </xf>
    <xf numFmtId="0" fontId="15" fillId="7" borderId="100" xfId="0" applyFont="1" applyFill="1" applyBorder="1" applyAlignment="1">
      <alignment horizontal="center" vertical="center"/>
    </xf>
    <xf numFmtId="0" fontId="15" fillId="7" borderId="35" xfId="0" applyFont="1" applyFill="1" applyBorder="1" applyAlignment="1">
      <alignment horizontal="center" vertical="center"/>
    </xf>
    <xf numFmtId="0" fontId="15" fillId="7" borderId="91" xfId="0" applyFont="1" applyFill="1" applyBorder="1" applyAlignment="1">
      <alignment horizontal="center" vertical="center" wrapText="1"/>
    </xf>
    <xf numFmtId="0" fontId="15" fillId="7" borderId="68" xfId="0" applyFont="1" applyFill="1" applyBorder="1" applyAlignment="1">
      <alignment horizontal="center" vertical="center" wrapText="1"/>
    </xf>
    <xf numFmtId="0" fontId="15" fillId="7" borderId="19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40" xfId="0" applyFont="1" applyFill="1" applyBorder="1" applyAlignment="1">
      <alignment horizontal="center" vertical="center" wrapText="1"/>
    </xf>
    <xf numFmtId="0" fontId="15" fillId="7" borderId="110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vertical="center"/>
    </xf>
    <xf numFmtId="0" fontId="15" fillId="7" borderId="111" xfId="0" applyFont="1" applyFill="1" applyBorder="1" applyAlignment="1">
      <alignment horizontal="center" vertical="center" wrapText="1"/>
    </xf>
    <xf numFmtId="0" fontId="10" fillId="7" borderId="112" xfId="0" applyFont="1" applyFill="1" applyBorder="1" applyAlignment="1">
      <alignment horizontal="center" vertical="center" wrapText="1"/>
    </xf>
    <xf numFmtId="0" fontId="15" fillId="7" borderId="113" xfId="0" applyFont="1" applyFill="1" applyBorder="1" applyAlignment="1">
      <alignment horizontal="center" vertical="center" wrapText="1"/>
    </xf>
    <xf numFmtId="0" fontId="10" fillId="7" borderId="113" xfId="0" applyFont="1" applyFill="1" applyBorder="1" applyAlignment="1">
      <alignment horizontal="center" vertical="center" wrapText="1"/>
    </xf>
    <xf numFmtId="0" fontId="10" fillId="7" borderId="114" xfId="0" applyFont="1" applyFill="1" applyBorder="1" applyAlignment="1">
      <alignment horizontal="center" vertical="center" wrapText="1"/>
    </xf>
    <xf numFmtId="0" fontId="15" fillId="7" borderId="115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0" fontId="15" fillId="7" borderId="116" xfId="0" applyFont="1" applyFill="1" applyBorder="1" applyAlignment="1">
      <alignment horizontal="center" vertical="center" wrapText="1"/>
    </xf>
    <xf numFmtId="0" fontId="15" fillId="7" borderId="117" xfId="0" applyFont="1" applyFill="1" applyBorder="1" applyAlignment="1">
      <alignment horizontal="center" vertical="center" wrapText="1"/>
    </xf>
    <xf numFmtId="0" fontId="15" fillId="7" borderId="69" xfId="0" applyFont="1" applyFill="1" applyBorder="1" applyAlignment="1">
      <alignment horizontal="center" vertical="center" wrapText="1"/>
    </xf>
    <xf numFmtId="0" fontId="15" fillId="7" borderId="22" xfId="0" applyFont="1" applyFill="1" applyBorder="1" applyAlignment="1">
      <alignment horizontal="center" vertical="center" wrapText="1"/>
    </xf>
    <xf numFmtId="0" fontId="15" fillId="7" borderId="104" xfId="0" applyFont="1" applyFill="1" applyBorder="1" applyAlignment="1">
      <alignment horizontal="center" vertical="center" wrapText="1"/>
    </xf>
    <xf numFmtId="0" fontId="15" fillId="7" borderId="118" xfId="0" applyFont="1" applyFill="1" applyBorder="1" applyAlignment="1">
      <alignment horizontal="center" vertical="center" wrapText="1"/>
    </xf>
    <xf numFmtId="0" fontId="15" fillId="7" borderId="101" xfId="0" applyFont="1" applyFill="1" applyBorder="1" applyAlignment="1">
      <alignment horizontal="center" vertical="center" wrapText="1"/>
    </xf>
    <xf numFmtId="0" fontId="22" fillId="7" borderId="119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15" fillId="7" borderId="120" xfId="0" applyFont="1" applyFill="1" applyBorder="1" applyAlignment="1">
      <alignment horizontal="center" vertical="center" wrapText="1"/>
    </xf>
    <xf numFmtId="0" fontId="0" fillId="7" borderId="22" xfId="0" applyFill="1" applyBorder="1" applyAlignment="1">
      <alignment wrapText="1"/>
    </xf>
    <xf numFmtId="0" fontId="15" fillId="7" borderId="121" xfId="0" applyFont="1" applyFill="1" applyBorder="1" applyAlignment="1">
      <alignment horizontal="center" vertical="center" wrapText="1"/>
    </xf>
    <xf numFmtId="0" fontId="10" fillId="7" borderId="115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116" xfId="0" applyFont="1" applyFill="1" applyBorder="1" applyAlignment="1">
      <alignment horizontal="center" vertical="center" wrapText="1"/>
    </xf>
    <xf numFmtId="0" fontId="15" fillId="7" borderId="26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0" fontId="15" fillId="11" borderId="27" xfId="0" applyFont="1" applyFill="1" applyBorder="1" applyAlignment="1">
      <alignment horizontal="center" vertical="center" wrapText="1"/>
    </xf>
    <xf numFmtId="0" fontId="15" fillId="7" borderId="122" xfId="0" applyFont="1" applyFill="1" applyBorder="1" applyAlignment="1">
      <alignment horizontal="center" vertical="center" wrapText="1"/>
    </xf>
    <xf numFmtId="0" fontId="15" fillId="7" borderId="123" xfId="0" applyFont="1" applyFill="1" applyBorder="1" applyAlignment="1">
      <alignment horizontal="center" vertical="center" wrapText="1"/>
    </xf>
    <xf numFmtId="0" fontId="22" fillId="7" borderId="116" xfId="0" applyFont="1" applyFill="1" applyBorder="1" applyAlignment="1">
      <alignment horizontal="center" vertical="center" wrapText="1"/>
    </xf>
    <xf numFmtId="0" fontId="22" fillId="7" borderId="124" xfId="0" applyFont="1" applyFill="1" applyBorder="1" applyAlignment="1">
      <alignment horizontal="center" vertical="center" wrapText="1"/>
    </xf>
    <xf numFmtId="0" fontId="15" fillId="7" borderId="125" xfId="0" applyFont="1" applyFill="1" applyBorder="1" applyAlignment="1">
      <alignment horizontal="center" vertical="center" wrapText="1"/>
    </xf>
    <xf numFmtId="166" fontId="14" fillId="11" borderId="30" xfId="0" applyNumberFormat="1" applyFont="1" applyFill="1" applyBorder="1" applyAlignment="1">
      <alignment horizontal="center" vertical="center"/>
    </xf>
    <xf numFmtId="165" fontId="14" fillId="11" borderId="126" xfId="0" applyNumberFormat="1" applyFont="1" applyFill="1" applyBorder="1" applyAlignment="1">
      <alignment horizontal="center" vertical="center"/>
    </xf>
    <xf numFmtId="165" fontId="14" fillId="11" borderId="26" xfId="0" applyNumberFormat="1" applyFont="1" applyFill="1" applyBorder="1" applyAlignment="1" applyProtection="1">
      <alignment horizontal="center" vertical="center"/>
      <protection locked="0"/>
    </xf>
    <xf numFmtId="165" fontId="0" fillId="11" borderId="10" xfId="0" applyNumberFormat="1" applyFill="1" applyBorder="1" applyAlignment="1">
      <alignment horizontal="center" vertical="center"/>
    </xf>
    <xf numFmtId="165" fontId="0" fillId="11" borderId="10" xfId="0" applyNumberFormat="1" applyFill="1" applyBorder="1" applyAlignment="1" applyProtection="1">
      <alignment horizontal="center" vertical="center"/>
      <protection locked="0"/>
    </xf>
    <xf numFmtId="165" fontId="0" fillId="11" borderId="27" xfId="0" applyNumberFormat="1" applyFill="1" applyBorder="1" applyAlignment="1" applyProtection="1">
      <alignment horizontal="center" vertical="center"/>
      <protection locked="0"/>
    </xf>
    <xf numFmtId="165" fontId="0" fillId="11" borderId="26" xfId="0" applyNumberFormat="1" applyFill="1" applyBorder="1" applyAlignment="1" applyProtection="1">
      <alignment horizontal="center" vertical="center"/>
      <protection locked="0"/>
    </xf>
    <xf numFmtId="165" fontId="0" fillId="11" borderId="75" xfId="0" applyNumberFormat="1" applyFill="1" applyBorder="1" applyAlignment="1" applyProtection="1">
      <alignment horizontal="center" vertical="center"/>
      <protection locked="0"/>
    </xf>
    <xf numFmtId="165" fontId="0" fillId="11" borderId="122" xfId="0" applyNumberFormat="1" applyFill="1" applyBorder="1" applyAlignment="1">
      <alignment horizontal="center" vertical="center"/>
    </xf>
    <xf numFmtId="165" fontId="0" fillId="11" borderId="123" xfId="0" applyNumberFormat="1" applyFill="1" applyBorder="1" applyAlignment="1">
      <alignment horizontal="center" vertical="center"/>
    </xf>
    <xf numFmtId="165" fontId="0" fillId="11" borderId="127" xfId="0" applyNumberFormat="1" applyFill="1" applyBorder="1" applyAlignment="1" applyProtection="1">
      <alignment horizontal="center" vertical="center"/>
      <protection locked="0"/>
    </xf>
    <xf numFmtId="165" fontId="0" fillId="11" borderId="128" xfId="0" applyNumberFormat="1" applyFill="1" applyBorder="1" applyAlignment="1" applyProtection="1">
      <alignment horizontal="center" vertical="center"/>
      <protection locked="0"/>
    </xf>
    <xf numFmtId="165" fontId="0" fillId="0" borderId="129" xfId="0" applyNumberFormat="1" applyBorder="1" applyAlignment="1">
      <alignment horizontal="center" vertical="center"/>
    </xf>
    <xf numFmtId="165" fontId="0" fillId="0" borderId="130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31" xfId="0" applyNumberFormat="1" applyBorder="1" applyAlignment="1">
      <alignment horizontal="center" vertical="center"/>
    </xf>
    <xf numFmtId="165" fontId="0" fillId="0" borderId="79" xfId="0" applyNumberFormat="1" applyBorder="1" applyAlignment="1">
      <alignment horizontal="center" vertical="center"/>
    </xf>
    <xf numFmtId="165" fontId="0" fillId="0" borderId="132" xfId="0" applyNumberFormat="1" applyBorder="1" applyAlignment="1">
      <alignment horizontal="center" vertical="center"/>
    </xf>
    <xf numFmtId="165" fontId="0" fillId="0" borderId="133" xfId="0" applyNumberFormat="1" applyBorder="1" applyAlignment="1">
      <alignment horizontal="center" vertical="center"/>
    </xf>
    <xf numFmtId="165" fontId="0" fillId="0" borderId="134" xfId="0" applyNumberFormat="1" applyBorder="1" applyAlignment="1">
      <alignment horizontal="center" vertical="center"/>
    </xf>
    <xf numFmtId="165" fontId="0" fillId="0" borderId="87" xfId="0" applyNumberFormat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169" fontId="0" fillId="11" borderId="25" xfId="0" applyNumberFormat="1" applyFill="1" applyBorder="1"/>
    <xf numFmtId="0" fontId="0" fillId="0" borderId="26" xfId="0" applyBorder="1"/>
    <xf numFmtId="169" fontId="0" fillId="11" borderId="27" xfId="0" applyNumberFormat="1" applyFill="1" applyBorder="1"/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165" fontId="29" fillId="0" borderId="19" xfId="0" applyNumberFormat="1" applyFont="1" applyBorder="1" applyAlignment="1">
      <alignment horizontal="center" vertical="center" wrapText="1"/>
    </xf>
    <xf numFmtId="165" fontId="29" fillId="0" borderId="20" xfId="0" applyNumberFormat="1" applyFont="1" applyBorder="1" applyAlignment="1">
      <alignment horizontal="center" vertical="center" wrapText="1"/>
    </xf>
    <xf numFmtId="165" fontId="29" fillId="0" borderId="21" xfId="0" applyNumberFormat="1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165" fontId="29" fillId="0" borderId="22" xfId="0" applyNumberFormat="1" applyFont="1" applyBorder="1" applyAlignment="1">
      <alignment horizontal="center" vertical="center" wrapText="1"/>
    </xf>
    <xf numFmtId="165" fontId="29" fillId="0" borderId="0" xfId="0" applyNumberFormat="1" applyFont="1" applyAlignment="1">
      <alignment horizontal="center" vertical="center" wrapText="1"/>
    </xf>
    <xf numFmtId="165" fontId="29" fillId="0" borderId="23" xfId="0" applyNumberFormat="1" applyFont="1" applyBorder="1" applyAlignment="1">
      <alignment horizontal="center" vertical="center" wrapText="1"/>
    </xf>
    <xf numFmtId="0" fontId="0" fillId="0" borderId="28" xfId="0" applyBorder="1"/>
    <xf numFmtId="169" fontId="0" fillId="11" borderId="29" xfId="0" applyNumberFormat="1" applyFill="1" applyBorder="1"/>
    <xf numFmtId="0" fontId="29" fillId="0" borderId="30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165" fontId="29" fillId="0" borderId="30" xfId="0" applyNumberFormat="1" applyFont="1" applyBorder="1" applyAlignment="1">
      <alignment horizontal="center" vertical="center" wrapText="1"/>
    </xf>
    <xf numFmtId="165" fontId="29" fillId="0" borderId="31" xfId="0" applyNumberFormat="1" applyFont="1" applyBorder="1" applyAlignment="1">
      <alignment horizontal="center" vertical="center" wrapText="1"/>
    </xf>
    <xf numFmtId="165" fontId="29" fillId="0" borderId="3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W1:BI162"/>
  <sheetViews>
    <sheetView workbookViewId="0" zoomScale="100" zoomScaleNormal="100">
      <selection activeCell="E97" sqref="E97"/>
    </sheetView>
  </sheetViews>
  <sheetFormatPr defaultRowHeight="15" outlineLevelRow="0" outlineLevelCol="0" x14ac:dyDescent="0.25"/>
  <cols>
    <col min="1" max="1" width="18.5703125" customWidth="1"/>
    <col min="2" max="2" width="15" customWidth="1"/>
    <col min="3" max="3" width="6.7109375" customWidth="1"/>
    <col min="4" max="4" width="21.7109375" customWidth="1"/>
    <col min="5" max="5" width="13" customWidth="1"/>
    <col min="6" max="6" width="12.140625" customWidth="1"/>
    <col min="7" max="7" width="13.7109375" customWidth="1"/>
    <col min="8" max="8" width="12.140625" customWidth="1"/>
    <col min="9" max="9" width="12.5703125" customWidth="1"/>
    <col min="10" max="10" width="12" customWidth="1"/>
    <col min="11" max="11" width="15.5703125" customWidth="1"/>
    <col min="12" max="12" width="12" customWidth="1"/>
    <col min="13" max="13" width="13.42578125" customWidth="1"/>
    <col min="14" max="14" width="10.7109375" customWidth="1"/>
    <col min="15" max="15" width="11.7109375" customWidth="1"/>
    <col min="16" max="16" width="14.140625" customWidth="1"/>
    <col min="17" max="17" width="11.5703125" customWidth="1"/>
    <col min="18" max="18" width="10.7109375" customWidth="1"/>
    <col min="19" max="19" width="11.42578125" customWidth="1"/>
    <col min="20" max="20" width="15.28515625" customWidth="1"/>
    <col min="21" max="21" width="12.42578125" customWidth="1"/>
    <col min="22" max="22" width="14.5703125" customWidth="1"/>
    <col min="23" max="24" width="15.7109375" customWidth="1"/>
    <col min="25" max="25" width="19.7109375" customWidth="1"/>
    <col min="26" max="33" width="15.7109375" customWidth="1"/>
    <col min="34" max="34" width="17.28515625" customWidth="1"/>
    <col min="35" max="35" width="16.42578125" customWidth="1"/>
    <col min="36" max="36" width="16.140625" customWidth="1"/>
    <col min="37" max="37" width="16" customWidth="1"/>
    <col min="38" max="38" width="13.42578125" customWidth="1"/>
    <col min="39" max="39" width="11.7109375" customWidth="1"/>
    <col min="40" max="40" width="12.7109375" customWidth="1"/>
    <col min="41" max="42" width="16.28515625" customWidth="1"/>
    <col min="43" max="43" width="13.85546875" customWidth="1"/>
    <col min="44" max="44" width="13.5703125" customWidth="1"/>
    <col min="45" max="45" width="17.85546875" customWidth="1"/>
    <col min="46" max="46" width="19.140625" customWidth="1"/>
    <col min="47" max="47" width="13.5703125" customWidth="1"/>
    <col min="48" max="50" width="12.7109375" customWidth="1"/>
    <col min="51" max="51" width="12.85546875" customWidth="1"/>
    <col min="52" max="52" width="12.7109375" customWidth="1"/>
    <col min="53" max="54" width="13.85546875" customWidth="1"/>
    <col min="55" max="55" width="12.7109375" customWidth="1"/>
    <col min="56" max="56" width="13.5703125" customWidth="1"/>
    <col min="57" max="57" width="12.7109375" customWidth="1"/>
    <col min="58" max="58" width="13.5703125" customWidth="1"/>
    <col min="59" max="60" width="16" customWidth="1"/>
    <col min="61" max="61" width="12.7109375" customWidth="1"/>
    <col min="62" max="62" width="9.140625" customWidth="1"/>
    <col min="63" max="63" width="12.5703125" customWidth="1"/>
    <col min="64" max="16384" width="9.140625" customWidth="1"/>
  </cols>
  <sheetData>
    <row r="1" spans="1:37" x14ac:dyDescent="0.25">
      <c r="A1" s="59" t="s">
        <v>44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2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</row>
    <row r="2" ht="21" customHeight="1" spans="1:37" x14ac:dyDescent="0.25">
      <c r="A2" s="61"/>
      <c r="B2" s="64" t="s">
        <v>45</v>
      </c>
      <c r="C2" s="64"/>
      <c r="D2" s="64"/>
      <c r="E2" s="64"/>
      <c r="F2" s="65" t="s">
        <v>30</v>
      </c>
      <c r="G2" s="61"/>
      <c r="H2" s="61"/>
      <c r="I2" s="61"/>
      <c r="J2" s="61"/>
      <c r="K2" s="61"/>
      <c r="L2" s="61"/>
      <c r="M2" s="61"/>
      <c r="N2" s="1" t="s">
        <v>46</v>
      </c>
      <c r="O2" s="1"/>
      <c r="P2" s="1"/>
      <c r="Q2" s="1"/>
      <c r="R2" s="1"/>
      <c r="S2" s="1"/>
      <c r="T2" s="1"/>
      <c r="U2" s="62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</row>
    <row r="3" spans="1:37" x14ac:dyDescent="0.25">
      <c r="A3" s="61"/>
      <c r="B3" s="61"/>
      <c r="C3" s="61"/>
      <c r="D3" s="61"/>
      <c r="E3" s="61"/>
      <c r="F3" s="66"/>
      <c r="G3" s="61"/>
      <c r="H3" s="61"/>
      <c r="I3" s="61"/>
      <c r="J3" s="61"/>
      <c r="K3" s="61"/>
      <c r="L3" s="61"/>
      <c r="M3" s="61"/>
      <c r="N3" s="2" t="s">
        <v>47</v>
      </c>
      <c r="O3" s="2"/>
      <c r="P3" s="2"/>
      <c r="Q3" s="2"/>
      <c r="R3" s="2"/>
      <c r="S3" s="2"/>
      <c r="T3" s="2"/>
      <c r="U3" s="62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</row>
    <row r="4" ht="33.75" customHeight="1" spans="1:37" x14ac:dyDescent="0.25">
      <c r="A4" s="61"/>
      <c r="B4" s="67" t="s">
        <v>48</v>
      </c>
      <c r="C4" s="67"/>
      <c r="D4" s="67"/>
      <c r="E4" s="67"/>
      <c r="F4" s="68"/>
      <c r="G4" s="68"/>
      <c r="H4" s="68"/>
      <c r="I4" s="68"/>
      <c r="J4" s="61"/>
      <c r="K4" s="61"/>
      <c r="L4" s="61"/>
      <c r="M4" s="61"/>
      <c r="N4" s="3" t="s">
        <v>49</v>
      </c>
      <c r="O4" s="3"/>
      <c r="P4" s="3"/>
      <c r="Q4" s="3"/>
      <c r="R4" s="3"/>
      <c r="S4" s="3"/>
      <c r="T4" s="3"/>
      <c r="U4" s="62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</row>
    <row r="5" ht="15.75" customHeight="1" spans="1:37" x14ac:dyDescent="0.25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4" t="s">
        <v>3</v>
      </c>
      <c r="O5" s="4"/>
      <c r="P5" s="4"/>
      <c r="Q5" s="4"/>
      <c r="R5" s="4"/>
      <c r="S5" s="4"/>
      <c r="T5" s="4"/>
      <c r="U5" s="62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</row>
    <row r="6" spans="1:37" x14ac:dyDescent="0.25">
      <c r="A6" s="61"/>
      <c r="B6" s="61"/>
      <c r="C6" s="61"/>
      <c r="D6" s="69" t="s">
        <v>50</v>
      </c>
      <c r="E6" s="70" t="s">
        <v>51</v>
      </c>
      <c r="F6" s="61"/>
      <c r="G6" s="61"/>
      <c r="H6" s="61"/>
      <c r="I6" s="61"/>
      <c r="J6" s="61"/>
      <c r="K6" s="61"/>
      <c r="L6" s="61"/>
      <c r="M6" s="61"/>
      <c r="N6" s="5" t="s">
        <v>4</v>
      </c>
      <c r="O6" s="5"/>
      <c r="P6" s="5"/>
      <c r="Q6" s="5"/>
      <c r="R6" s="5"/>
      <c r="S6" s="5"/>
      <c r="T6" s="5"/>
      <c r="U6" s="62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</row>
    <row r="7" ht="29.25" customHeight="1" spans="1:37" x14ac:dyDescent="0.25">
      <c r="A7" s="61"/>
      <c r="B7" s="61"/>
      <c r="C7" s="61"/>
      <c r="D7" s="71">
        <f>технолог!P27</f>
      </c>
      <c r="E7" s="72">
        <f>технолог!Q27</f>
      </c>
      <c r="F7" s="61"/>
      <c r="G7" s="61"/>
      <c r="H7" s="61"/>
      <c r="I7" s="73" t="s">
        <v>52</v>
      </c>
      <c r="J7" s="73"/>
      <c r="K7" s="73"/>
      <c r="L7" s="73"/>
      <c r="M7" s="73"/>
      <c r="N7" s="73"/>
      <c r="O7" s="61"/>
      <c r="P7" s="61"/>
      <c r="Q7" s="61"/>
      <c r="R7" s="61"/>
      <c r="S7" s="61"/>
      <c r="T7" s="61"/>
      <c r="U7" s="62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</row>
    <row r="8" ht="44.25" customHeight="1" spans="1:37" x14ac:dyDescent="0.25">
      <c r="A8" s="74" t="s">
        <v>53</v>
      </c>
      <c r="B8" s="75"/>
      <c r="C8" s="75"/>
      <c r="D8" s="76">
        <v>700</v>
      </c>
      <c r="E8" s="77">
        <v>700</v>
      </c>
      <c r="F8" s="61"/>
      <c r="G8" s="61"/>
      <c r="H8" s="78"/>
      <c r="I8" s="78"/>
      <c r="J8" s="78"/>
      <c r="K8" s="78"/>
      <c r="L8" s="78"/>
      <c r="M8" s="78"/>
      <c r="N8" s="78"/>
      <c r="O8" s="78"/>
      <c r="P8" s="78"/>
      <c r="Q8" s="78"/>
      <c r="R8" s="61"/>
      <c r="S8" s="61"/>
      <c r="T8" s="61"/>
      <c r="U8" s="62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</row>
    <row r="9" ht="32.25" customHeight="1" spans="1:37" x14ac:dyDescent="0.25">
      <c r="A9" s="79" t="s">
        <v>54</v>
      </c>
      <c r="B9" s="80"/>
      <c r="C9" s="80"/>
      <c r="D9" s="81" t="s">
        <v>30</v>
      </c>
      <c r="E9" s="82"/>
      <c r="F9" s="83"/>
      <c r="G9" s="83"/>
      <c r="H9" s="84" t="s">
        <v>55</v>
      </c>
      <c r="I9" s="85" t="s">
        <v>56</v>
      </c>
      <c r="J9" s="85" t="s">
        <v>10</v>
      </c>
      <c r="K9" s="86" t="s">
        <v>57</v>
      </c>
      <c r="L9" s="86" t="s">
        <v>58</v>
      </c>
      <c r="M9" s="87" t="s">
        <v>59</v>
      </c>
      <c r="N9" s="86" t="s">
        <v>60</v>
      </c>
      <c r="O9" s="86" t="s">
        <v>61</v>
      </c>
      <c r="P9" s="88" t="s">
        <v>62</v>
      </c>
      <c r="Q9" s="89" t="s">
        <v>63</v>
      </c>
      <c r="R9" s="61"/>
      <c r="S9" s="61"/>
      <c r="T9" s="61"/>
      <c r="U9" s="62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</row>
    <row r="10" ht="46.5" customHeight="1" spans="1:37" x14ac:dyDescent="0.25">
      <c r="A10" s="74" t="s">
        <v>64</v>
      </c>
      <c r="B10" s="75"/>
      <c r="C10" s="75"/>
      <c r="D10" s="90" t="s">
        <v>65</v>
      </c>
      <c r="E10" s="91"/>
      <c r="F10" s="92"/>
      <c r="G10" s="92"/>
      <c r="H10" s="93">
        <f>технолог!E27</f>
      </c>
      <c r="I10" s="94">
        <f>технолог!G27</f>
      </c>
      <c r="J10" s="94">
        <f>технолог!H27</f>
      </c>
      <c r="K10" s="95">
        <f>технолог!I27</f>
      </c>
      <c r="L10" s="96">
        <f>технолог!S27</f>
      </c>
      <c r="M10" s="97">
        <f>технолог!P27</f>
      </c>
      <c r="N10" s="98">
        <f>технолог!U27</f>
      </c>
      <c r="O10" s="99">
        <f>технолог!T27</f>
      </c>
      <c r="P10" s="100">
        <f>технолог!Q27</f>
      </c>
      <c r="Q10" s="101">
        <f>технолог!V27</f>
      </c>
      <c r="R10" s="61"/>
      <c r="S10" s="61"/>
      <c r="T10" s="61"/>
      <c r="U10" s="62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</row>
    <row r="11" ht="39" customHeight="1" spans="1:37" x14ac:dyDescent="0.25">
      <c r="A11" s="74" t="s">
        <v>66</v>
      </c>
      <c r="B11" s="75"/>
      <c r="C11" s="75"/>
      <c r="D11" s="102" t="s">
        <v>67</v>
      </c>
      <c r="E11" s="103"/>
      <c r="F11" s="104"/>
      <c r="G11" s="104"/>
      <c r="H11" s="104"/>
      <c r="I11" s="104"/>
      <c r="J11" s="104"/>
      <c r="K11" s="105"/>
      <c r="L11" s="106"/>
      <c r="M11" s="107"/>
      <c r="N11" s="108"/>
      <c r="O11" s="108"/>
      <c r="P11" s="109"/>
      <c r="Q11" s="61"/>
      <c r="R11" s="61"/>
      <c r="S11" s="61"/>
      <c r="T11" s="61"/>
      <c r="U11" s="62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</row>
    <row r="12" ht="30" customHeight="1" spans="1:37" x14ac:dyDescent="0.25">
      <c r="A12" s="74" t="s">
        <v>68</v>
      </c>
      <c r="B12" s="75"/>
      <c r="C12" s="75"/>
      <c r="D12" s="110"/>
      <c r="E12" s="111"/>
      <c r="F12" s="104"/>
      <c r="G12" s="104"/>
      <c r="H12" s="104"/>
      <c r="I12" s="104"/>
      <c r="J12" s="104"/>
      <c r="K12" s="104"/>
      <c r="L12" s="66"/>
      <c r="M12" s="107"/>
      <c r="N12" s="61"/>
      <c r="O12" s="61"/>
      <c r="P12" s="109"/>
      <c r="Q12" s="61"/>
      <c r="R12" s="61"/>
      <c r="S12" s="61"/>
      <c r="T12" s="61"/>
      <c r="U12" s="62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</row>
    <row r="13" ht="26.25" customHeight="1" spans="1:37" x14ac:dyDescent="0.25">
      <c r="A13" s="112" t="s">
        <v>69</v>
      </c>
      <c r="B13" s="113"/>
      <c r="C13" s="114"/>
      <c r="D13" s="115"/>
      <c r="E13" s="116"/>
      <c r="F13" s="117"/>
      <c r="G13" s="117"/>
      <c r="H13" s="61"/>
      <c r="I13" s="61"/>
      <c r="J13" s="118" t="s">
        <v>70</v>
      </c>
      <c r="K13" s="119">
        <v>1</v>
      </c>
      <c r="L13" s="120"/>
      <c r="M13" s="121"/>
      <c r="N13" s="121"/>
      <c r="O13" s="122" t="s">
        <v>71</v>
      </c>
      <c r="P13" s="123">
        <v>120000</v>
      </c>
      <c r="Q13" s="61"/>
      <c r="R13" s="61"/>
      <c r="S13" s="61"/>
      <c r="T13" s="61"/>
      <c r="U13" s="62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</row>
    <row r="14" ht="15" customHeight="1" spans="1:37" x14ac:dyDescent="0.25">
      <c r="A14" s="124" t="s">
        <v>72</v>
      </c>
      <c r="B14" s="124"/>
      <c r="C14" s="124"/>
      <c r="D14" s="125"/>
      <c r="E14" s="61"/>
      <c r="F14" s="61"/>
      <c r="G14" s="61"/>
      <c r="H14" s="61"/>
      <c r="I14" s="61"/>
      <c r="J14" s="126" t="s">
        <v>73</v>
      </c>
      <c r="K14" s="127">
        <f>K13*D12</f>
      </c>
      <c r="L14" s="61"/>
      <c r="M14" s="61"/>
      <c r="N14" s="61"/>
      <c r="O14" s="128"/>
      <c r="P14" s="129"/>
      <c r="Q14" s="61"/>
      <c r="R14" s="61"/>
      <c r="S14" s="61"/>
      <c r="T14" s="61"/>
      <c r="U14" s="62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</row>
    <row r="15" ht="16.5" customHeight="1" spans="1:37" x14ac:dyDescent="0.25">
      <c r="A15" s="130" t="s">
        <v>74</v>
      </c>
      <c r="B15" s="130"/>
      <c r="C15" s="130"/>
      <c r="D15" s="13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2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</row>
    <row r="16" ht="15.75" customHeight="1" spans="1:37" x14ac:dyDescent="0.25">
      <c r="A16" s="132" t="s">
        <v>75</v>
      </c>
      <c r="B16" s="132"/>
      <c r="C16" s="132"/>
      <c r="D16" s="13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2"/>
      <c r="V16" s="63"/>
      <c r="W16" s="133" t="s">
        <v>76</v>
      </c>
      <c r="X16" s="134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</row>
    <row r="17" ht="15.75" customHeight="1" spans="1:37" x14ac:dyDescent="0.25">
      <c r="A17" s="132" t="s">
        <v>77</v>
      </c>
      <c r="B17" s="132"/>
      <c r="C17" s="132"/>
      <c r="D17" s="135" t="s">
        <v>78</v>
      </c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2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</row>
    <row r="18" ht="15" customHeight="1" spans="1:37" x14ac:dyDescent="0.25">
      <c r="A18" s="61"/>
      <c r="B18" s="136" t="s">
        <v>79</v>
      </c>
      <c r="C18" s="137"/>
      <c r="D18" s="137"/>
      <c r="E18" s="137"/>
      <c r="F18" s="137"/>
      <c r="G18" s="138"/>
      <c r="H18" s="136" t="s">
        <v>80</v>
      </c>
      <c r="I18" s="137"/>
      <c r="J18" s="137"/>
      <c r="K18" s="137"/>
      <c r="L18" s="137"/>
      <c r="M18" s="138"/>
      <c r="N18" s="61"/>
      <c r="O18" s="139" t="s">
        <v>81</v>
      </c>
      <c r="P18" s="140"/>
      <c r="Q18" s="141"/>
      <c r="R18" s="61"/>
      <c r="S18" s="61"/>
      <c r="T18" s="61"/>
      <c r="U18" s="62"/>
      <c r="V18" s="142">
        <f>'результат '!F26</f>
      </c>
      <c r="W18" s="143" t="s">
        <v>82</v>
      </c>
      <c r="X18" s="143"/>
      <c r="Y18" s="144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</row>
    <row r="19" ht="15.75" customHeight="1" spans="1:37" x14ac:dyDescent="0.25">
      <c r="A19" s="61"/>
      <c r="B19" s="145" t="s">
        <v>83</v>
      </c>
      <c r="C19" s="146" t="s">
        <v>84</v>
      </c>
      <c r="D19" s="146"/>
      <c r="E19" s="147"/>
      <c r="F19" s="146" t="s">
        <v>85</v>
      </c>
      <c r="G19" s="148">
        <v>7850</v>
      </c>
      <c r="H19" s="145" t="s">
        <v>83</v>
      </c>
      <c r="I19" s="146" t="s">
        <v>84</v>
      </c>
      <c r="J19" s="146"/>
      <c r="K19" s="147"/>
      <c r="L19" s="146" t="s">
        <v>85</v>
      </c>
      <c r="M19" s="148">
        <v>7850</v>
      </c>
      <c r="N19" s="61"/>
      <c r="O19" s="149" t="s">
        <v>86</v>
      </c>
      <c r="P19" s="150">
        <v>88</v>
      </c>
      <c r="Q19" s="151"/>
      <c r="R19" s="61"/>
      <c r="S19" s="61"/>
      <c r="T19" s="61"/>
      <c r="U19" s="62"/>
      <c r="V19" s="152">
        <f>'результат '!G26</f>
      </c>
      <c r="W19" s="153" t="s">
        <v>87</v>
      </c>
      <c r="X19" s="153"/>
      <c r="Y19" s="154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</row>
    <row r="20" spans="1:37" x14ac:dyDescent="0.25">
      <c r="A20" s="61"/>
      <c r="B20" s="155"/>
      <c r="C20" s="156" t="s">
        <v>88</v>
      </c>
      <c r="D20" s="156"/>
      <c r="E20" s="157" t="s">
        <v>89</v>
      </c>
      <c r="F20" s="156" t="s">
        <v>90</v>
      </c>
      <c r="G20" s="158">
        <f>IF(технолог!G27=AM45,AN45*E19*G19,IF(технолог!G27=AM46,AN46*E19*G19,IF(технолог!G27=AM40,AN40*E19*G19,IF(технолог!G27=AM41,AN41*E19*G19,IF(технолог!G27=AM42,AN42*E19*G19,IF(технолог!G27=AM43,AN43*E19*G19,IF(технолог!G27=AM44,AN44*E19*G19,IF(технолог!G27=AM48,AN48*E19*G19,IF(технолог!G27=AM49,AN49*E19*G19,IF(технолог!G27=AM50,AN50*E19*G19,IF(технолог!G27=AM51,AN51*E19*G19,AN52*E19*G19)))))))))))</f>
      </c>
      <c r="H20" s="155"/>
      <c r="I20" s="156" t="s">
        <v>88</v>
      </c>
      <c r="J20" s="156"/>
      <c r="K20" s="157"/>
      <c r="L20" s="156" t="s">
        <v>90</v>
      </c>
      <c r="M20" s="158">
        <f>M21*K19*K19*M19</f>
      </c>
      <c r="N20" s="61"/>
      <c r="O20" s="149" t="s">
        <v>91</v>
      </c>
      <c r="P20" s="159" t="s">
        <v>92</v>
      </c>
      <c r="Q20" s="151"/>
      <c r="R20" s="61"/>
      <c r="S20" s="61"/>
      <c r="T20" s="61"/>
      <c r="U20" s="62"/>
      <c r="V20" s="152">
        <f>'результат '!H26</f>
      </c>
      <c r="W20" s="153" t="s">
        <v>93</v>
      </c>
      <c r="X20" s="153"/>
      <c r="Y20" s="154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</row>
    <row r="21" ht="15.75" customHeight="1" spans="1:37" x14ac:dyDescent="0.25">
      <c r="A21" s="61"/>
      <c r="B21" s="160" t="s">
        <v>94</v>
      </c>
      <c r="C21" s="161"/>
      <c r="D21" s="161"/>
      <c r="E21" s="157" t="s">
        <v>95</v>
      </c>
      <c r="F21" s="156"/>
      <c r="G21" s="162"/>
      <c r="H21" s="160" t="s">
        <v>96</v>
      </c>
      <c r="I21" s="161"/>
      <c r="J21" s="161"/>
      <c r="K21" s="157"/>
      <c r="L21" s="156" t="s">
        <v>97</v>
      </c>
      <c r="M21" s="163">
        <f>(технолог!T27+технолог!U27)*0.001*технолог!I27+2*E19+2*технолог!V27*0.001</f>
      </c>
      <c r="N21" s="61"/>
      <c r="O21" s="149" t="s">
        <v>98</v>
      </c>
      <c r="P21" s="159" t="s">
        <v>99</v>
      </c>
      <c r="Q21" s="151" t="s">
        <v>100</v>
      </c>
      <c r="R21" s="61"/>
      <c r="S21" s="61"/>
      <c r="T21" s="61"/>
      <c r="U21" s="62"/>
      <c r="V21" s="152">
        <f>'результат '!I26</f>
      </c>
      <c r="W21" s="153" t="s">
        <v>101</v>
      </c>
      <c r="X21" s="153"/>
      <c r="Y21" s="154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</row>
    <row r="22" ht="16.5" customHeight="1" spans="1:37" x14ac:dyDescent="0.25">
      <c r="A22" s="61"/>
      <c r="B22" s="164"/>
      <c r="C22" s="164"/>
      <c r="D22" s="164"/>
      <c r="E22" s="165"/>
      <c r="F22" s="166" t="s">
        <v>102</v>
      </c>
      <c r="G22" s="167">
        <f>IF(технолог!G27=снабжение!AM46,G20*D10+E20+E21,G20*D10*D16+E20+E21)</f>
      </c>
      <c r="H22" s="164"/>
      <c r="I22" s="164"/>
      <c r="J22" s="164"/>
      <c r="K22" s="165"/>
      <c r="L22" s="166" t="s">
        <v>103</v>
      </c>
      <c r="M22" s="167">
        <f>IF(технолог!G27=снабжение!AM46,M20*D10*(D15+0.03)+K20+K21,M20*D10*D15+K20+K21)</f>
      </c>
      <c r="N22" s="61"/>
      <c r="O22" s="149" t="s">
        <v>104</v>
      </c>
      <c r="P22" s="159" t="s">
        <v>105</v>
      </c>
      <c r="Q22" s="168"/>
      <c r="R22" s="61"/>
      <c r="S22" s="61"/>
      <c r="T22" s="61"/>
      <c r="U22" s="62"/>
      <c r="V22" s="152">
        <f>'результат '!J26</f>
      </c>
      <c r="W22" s="153" t="s">
        <v>106</v>
      </c>
      <c r="X22" s="153"/>
      <c r="Y22" s="154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</row>
    <row r="23" ht="16.5" customHeight="1" spans="1:37" x14ac:dyDescent="0.2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149" t="s">
        <v>107</v>
      </c>
      <c r="P23" s="169">
        <f>P22</f>
      </c>
      <c r="Q23" s="168"/>
      <c r="R23" s="61"/>
      <c r="S23" s="61"/>
      <c r="T23" s="61"/>
      <c r="U23" s="62"/>
      <c r="V23" s="152">
        <f>'результат '!K26</f>
      </c>
      <c r="W23" s="153" t="s">
        <v>108</v>
      </c>
      <c r="X23" s="153"/>
      <c r="Y23" s="154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</row>
    <row r="24" ht="16.5" customHeight="1" spans="1:37" x14ac:dyDescent="0.25">
      <c r="A24" s="61"/>
      <c r="B24" s="136" t="s">
        <v>109</v>
      </c>
      <c r="C24" s="137"/>
      <c r="D24" s="137"/>
      <c r="E24" s="137"/>
      <c r="F24" s="137"/>
      <c r="G24" s="138"/>
      <c r="H24" s="136" t="s">
        <v>110</v>
      </c>
      <c r="I24" s="137"/>
      <c r="J24" s="137"/>
      <c r="K24" s="137"/>
      <c r="L24" s="137"/>
      <c r="M24" s="138"/>
      <c r="N24" s="61"/>
      <c r="O24" s="170" t="s">
        <v>111</v>
      </c>
      <c r="P24" s="169">
        <f>P22</f>
      </c>
      <c r="Q24" s="168"/>
      <c r="R24" s="61"/>
      <c r="S24" s="61"/>
      <c r="T24" s="61"/>
      <c r="U24" s="62"/>
      <c r="V24" s="152">
        <f>'результат '!L26</f>
      </c>
      <c r="W24" s="153" t="s">
        <v>112</v>
      </c>
      <c r="X24" s="153"/>
      <c r="Y24" s="154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</row>
    <row r="25" ht="16.5" customHeight="1" spans="1:37" x14ac:dyDescent="0.25">
      <c r="A25" s="61"/>
      <c r="B25" s="118" t="s">
        <v>113</v>
      </c>
      <c r="C25" s="171" t="s">
        <v>84</v>
      </c>
      <c r="D25" s="171"/>
      <c r="E25" s="172"/>
      <c r="F25" s="171" t="s">
        <v>85</v>
      </c>
      <c r="G25" s="173">
        <v>7850</v>
      </c>
      <c r="H25" s="118" t="s">
        <v>114</v>
      </c>
      <c r="I25" s="171" t="s">
        <v>84</v>
      </c>
      <c r="J25" s="171"/>
      <c r="K25" s="172"/>
      <c r="L25" s="171" t="s">
        <v>85</v>
      </c>
      <c r="M25" s="173">
        <v>7850</v>
      </c>
      <c r="N25" s="61"/>
      <c r="O25" s="61"/>
      <c r="P25" s="174" t="s">
        <v>73</v>
      </c>
      <c r="Q25" s="175">
        <f>(Q22+Q23+Q24)*P19</f>
      </c>
      <c r="R25" s="61"/>
      <c r="S25" s="61"/>
      <c r="T25" s="61"/>
      <c r="U25" s="62"/>
      <c r="V25" s="152">
        <f>'результат '!M26</f>
      </c>
      <c r="W25" s="153" t="s">
        <v>115</v>
      </c>
      <c r="X25" s="153"/>
      <c r="Y25" s="154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</row>
    <row r="26" ht="16.5" customHeight="1" spans="1:37" x14ac:dyDescent="0.25">
      <c r="A26" s="61"/>
      <c r="B26" s="176"/>
      <c r="C26" s="156" t="s">
        <v>88</v>
      </c>
      <c r="D26" s="156"/>
      <c r="E26" s="157" t="s">
        <v>116</v>
      </c>
      <c r="F26" s="156" t="s">
        <v>90</v>
      </c>
      <c r="G26" s="158">
        <f>E25*G27*M21*G25</f>
      </c>
      <c r="H26" s="176"/>
      <c r="I26" s="156" t="s">
        <v>88</v>
      </c>
      <c r="J26" s="156"/>
      <c r="K26" s="157"/>
      <c r="L26" s="156" t="s">
        <v>90</v>
      </c>
      <c r="M26" s="158">
        <f>K25*M27*M21*M25</f>
      </c>
      <c r="N26" s="61"/>
      <c r="O26" s="61"/>
      <c r="P26" s="61"/>
      <c r="Q26" s="61"/>
      <c r="R26" s="61"/>
      <c r="S26" s="61"/>
      <c r="T26" s="61"/>
      <c r="U26" s="62"/>
      <c r="V26" s="152">
        <f>'результат '!N26</f>
      </c>
      <c r="W26" s="153" t="s">
        <v>117</v>
      </c>
      <c r="X26" s="153"/>
      <c r="Y26" s="154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</row>
    <row r="27" ht="16.5" customHeight="1" spans="1:37" x14ac:dyDescent="0.25">
      <c r="A27" s="61"/>
      <c r="B27" s="177" t="s">
        <v>118</v>
      </c>
      <c r="C27" s="178"/>
      <c r="D27" s="178"/>
      <c r="E27" s="179" t="s">
        <v>119</v>
      </c>
      <c r="F27" s="180" t="s">
        <v>120</v>
      </c>
      <c r="G27" s="181">
        <f>IF(технолог!G27=AM45,AO45,IF(технолог!G27=AM46,AO46,IF(технолог!G27=AM40,AO40,IF(технолог!G27=AM41,AO41,IF(технолог!G27=AM42,AO42,IF(технолог!G27=AM43,AO43,IF(технолог!G27=AM44,AO44,IF(технолог!G27=AM47,AO47,IF(технолог!G27=AM48,AO48,IF(технолог!G27=AM49,AO49,IF(технолог!G27=AM50,AO50,IF(технолог!G27=AM51,AO51,AO52))))))))))))</f>
      </c>
      <c r="H27" s="177" t="s">
        <v>118</v>
      </c>
      <c r="I27" s="178"/>
      <c r="J27" s="178"/>
      <c r="K27" s="179"/>
      <c r="L27" s="180" t="s">
        <v>120</v>
      </c>
      <c r="M27" s="181">
        <f>IF(технолог!G27=AM45,AP45,IF(технолог!G27=AM46,AP46,IF(технолог!G27=AM40,AP40,IF(технолог!G27=AM41,AP41,IF(технолог!G27=AM42,AP42,IF(технолог!G27=AM43,AP43,IF(технолог!G27=AM44,AP44,IF(технолог!G27=AM47,AP47,IF(технолог!G27=AM48,AP48,IF(технолог!G27=AM49,AP49,IF(технолог!G27=AM50,AP50,IF(технолог!G27=AM51,AP51,AP52))))))))))))</f>
      </c>
      <c r="N27" s="61"/>
      <c r="O27" s="139" t="s">
        <v>121</v>
      </c>
      <c r="P27" s="140"/>
      <c r="Q27" s="140"/>
      <c r="R27" s="140"/>
      <c r="S27" s="140"/>
      <c r="T27" s="141"/>
      <c r="U27" s="62"/>
      <c r="V27" s="152">
        <f>'результат '!O26</f>
      </c>
      <c r="W27" s="153" t="s">
        <v>122</v>
      </c>
      <c r="X27" s="153"/>
      <c r="Y27" s="154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</row>
    <row r="28" ht="15.75" customHeight="1" spans="1:37" x14ac:dyDescent="0.25">
      <c r="A28" s="61"/>
      <c r="B28" s="182" t="s">
        <v>123</v>
      </c>
      <c r="C28" s="183" t="s">
        <v>124</v>
      </c>
      <c r="D28" s="183" t="s">
        <v>125</v>
      </c>
      <c r="E28" s="184" t="s">
        <v>126</v>
      </c>
      <c r="F28" s="185" t="s">
        <v>127</v>
      </c>
      <c r="G28" s="186"/>
      <c r="H28" s="182" t="s">
        <v>128</v>
      </c>
      <c r="I28" s="183" t="s">
        <v>129</v>
      </c>
      <c r="J28" s="183" t="s">
        <v>130</v>
      </c>
      <c r="K28" s="184" t="s">
        <v>126</v>
      </c>
      <c r="L28" s="185"/>
      <c r="M28" s="186"/>
      <c r="N28" s="61"/>
      <c r="O28" s="187" t="s">
        <v>123</v>
      </c>
      <c r="P28" s="188">
        <f>D28</f>
      </c>
      <c r="Q28" s="188">
        <f>C28</f>
      </c>
      <c r="R28" s="188"/>
      <c r="S28" s="188" t="s">
        <v>131</v>
      </c>
      <c r="T28" s="189">
        <f>F28</f>
      </c>
      <c r="U28" s="62"/>
      <c r="V28" s="152">
        <f>'результат '!P26</f>
      </c>
      <c r="W28" s="153" t="s">
        <v>132</v>
      </c>
      <c r="X28" s="153"/>
      <c r="Y28" s="154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</row>
    <row r="29" spans="1:37" x14ac:dyDescent="0.25">
      <c r="A29" s="61"/>
      <c r="B29" s="190" t="s">
        <v>133</v>
      </c>
      <c r="C29" s="191" t="s">
        <v>124</v>
      </c>
      <c r="D29" s="191" t="s">
        <v>125</v>
      </c>
      <c r="E29" s="192" t="s">
        <v>126</v>
      </c>
      <c r="F29" s="157" t="s">
        <v>134</v>
      </c>
      <c r="G29" s="151"/>
      <c r="H29" s="190" t="s">
        <v>135</v>
      </c>
      <c r="I29" s="191" t="s">
        <v>136</v>
      </c>
      <c r="J29" s="191" t="s">
        <v>137</v>
      </c>
      <c r="K29" s="192" t="s">
        <v>126</v>
      </c>
      <c r="L29" s="157"/>
      <c r="M29" s="151"/>
      <c r="N29" s="61"/>
      <c r="O29" s="193" t="s">
        <v>138</v>
      </c>
      <c r="P29" s="159" t="s">
        <v>139</v>
      </c>
      <c r="Q29" s="159" t="s">
        <v>140</v>
      </c>
      <c r="R29" s="159" t="s">
        <v>99</v>
      </c>
      <c r="S29" s="194" t="s">
        <v>141</v>
      </c>
      <c r="T29" s="168"/>
      <c r="U29" s="62"/>
      <c r="V29" s="152">
        <f>'результат '!Q26</f>
      </c>
      <c r="W29" s="153" t="s">
        <v>121</v>
      </c>
      <c r="X29" s="153"/>
      <c r="Y29" s="154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</row>
    <row r="30" spans="1:37" x14ac:dyDescent="0.25">
      <c r="A30" s="61"/>
      <c r="B30" s="190"/>
      <c r="C30" s="169"/>
      <c r="D30" s="169"/>
      <c r="E30" s="192" t="s">
        <v>142</v>
      </c>
      <c r="F30" s="157" t="s">
        <v>143</v>
      </c>
      <c r="G30" s="151"/>
      <c r="H30" s="190"/>
      <c r="I30" s="169"/>
      <c r="J30" s="169"/>
      <c r="K30" s="192" t="s">
        <v>144</v>
      </c>
      <c r="L30" s="157"/>
      <c r="M30" s="151"/>
      <c r="N30" s="61"/>
      <c r="O30" s="195"/>
      <c r="R30" s="194" t="s">
        <v>145</v>
      </c>
      <c r="S30" s="194" t="s">
        <v>146</v>
      </c>
      <c r="T30" s="168"/>
      <c r="U30" s="62"/>
      <c r="V30" s="152">
        <f>'результат '!R26</f>
      </c>
      <c r="W30" s="153" t="s">
        <v>147</v>
      </c>
      <c r="X30" s="153"/>
      <c r="Y30" s="154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</row>
    <row r="31" spans="1:37" x14ac:dyDescent="0.25">
      <c r="A31" s="61"/>
      <c r="B31" s="190"/>
      <c r="C31" s="169"/>
      <c r="D31" s="169"/>
      <c r="E31" s="192" t="s">
        <v>148</v>
      </c>
      <c r="F31" s="157" t="s">
        <v>149</v>
      </c>
      <c r="G31" s="151"/>
      <c r="H31" s="190"/>
      <c r="I31" s="169"/>
      <c r="J31" s="169"/>
      <c r="K31" s="192" t="s">
        <v>150</v>
      </c>
      <c r="L31" s="157"/>
      <c r="M31" s="151"/>
      <c r="N31" s="61"/>
      <c r="O31" s="196"/>
      <c r="P31" s="197"/>
      <c r="Q31" s="197"/>
      <c r="R31" s="197"/>
      <c r="S31" s="198" t="s">
        <v>151</v>
      </c>
      <c r="T31" s="168"/>
      <c r="U31" s="62"/>
      <c r="V31" s="152">
        <f>'результат '!S26</f>
      </c>
      <c r="W31" s="153" t="s">
        <v>152</v>
      </c>
      <c r="X31" s="153"/>
      <c r="Y31" s="154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</row>
    <row r="32" spans="1:37" x14ac:dyDescent="0.25">
      <c r="A32" s="61"/>
      <c r="B32" s="190"/>
      <c r="C32" s="169"/>
      <c r="D32" s="169"/>
      <c r="E32" s="192" t="s">
        <v>153</v>
      </c>
      <c r="F32" s="157" t="s">
        <v>154</v>
      </c>
      <c r="G32" s="151"/>
      <c r="H32" s="190"/>
      <c r="I32" s="169"/>
      <c r="J32" s="169"/>
      <c r="K32" s="192" t="s">
        <v>153</v>
      </c>
      <c r="L32" s="157"/>
      <c r="M32" s="151"/>
      <c r="N32" s="61"/>
      <c r="O32" s="187" t="s">
        <v>133</v>
      </c>
      <c r="P32" s="188">
        <f>D29</f>
      </c>
      <c r="Q32" s="188">
        <f>C29</f>
      </c>
      <c r="R32" s="188"/>
      <c r="S32" s="188" t="s">
        <v>131</v>
      </c>
      <c r="T32" s="189">
        <f>F29</f>
      </c>
      <c r="U32" s="62"/>
      <c r="V32" s="152">
        <f>'результат '!T26</f>
      </c>
      <c r="W32" s="153" t="s">
        <v>155</v>
      </c>
      <c r="X32" s="153"/>
      <c r="Y32" s="154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</row>
    <row r="33" spans="1:37" x14ac:dyDescent="0.25">
      <c r="A33" s="61"/>
      <c r="B33" s="190"/>
      <c r="C33" s="169"/>
      <c r="D33" s="169"/>
      <c r="E33" s="192" t="s">
        <v>156</v>
      </c>
      <c r="F33" s="157" t="s">
        <v>157</v>
      </c>
      <c r="G33" s="151"/>
      <c r="H33" s="190"/>
      <c r="I33" s="169"/>
      <c r="J33" s="169"/>
      <c r="K33" s="192" t="s">
        <v>156</v>
      </c>
      <c r="L33" s="157"/>
      <c r="M33" s="151"/>
      <c r="N33" s="61"/>
      <c r="O33" s="193" t="s">
        <v>138</v>
      </c>
      <c r="P33" s="159" t="s">
        <v>139</v>
      </c>
      <c r="Q33" s="159" t="s">
        <v>140</v>
      </c>
      <c r="R33" s="159" t="s">
        <v>99</v>
      </c>
      <c r="S33" s="194" t="s">
        <v>141</v>
      </c>
      <c r="T33" s="168"/>
      <c r="U33" s="62"/>
      <c r="V33" s="152">
        <f>'результат '!U26</f>
      </c>
      <c r="W33" s="153" t="s">
        <v>158</v>
      </c>
      <c r="X33" s="153"/>
      <c r="Y33" s="154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</row>
    <row r="34" ht="15.75" customHeight="1" spans="1:37" x14ac:dyDescent="0.25">
      <c r="A34" s="61"/>
      <c r="B34" s="199"/>
      <c r="C34" s="200" t="s">
        <v>159</v>
      </c>
      <c r="D34" s="201">
        <f>G26*D17*D11</f>
      </c>
      <c r="E34" s="202" t="s">
        <v>160</v>
      </c>
      <c r="F34" s="201">
        <f>F28+F29+F30+F31+F32+F33</f>
      </c>
      <c r="G34" s="203"/>
      <c r="H34" s="199"/>
      <c r="I34" s="200" t="s">
        <v>159</v>
      </c>
      <c r="J34" s="201">
        <f>M26*D17*D11</f>
      </c>
      <c r="K34" s="202" t="s">
        <v>160</v>
      </c>
      <c r="L34" s="201">
        <f>L28+L29+L30+L31+L32+L33</f>
      </c>
      <c r="M34" s="151"/>
      <c r="N34" s="61"/>
      <c r="O34" s="195"/>
      <c r="R34" s="194" t="s">
        <v>145</v>
      </c>
      <c r="S34" s="194" t="s">
        <v>146</v>
      </c>
      <c r="T34" s="168"/>
      <c r="U34" s="62"/>
      <c r="V34" s="152">
        <f>'результат '!V26</f>
      </c>
      <c r="W34" s="153" t="s">
        <v>161</v>
      </c>
      <c r="X34" s="153"/>
      <c r="Y34" s="154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</row>
    <row r="35" ht="16.5" customHeight="1" spans="1:54" x14ac:dyDescent="0.25">
      <c r="A35" s="61"/>
      <c r="B35" s="204"/>
      <c r="C35" s="204"/>
      <c r="D35" s="199"/>
      <c r="E35" s="205"/>
      <c r="F35" s="206" t="s">
        <v>162</v>
      </c>
      <c r="G35" s="175">
        <f>D34*2+F34</f>
      </c>
      <c r="H35" s="61"/>
      <c r="I35" s="61"/>
      <c r="J35" s="199"/>
      <c r="K35" s="205"/>
      <c r="L35" s="207" t="s">
        <v>162</v>
      </c>
      <c r="M35" s="175">
        <f>J34*2+L34</f>
      </c>
      <c r="N35" s="61"/>
      <c r="O35" s="196"/>
      <c r="P35" s="197"/>
      <c r="Q35" s="197"/>
      <c r="R35" s="197"/>
      <c r="S35" s="198" t="s">
        <v>151</v>
      </c>
      <c r="T35" s="168"/>
      <c r="U35" s="62"/>
      <c r="V35" s="152">
        <f>'результат '!W26</f>
      </c>
      <c r="W35" s="153" t="s">
        <v>163</v>
      </c>
      <c r="X35" s="153"/>
      <c r="Y35" s="154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Q35" s="208" t="s">
        <v>164</v>
      </c>
      <c r="AR35" s="35"/>
      <c r="AS35" s="209" t="s">
        <v>165</v>
      </c>
      <c r="AT35" s="34"/>
      <c r="AU35" s="34"/>
      <c r="AV35" s="34"/>
      <c r="AW35" s="208" t="s">
        <v>166</v>
      </c>
      <c r="AX35" s="34"/>
      <c r="AY35" s="35"/>
      <c r="AZ35" s="208" t="s">
        <v>167</v>
      </c>
      <c r="BA35" s="35"/>
    </row>
    <row r="36" ht="16.5" customHeight="1" spans="1:54" x14ac:dyDescent="0.2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187" t="s">
        <v>128</v>
      </c>
      <c r="P36" s="188">
        <f>J28</f>
      </c>
      <c r="Q36" s="188">
        <f>I28</f>
      </c>
      <c r="R36" s="188"/>
      <c r="S36" s="188" t="s">
        <v>131</v>
      </c>
      <c r="T36" s="189">
        <f>L28</f>
      </c>
      <c r="U36" s="62"/>
      <c r="V36" s="210">
        <f>'результат '!X26</f>
      </c>
      <c r="W36" s="211" t="s">
        <v>168</v>
      </c>
      <c r="X36" s="211"/>
      <c r="Y36" s="212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Q36" s="36" t="s">
        <v>169</v>
      </c>
      <c r="AR36" s="37" t="s">
        <v>170</v>
      </c>
      <c r="AS36" t="s">
        <v>91</v>
      </c>
      <c r="AT36" t="s">
        <v>98</v>
      </c>
      <c r="AV36" t="s">
        <v>169</v>
      </c>
      <c r="AW36" s="36" t="s">
        <v>169</v>
      </c>
      <c r="AX36" t="s">
        <v>91</v>
      </c>
      <c r="AY36" s="37" t="s">
        <v>98</v>
      </c>
      <c r="AZ36" s="36" t="s">
        <v>31</v>
      </c>
      <c r="BA36" s="37"/>
    </row>
    <row r="37" ht="16.5" customHeight="1" spans="1:54" x14ac:dyDescent="0.25">
      <c r="A37" s="61"/>
      <c r="B37" s="213" t="s">
        <v>171</v>
      </c>
      <c r="C37" s="214"/>
      <c r="D37" s="214"/>
      <c r="E37" s="214"/>
      <c r="F37" s="215"/>
      <c r="G37" s="61"/>
      <c r="H37" s="216" t="s">
        <v>172</v>
      </c>
      <c r="I37" s="217"/>
      <c r="J37" s="136" t="s">
        <v>173</v>
      </c>
      <c r="K37" s="138"/>
      <c r="L37" s="136" t="s">
        <v>174</v>
      </c>
      <c r="M37" s="138"/>
      <c r="N37" s="61"/>
      <c r="O37" s="193" t="s">
        <v>138</v>
      </c>
      <c r="P37" s="159" t="s">
        <v>139</v>
      </c>
      <c r="Q37" s="159" t="s">
        <v>140</v>
      </c>
      <c r="R37" s="159" t="s">
        <v>99</v>
      </c>
      <c r="S37" s="194" t="s">
        <v>141</v>
      </c>
      <c r="T37" s="168"/>
      <c r="U37" s="62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Q37" s="36" t="s">
        <v>175</v>
      </c>
      <c r="AR37" s="37" t="s">
        <v>176</v>
      </c>
      <c r="AS37" t="s">
        <v>92</v>
      </c>
      <c r="AT37" t="s">
        <v>99</v>
      </c>
      <c r="AV37" t="s">
        <v>177</v>
      </c>
      <c r="AW37" s="36" t="s">
        <v>178</v>
      </c>
      <c r="AX37" t="s">
        <v>179</v>
      </c>
      <c r="AY37" s="37" t="s">
        <v>99</v>
      </c>
      <c r="AZ37" s="36" t="s">
        <v>180</v>
      </c>
      <c r="BA37" s="37"/>
    </row>
    <row r="38" ht="15" customHeight="1" spans="1:54" x14ac:dyDescent="0.25">
      <c r="A38" s="61"/>
      <c r="B38" s="190"/>
      <c r="C38" s="192" t="s">
        <v>181</v>
      </c>
      <c r="D38" s="218" t="s">
        <v>182</v>
      </c>
      <c r="E38" s="192" t="s">
        <v>183</v>
      </c>
      <c r="F38" s="219">
        <f>D38*4</f>
      </c>
      <c r="G38" s="61"/>
      <c r="H38" s="182" t="s">
        <v>184</v>
      </c>
      <c r="I38" s="220">
        <v>1000</v>
      </c>
      <c r="J38" s="221" t="s">
        <v>184</v>
      </c>
      <c r="K38" s="222">
        <v>1500</v>
      </c>
      <c r="L38" s="221" t="s">
        <v>184</v>
      </c>
      <c r="M38" s="222">
        <v>0</v>
      </c>
      <c r="N38" s="61"/>
      <c r="O38" s="195"/>
      <c r="R38" s="194" t="s">
        <v>145</v>
      </c>
      <c r="S38" s="194" t="s">
        <v>146</v>
      </c>
      <c r="T38" s="168"/>
      <c r="U38" s="62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223" t="s">
        <v>8</v>
      </c>
      <c r="AM38" s="33"/>
      <c r="AN38" s="224" t="s">
        <v>185</v>
      </c>
      <c r="AO38" s="225" t="s">
        <v>186</v>
      </c>
      <c r="AP38" s="226" t="s">
        <v>187</v>
      </c>
      <c r="AQ38" s="36" t="s">
        <v>188</v>
      </c>
      <c r="AR38" s="37" t="s">
        <v>189</v>
      </c>
      <c r="AS38" t="s">
        <v>190</v>
      </c>
      <c r="AT38" t="s">
        <v>191</v>
      </c>
      <c r="AV38" t="s">
        <v>192</v>
      </c>
      <c r="AW38" s="36" t="s">
        <v>139</v>
      </c>
      <c r="AX38" t="s">
        <v>140</v>
      </c>
      <c r="AY38" s="37" t="s">
        <v>191</v>
      </c>
      <c r="AZ38" s="36" t="s">
        <v>193</v>
      </c>
      <c r="BA38" s="37"/>
    </row>
    <row r="39" ht="15.75" customHeight="1" spans="1:54" x14ac:dyDescent="0.25">
      <c r="A39" s="61"/>
      <c r="B39" s="227" t="s">
        <v>194</v>
      </c>
      <c r="C39" s="228"/>
      <c r="D39" s="228"/>
      <c r="E39" s="229"/>
      <c r="F39" s="230">
        <v>2</v>
      </c>
      <c r="G39" s="61"/>
      <c r="H39" s="190" t="s">
        <v>195</v>
      </c>
      <c r="I39" s="231">
        <v>1000</v>
      </c>
      <c r="J39" s="190" t="s">
        <v>195</v>
      </c>
      <c r="K39" s="231">
        <v>1200</v>
      </c>
      <c r="L39" s="190" t="s">
        <v>195</v>
      </c>
      <c r="M39" s="231">
        <v>0</v>
      </c>
      <c r="N39" s="61"/>
      <c r="O39" s="196"/>
      <c r="P39" s="197"/>
      <c r="Q39" s="197"/>
      <c r="R39" s="197"/>
      <c r="S39" s="198" t="s">
        <v>151</v>
      </c>
      <c r="T39" s="168"/>
      <c r="U39" s="62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232" t="s">
        <v>26</v>
      </c>
      <c r="AM39" s="36"/>
      <c r="AN39" t="s">
        <v>196</v>
      </c>
      <c r="AO39" s="233"/>
      <c r="AP39" s="234"/>
      <c r="AQ39" s="36" t="s">
        <v>197</v>
      </c>
      <c r="AR39" s="37" t="s">
        <v>198</v>
      </c>
      <c r="AS39" t="s">
        <v>199</v>
      </c>
      <c r="AT39" t="s">
        <v>200</v>
      </c>
      <c r="AV39" t="s">
        <v>105</v>
      </c>
      <c r="AW39" s="36" t="s">
        <v>201</v>
      </c>
      <c r="AX39" t="s">
        <v>202</v>
      </c>
      <c r="AY39" s="37" t="s">
        <v>200</v>
      </c>
      <c r="AZ39" s="36" t="s">
        <v>104</v>
      </c>
      <c r="BA39" s="37"/>
    </row>
    <row r="40" ht="16.5" customHeight="1" spans="1:54" x14ac:dyDescent="0.25">
      <c r="A40" s="61"/>
      <c r="B40" s="61"/>
      <c r="C40" s="61"/>
      <c r="D40" s="61"/>
      <c r="E40" s="174" t="s">
        <v>73</v>
      </c>
      <c r="F40" s="235">
        <f>F38+F39*F38</f>
      </c>
      <c r="G40" s="61"/>
      <c r="H40" s="174" t="s">
        <v>73</v>
      </c>
      <c r="I40" s="236">
        <f>I38+I39</f>
      </c>
      <c r="J40" s="174" t="s">
        <v>73</v>
      </c>
      <c r="K40" s="236">
        <f>K38+K39</f>
      </c>
      <c r="L40" s="174" t="s">
        <v>73</v>
      </c>
      <c r="M40" s="236">
        <f>M38+M39</f>
      </c>
      <c r="N40" s="61"/>
      <c r="O40" s="193" t="s">
        <v>135</v>
      </c>
      <c r="P40">
        <f>J29</f>
      </c>
      <c r="Q40">
        <f>I29</f>
      </c>
      <c r="S40" t="s">
        <v>131</v>
      </c>
      <c r="T40" s="237">
        <f>L29</f>
      </c>
      <c r="U40" s="62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232" t="s">
        <v>203</v>
      </c>
      <c r="AM40" s="238" t="s">
        <v>204</v>
      </c>
      <c r="AN40" s="194">
        <v>0.068</v>
      </c>
      <c r="AO40" s="194">
        <v>0.225</v>
      </c>
      <c r="AP40" s="239">
        <v>0.225</v>
      </c>
      <c r="AQ40" s="36" t="s">
        <v>205</v>
      </c>
      <c r="AR40" s="37" t="s">
        <v>129</v>
      </c>
      <c r="AS40" t="s">
        <v>202</v>
      </c>
      <c r="AV40" t="s">
        <v>206</v>
      </c>
      <c r="AW40" s="36" t="s">
        <v>207</v>
      </c>
      <c r="AY40" s="37" t="s">
        <v>208</v>
      </c>
      <c r="AZ40" s="36" t="s">
        <v>209</v>
      </c>
      <c r="BA40" s="37"/>
    </row>
    <row r="41" ht="16.5" customHeight="1" spans="1:54" x14ac:dyDescent="0.25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193" t="s">
        <v>138</v>
      </c>
      <c r="P41" s="159" t="s">
        <v>139</v>
      </c>
      <c r="Q41" s="159" t="s">
        <v>140</v>
      </c>
      <c r="R41" s="159" t="s">
        <v>99</v>
      </c>
      <c r="S41" s="194" t="s">
        <v>141</v>
      </c>
      <c r="T41" s="168"/>
      <c r="U41" s="62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232" t="s">
        <v>210</v>
      </c>
      <c r="AM41" s="238" t="s">
        <v>211</v>
      </c>
      <c r="AN41" s="194">
        <v>0.12</v>
      </c>
      <c r="AO41" s="194">
        <v>0.31</v>
      </c>
      <c r="AP41" s="239">
        <v>0.31</v>
      </c>
      <c r="AQ41" s="36" t="s">
        <v>212</v>
      </c>
      <c r="AR41" s="37" t="s">
        <v>124</v>
      </c>
      <c r="AV41" t="s">
        <v>213</v>
      </c>
      <c r="AW41" s="36" t="s">
        <v>177</v>
      </c>
      <c r="AY41" s="37"/>
      <c r="AZ41" s="36"/>
      <c r="BA41" s="37"/>
    </row>
    <row r="42" ht="16.5" customHeight="1" spans="1:54" x14ac:dyDescent="0.25">
      <c r="A42" s="61"/>
      <c r="B42" s="240" t="s">
        <v>214</v>
      </c>
      <c r="C42" s="241"/>
      <c r="D42" s="241"/>
      <c r="E42" s="241"/>
      <c r="F42" s="241"/>
      <c r="G42" s="242"/>
      <c r="H42" s="61"/>
      <c r="I42" s="243" t="s">
        <v>215</v>
      </c>
      <c r="J42" s="244"/>
      <c r="K42" s="244"/>
      <c r="L42" s="244"/>
      <c r="M42" s="245"/>
      <c r="N42" s="61"/>
      <c r="O42" s="195"/>
      <c r="R42" s="194" t="s">
        <v>145</v>
      </c>
      <c r="S42" s="194" t="s">
        <v>146</v>
      </c>
      <c r="T42" s="168"/>
      <c r="U42" s="62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232"/>
      <c r="AM42" s="238" t="s">
        <v>216</v>
      </c>
      <c r="AN42" s="194">
        <v>0.19</v>
      </c>
      <c r="AO42" s="194">
        <v>0.402</v>
      </c>
      <c r="AP42" s="239">
        <v>0.402</v>
      </c>
      <c r="AQ42" s="36" t="s">
        <v>217</v>
      </c>
      <c r="AR42" s="37" t="s">
        <v>136</v>
      </c>
      <c r="AV42" t="s">
        <v>218</v>
      </c>
      <c r="AW42" s="36" t="s">
        <v>219</v>
      </c>
      <c r="AY42" s="37"/>
      <c r="AZ42" s="56"/>
      <c r="BA42" s="58"/>
    </row>
    <row r="43" ht="16.5" customHeight="1" spans="1:51" x14ac:dyDescent="0.25">
      <c r="A43" s="61"/>
      <c r="B43" s="246" t="s">
        <v>220</v>
      </c>
      <c r="C43" s="247"/>
      <c r="D43" s="248">
        <v>3300</v>
      </c>
      <c r="E43" s="249" t="s">
        <v>221</v>
      </c>
      <c r="F43" s="250"/>
      <c r="G43" s="251">
        <v>2500</v>
      </c>
      <c r="H43" s="61"/>
      <c r="I43" s="252"/>
      <c r="J43" s="253"/>
      <c r="K43" s="253"/>
      <c r="L43" s="253"/>
      <c r="M43" s="254"/>
      <c r="N43" s="61"/>
      <c r="O43" s="255"/>
      <c r="P43" s="256"/>
      <c r="Q43" s="256"/>
      <c r="R43" s="256"/>
      <c r="S43" s="194" t="s">
        <v>151</v>
      </c>
      <c r="T43" s="257"/>
      <c r="U43" s="62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232"/>
      <c r="AM43" s="238" t="s">
        <v>222</v>
      </c>
      <c r="AN43" s="194">
        <v>0.28</v>
      </c>
      <c r="AO43" s="194">
        <v>0.495</v>
      </c>
      <c r="AP43" s="239">
        <v>0.495</v>
      </c>
      <c r="AQ43" s="36" t="s">
        <v>223</v>
      </c>
      <c r="AR43" s="37" t="s">
        <v>224</v>
      </c>
      <c r="AS43" s="57"/>
      <c r="AT43" s="57"/>
      <c r="AU43" s="57"/>
      <c r="AV43" s="57" t="s">
        <v>225</v>
      </c>
      <c r="AW43" s="36" t="s">
        <v>192</v>
      </c>
      <c r="AY43" s="37"/>
    </row>
    <row r="44" ht="16.5" customHeight="1" spans="1:51" x14ac:dyDescent="0.25">
      <c r="A44" s="61"/>
      <c r="B44" s="258" t="s">
        <v>226</v>
      </c>
      <c r="C44" s="259"/>
      <c r="D44" s="260">
        <v>1750</v>
      </c>
      <c r="E44" s="261" t="s">
        <v>227</v>
      </c>
      <c r="F44" s="262"/>
      <c r="G44" s="263">
        <v>1800</v>
      </c>
      <c r="H44" s="61"/>
      <c r="I44" s="264" t="s">
        <v>228</v>
      </c>
      <c r="J44" s="265"/>
      <c r="K44" s="265"/>
      <c r="L44" s="265"/>
      <c r="M44" s="266">
        <v>50000</v>
      </c>
      <c r="N44" s="61"/>
      <c r="O44" s="61"/>
      <c r="P44" s="61"/>
      <c r="Q44" s="61"/>
      <c r="R44" s="61"/>
      <c r="S44" s="174" t="s">
        <v>73</v>
      </c>
      <c r="T44" s="235">
        <f>SUM(T28:T43)</f>
      </c>
      <c r="U44" s="62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232"/>
      <c r="AM44" s="267" t="s">
        <v>229</v>
      </c>
      <c r="AN44" s="268">
        <v>0.27</v>
      </c>
      <c r="AO44" s="268">
        <v>0.61</v>
      </c>
      <c r="AP44" s="269">
        <v>0.385</v>
      </c>
      <c r="AQ44" s="36" t="s">
        <v>230</v>
      </c>
      <c r="AR44" s="37" t="s">
        <v>231</v>
      </c>
      <c r="AW44" s="36" t="s">
        <v>206</v>
      </c>
      <c r="AY44" s="37"/>
    </row>
    <row r="45" ht="16.5" customHeight="1" spans="1:51" x14ac:dyDescent="0.25">
      <c r="A45" s="61"/>
      <c r="B45" s="258" t="s">
        <v>232</v>
      </c>
      <c r="C45" s="259"/>
      <c r="D45" s="260">
        <v>2800</v>
      </c>
      <c r="E45" s="261" t="s">
        <v>233</v>
      </c>
      <c r="F45" s="262"/>
      <c r="G45" s="263">
        <v>2200</v>
      </c>
      <c r="H45" s="61"/>
      <c r="I45" s="264" t="s">
        <v>234</v>
      </c>
      <c r="J45" s="265"/>
      <c r="K45" s="265"/>
      <c r="L45" s="265"/>
      <c r="M45" s="266">
        <v>0</v>
      </c>
      <c r="N45" s="61"/>
      <c r="O45" s="270" t="s">
        <v>161</v>
      </c>
      <c r="P45" s="271">
        <v>20000</v>
      </c>
      <c r="Q45" s="61"/>
      <c r="R45" s="61"/>
      <c r="S45" s="61"/>
      <c r="T45" s="61"/>
      <c r="U45" s="62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272"/>
      <c r="AM45" s="238" t="s">
        <v>235</v>
      </c>
      <c r="AN45" s="194">
        <v>0.4624</v>
      </c>
      <c r="AO45" s="194">
        <v>0.616</v>
      </c>
      <c r="AP45" s="239">
        <v>0.616</v>
      </c>
      <c r="AQ45" s="36" t="s">
        <v>236</v>
      </c>
      <c r="AR45" s="37"/>
      <c r="AW45" s="56" t="s">
        <v>218</v>
      </c>
      <c r="AX45" s="57"/>
      <c r="AY45" s="58"/>
    </row>
    <row r="46" ht="16.5" customHeight="1" spans="1:48" x14ac:dyDescent="0.25">
      <c r="A46" s="61"/>
      <c r="B46" s="273" t="s">
        <v>237</v>
      </c>
      <c r="C46" s="274"/>
      <c r="D46" s="275">
        <v>1200</v>
      </c>
      <c r="E46" s="170"/>
      <c r="F46" s="207"/>
      <c r="G46" s="276"/>
      <c r="H46" s="61"/>
      <c r="I46" s="277" t="s">
        <v>234</v>
      </c>
      <c r="J46" s="278"/>
      <c r="K46" s="278"/>
      <c r="L46" s="278"/>
      <c r="M46" s="279">
        <v>0</v>
      </c>
      <c r="N46" s="61"/>
      <c r="O46" s="61"/>
      <c r="P46" s="61"/>
      <c r="Q46" s="61"/>
      <c r="R46" s="61"/>
      <c r="S46" s="61"/>
      <c r="T46" s="61"/>
      <c r="U46" s="62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280" t="s">
        <v>238</v>
      </c>
      <c r="AM46" s="238" t="s">
        <v>27</v>
      </c>
      <c r="AN46" s="194">
        <v>1</v>
      </c>
      <c r="AO46" s="194">
        <v>0.95</v>
      </c>
      <c r="AP46" s="239">
        <v>0.95</v>
      </c>
      <c r="AQ46" s="36" t="s">
        <v>239</v>
      </c>
      <c r="AR46" s="37"/>
      <c r="AS46" s="209" t="s">
        <v>59</v>
      </c>
      <c r="AT46" s="281" t="s">
        <v>85</v>
      </c>
      <c r="AU46" s="208" t="s">
        <v>240</v>
      </c>
      <c r="AV46" s="35"/>
    </row>
    <row r="47" ht="16.5" customHeight="1" spans="1:48" x14ac:dyDescent="0.25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2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282">
        <v>0.8</v>
      </c>
      <c r="AM47" s="238" t="s">
        <v>241</v>
      </c>
      <c r="AN47" s="194">
        <v>0.6</v>
      </c>
      <c r="AO47" s="194">
        <v>0.735</v>
      </c>
      <c r="AP47" s="239">
        <v>0.735</v>
      </c>
      <c r="AQ47" s="36" t="s">
        <v>242</v>
      </c>
      <c r="AR47" s="37"/>
      <c r="AS47" t="s">
        <v>29</v>
      </c>
      <c r="AT47">
        <f>7880/10^6</f>
      </c>
      <c r="AU47" s="36" t="s">
        <v>243</v>
      </c>
      <c r="AV47" s="37">
        <v>0.0078</v>
      </c>
    </row>
    <row r="48" ht="16.5" customHeight="1" spans="1:48" x14ac:dyDescent="0.25">
      <c r="A48" s="61"/>
      <c r="B48" s="283" t="s">
        <v>163</v>
      </c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4"/>
      <c r="N48" s="284"/>
      <c r="O48" s="285"/>
      <c r="P48" s="61"/>
      <c r="Q48" s="61"/>
      <c r="R48" s="61"/>
      <c r="S48" s="61"/>
      <c r="T48" s="61"/>
      <c r="U48" s="62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282">
        <v>1</v>
      </c>
      <c r="AM48" s="267" t="s">
        <v>244</v>
      </c>
      <c r="AN48" s="268">
        <v>0.37</v>
      </c>
      <c r="AO48" s="268">
        <v>0.754</v>
      </c>
      <c r="AP48" s="269">
        <v>0.435</v>
      </c>
      <c r="AQ48" s="36" t="s">
        <v>137</v>
      </c>
      <c r="AR48" s="37"/>
      <c r="AS48" t="s">
        <v>245</v>
      </c>
      <c r="AT48">
        <f>8080/10^6</f>
      </c>
      <c r="AU48" s="36" t="s">
        <v>246</v>
      </c>
      <c r="AV48" s="37">
        <v>0.0078</v>
      </c>
    </row>
    <row r="49" ht="16.5" customHeight="1" spans="1:48" x14ac:dyDescent="0.25">
      <c r="A49" s="61"/>
      <c r="B49" s="286"/>
      <c r="C49" s="287"/>
      <c r="D49" s="287"/>
      <c r="E49" s="287"/>
      <c r="F49" s="287"/>
      <c r="G49" s="287"/>
      <c r="H49" s="288" t="s">
        <v>100</v>
      </c>
      <c r="I49" s="289" t="s">
        <v>86</v>
      </c>
      <c r="J49" s="290" t="s">
        <v>247</v>
      </c>
      <c r="K49" s="287"/>
      <c r="L49" s="287"/>
      <c r="M49" s="288" t="s">
        <v>100</v>
      </c>
      <c r="N49" s="289" t="s">
        <v>86</v>
      </c>
      <c r="O49" s="290" t="s">
        <v>247</v>
      </c>
      <c r="P49" s="61"/>
      <c r="Q49" s="61"/>
      <c r="R49" s="61"/>
      <c r="S49" s="61"/>
      <c r="T49" s="61"/>
      <c r="U49" s="62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282">
        <v>1.2</v>
      </c>
      <c r="AM49" s="238" t="s">
        <v>248</v>
      </c>
      <c r="AN49" s="194">
        <v>1.63</v>
      </c>
      <c r="AO49" s="194">
        <v>1.24</v>
      </c>
      <c r="AP49" s="239">
        <v>1.24</v>
      </c>
      <c r="AQ49" s="291" t="s">
        <v>249</v>
      </c>
      <c r="AR49" s="37"/>
      <c r="AS49" t="s">
        <v>250</v>
      </c>
      <c r="AT49">
        <v>0.00889</v>
      </c>
      <c r="AU49" s="36" t="s">
        <v>30</v>
      </c>
      <c r="AV49" s="37">
        <v>0.00785</v>
      </c>
    </row>
    <row r="50" ht="16.5" customHeight="1" spans="1:48" x14ac:dyDescent="0.25">
      <c r="A50" s="61"/>
      <c r="B50" s="292" t="s">
        <v>108</v>
      </c>
      <c r="C50" s="293"/>
      <c r="D50" s="294">
        <f>O22</f>
      </c>
      <c r="E50" s="294">
        <f>P22</f>
      </c>
      <c r="F50" s="294">
        <f>P20</f>
      </c>
      <c r="G50" s="294">
        <f>P21</f>
      </c>
      <c r="H50" s="295">
        <f>Q22</f>
      </c>
      <c r="I50" s="296">
        <v>10</v>
      </c>
      <c r="J50" s="297">
        <f>H50*I50</f>
      </c>
      <c r="K50" s="298" t="s">
        <v>251</v>
      </c>
      <c r="L50" s="299"/>
      <c r="M50" s="300">
        <f>D38</f>
      </c>
      <c r="N50" s="301">
        <v>0</v>
      </c>
      <c r="O50" s="302">
        <f>M50*N50</f>
      </c>
      <c r="P50" s="61"/>
      <c r="Q50" s="61"/>
      <c r="R50" s="61"/>
      <c r="S50" s="61"/>
      <c r="T50" s="61"/>
      <c r="U50" s="62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282">
        <v>1.5</v>
      </c>
      <c r="AM50" s="267" t="s">
        <v>252</v>
      </c>
      <c r="AN50" s="268">
        <v>1.01</v>
      </c>
      <c r="AO50" s="268">
        <v>1.24</v>
      </c>
      <c r="AP50" s="269">
        <v>0.75</v>
      </c>
      <c r="AQ50" s="36" t="s">
        <v>253</v>
      </c>
      <c r="AR50" s="37"/>
      <c r="AS50" t="s">
        <v>254</v>
      </c>
      <c r="AT50">
        <v>0.0045</v>
      </c>
      <c r="AU50" s="36" t="s">
        <v>255</v>
      </c>
      <c r="AV50" s="37">
        <v>0.0074</v>
      </c>
    </row>
    <row r="51" ht="16.5" customHeight="1" spans="1:48" x14ac:dyDescent="0.25">
      <c r="A51" s="303"/>
      <c r="B51" s="155"/>
      <c r="C51" s="304"/>
      <c r="D51" s="305">
        <f>O23</f>
      </c>
      <c r="E51" s="305">
        <f>P23</f>
      </c>
      <c r="F51" s="305">
        <f>P20</f>
      </c>
      <c r="G51" s="305">
        <f>P21</f>
      </c>
      <c r="H51" s="306">
        <f>Q23</f>
      </c>
      <c r="I51" s="307">
        <v>10</v>
      </c>
      <c r="J51" s="308">
        <f>H51*I51</f>
      </c>
      <c r="K51" s="309" t="s">
        <v>256</v>
      </c>
      <c r="L51" s="310"/>
      <c r="M51" s="311">
        <v>5000</v>
      </c>
      <c r="N51" s="312">
        <v>1</v>
      </c>
      <c r="O51" s="313">
        <f>M51*N51</f>
      </c>
      <c r="P51" s="61"/>
      <c r="Q51" s="61"/>
      <c r="R51" s="61"/>
      <c r="S51" s="61"/>
      <c r="T51" s="61"/>
      <c r="U51" s="62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282">
        <v>2</v>
      </c>
      <c r="AM51" s="238" t="s">
        <v>257</v>
      </c>
      <c r="AN51" s="194">
        <v>2.43</v>
      </c>
      <c r="AO51" s="194">
        <v>1.514</v>
      </c>
      <c r="AP51" s="239">
        <v>1.514</v>
      </c>
      <c r="AQ51" s="36" t="s">
        <v>130</v>
      </c>
      <c r="AR51" s="37"/>
      <c r="AS51" t="s">
        <v>258</v>
      </c>
      <c r="AT51">
        <v>0.0074</v>
      </c>
      <c r="AU51" s="36" t="s">
        <v>258</v>
      </c>
      <c r="AV51" s="37">
        <v>0.0074</v>
      </c>
    </row>
    <row r="52" ht="17.25" customHeight="1" spans="1:48" x14ac:dyDescent="0.25">
      <c r="A52" s="314"/>
      <c r="B52" s="27"/>
      <c r="C52" s="28"/>
      <c r="D52" s="315">
        <f>O24</f>
      </c>
      <c r="E52" s="315">
        <f>P24</f>
      </c>
      <c r="F52" s="315">
        <f>P20</f>
      </c>
      <c r="G52" s="315">
        <f>P21</f>
      </c>
      <c r="H52" s="316">
        <f>Q24</f>
      </c>
      <c r="I52" s="307">
        <v>0</v>
      </c>
      <c r="J52" s="308">
        <f>H52*I52</f>
      </c>
      <c r="K52" s="317" t="s">
        <v>259</v>
      </c>
      <c r="L52" s="299"/>
      <c r="M52" s="311">
        <v>7000</v>
      </c>
      <c r="N52" s="312">
        <v>1</v>
      </c>
      <c r="O52" s="313">
        <f>M52*N52</f>
      </c>
      <c r="P52" s="61"/>
      <c r="Q52" s="61"/>
      <c r="R52" s="61"/>
      <c r="S52" s="61"/>
      <c r="T52" s="61"/>
      <c r="U52" s="62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282">
        <v>3</v>
      </c>
      <c r="AM52" s="318" t="s">
        <v>260</v>
      </c>
      <c r="AN52" s="319">
        <v>1.53</v>
      </c>
      <c r="AO52" s="319">
        <v>1.514</v>
      </c>
      <c r="AP52" s="320">
        <v>0.94</v>
      </c>
      <c r="AQ52" s="36" t="s">
        <v>261</v>
      </c>
      <c r="AR52" s="37"/>
      <c r="AS52" t="s">
        <v>262</v>
      </c>
      <c r="AT52">
        <v>0.00786</v>
      </c>
      <c r="AU52" s="36" t="s">
        <v>29</v>
      </c>
      <c r="AV52" s="37">
        <v>0.00788</v>
      </c>
    </row>
    <row r="53" ht="16.5" customHeight="1" spans="1:48" x14ac:dyDescent="0.25">
      <c r="A53" s="314"/>
      <c r="B53" s="321"/>
      <c r="C53" s="61"/>
      <c r="D53" s="61"/>
      <c r="E53" s="61"/>
      <c r="F53" s="61"/>
      <c r="G53" s="61"/>
      <c r="H53" s="61"/>
      <c r="I53" s="174" t="s">
        <v>73</v>
      </c>
      <c r="J53" s="175">
        <f>J50+J51+J52</f>
      </c>
      <c r="K53" s="322"/>
      <c r="L53" s="323"/>
      <c r="M53" s="324"/>
      <c r="N53" s="174" t="s">
        <v>73</v>
      </c>
      <c r="O53" s="175">
        <f>O50+O51+O52</f>
      </c>
      <c r="P53" s="61"/>
      <c r="Q53" s="61"/>
      <c r="R53" s="61"/>
      <c r="S53" s="61"/>
      <c r="T53" s="61"/>
      <c r="U53" s="62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325">
        <v>5</v>
      </c>
      <c r="AQ53" s="36" t="s">
        <v>125</v>
      </c>
      <c r="AR53" s="37"/>
      <c r="AS53" t="s">
        <v>263</v>
      </c>
      <c r="AT53">
        <v>0.00806</v>
      </c>
      <c r="AU53" s="36" t="s">
        <v>264</v>
      </c>
      <c r="AV53" s="37">
        <v>0.0074</v>
      </c>
    </row>
    <row r="54" ht="19.5" customHeight="1" spans="1:48" x14ac:dyDescent="0.25">
      <c r="A54" s="314"/>
      <c r="B54" s="118" t="s">
        <v>265</v>
      </c>
      <c r="C54" s="326">
        <f>P28</f>
      </c>
      <c r="D54" s="294">
        <f>O28</f>
      </c>
      <c r="E54" s="294">
        <f>P29</f>
      </c>
      <c r="F54" s="294">
        <f>Q29</f>
      </c>
      <c r="G54" s="294">
        <f>R29</f>
      </c>
      <c r="H54" s="327">
        <v>4500</v>
      </c>
      <c r="I54" s="328">
        <v>2</v>
      </c>
      <c r="J54" s="297">
        <f>H54*I54</f>
      </c>
      <c r="K54" s="329" t="s">
        <v>266</v>
      </c>
      <c r="L54" s="330"/>
      <c r="M54" s="331">
        <f>T30</f>
      </c>
      <c r="N54" s="296">
        <v>1</v>
      </c>
      <c r="O54" s="332">
        <f>M54*N54</f>
      </c>
      <c r="P54" s="61"/>
      <c r="Q54" s="61"/>
      <c r="R54" s="61"/>
      <c r="S54" s="61"/>
      <c r="T54" s="61"/>
      <c r="U54" s="62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55"/>
      <c r="AQ54" s="36" t="s">
        <v>267</v>
      </c>
      <c r="AR54" s="37"/>
      <c r="AS54" s="57"/>
      <c r="AT54" s="58"/>
      <c r="AU54" s="56" t="s">
        <v>268</v>
      </c>
      <c r="AV54" s="58">
        <v>0.00786</v>
      </c>
    </row>
    <row r="55" ht="18" customHeight="1" spans="1:44" x14ac:dyDescent="0.25">
      <c r="A55" s="314"/>
      <c r="B55" s="176"/>
      <c r="C55" s="333">
        <f>P32</f>
      </c>
      <c r="D55" s="305">
        <f>O32</f>
      </c>
      <c r="E55" s="305">
        <f>P33</f>
      </c>
      <c r="F55" s="305">
        <f>Q33</f>
      </c>
      <c r="G55" s="305">
        <f>R33</f>
      </c>
      <c r="H55" s="334">
        <v>100</v>
      </c>
      <c r="I55" s="335">
        <v>2</v>
      </c>
      <c r="J55" s="308">
        <f>H55*I55</f>
      </c>
      <c r="K55" s="40"/>
      <c r="L55" s="336"/>
      <c r="M55" s="337">
        <v>15000</v>
      </c>
      <c r="N55" s="307">
        <v>1</v>
      </c>
      <c r="O55" s="313">
        <f>M55*N55</f>
      </c>
      <c r="P55" s="61"/>
      <c r="Q55" s="61"/>
      <c r="R55" s="61"/>
      <c r="S55" s="61"/>
      <c r="T55" s="61"/>
      <c r="U55" s="62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Q55" s="338" t="s">
        <v>269</v>
      </c>
      <c r="AR55" s="58"/>
    </row>
    <row r="56" ht="18" customHeight="1" spans="1:38" x14ac:dyDescent="0.25">
      <c r="A56" s="303"/>
      <c r="B56" s="176"/>
      <c r="C56" s="333">
        <f>P36</f>
      </c>
      <c r="D56" s="305">
        <f>O36</f>
      </c>
      <c r="E56" s="305">
        <f>P37</f>
      </c>
      <c r="F56" s="305">
        <f>Q37</f>
      </c>
      <c r="G56" s="305">
        <f>R37</f>
      </c>
      <c r="H56" s="334">
        <v>200</v>
      </c>
      <c r="I56" s="335">
        <v>2</v>
      </c>
      <c r="J56" s="308">
        <f>H56*I56</f>
      </c>
      <c r="K56" s="40"/>
      <c r="L56" s="336"/>
      <c r="M56" s="337">
        <f>T38</f>
      </c>
      <c r="N56" s="307">
        <v>1</v>
      </c>
      <c r="O56" s="313">
        <f>M56*N56</f>
      </c>
      <c r="P56" s="61"/>
      <c r="Q56" s="61"/>
      <c r="R56" s="61"/>
      <c r="S56" s="61"/>
      <c r="T56" s="61"/>
      <c r="U56" s="339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</row>
    <row r="57" ht="27" customHeight="1" spans="1:39" s="45" customFormat="1" x14ac:dyDescent="0.25">
      <c r="A57" s="340"/>
      <c r="B57" s="341"/>
      <c r="C57" s="342">
        <f>P40</f>
      </c>
      <c r="D57" s="315">
        <f>O40</f>
      </c>
      <c r="E57" s="315">
        <f>P41</f>
      </c>
      <c r="F57" s="315">
        <f>Q41</f>
      </c>
      <c r="G57" s="315">
        <f>R41</f>
      </c>
      <c r="H57" s="343">
        <v>150</v>
      </c>
      <c r="I57" s="335">
        <v>2</v>
      </c>
      <c r="J57" s="308">
        <f>H57*I57</f>
      </c>
      <c r="K57" s="344"/>
      <c r="L57" s="345"/>
      <c r="M57" s="346">
        <v>30000</v>
      </c>
      <c r="N57" s="307">
        <v>1</v>
      </c>
      <c r="O57" s="313">
        <f>M57*N57</f>
      </c>
      <c r="P57" s="66"/>
      <c r="Q57" s="66"/>
      <c r="R57" s="121"/>
      <c r="S57" s="121"/>
      <c r="T57" s="121"/>
      <c r="U57" s="62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347"/>
      <c r="AM57" s="348"/>
    </row>
    <row r="58" ht="16.5" customHeight="1" spans="1:39" x14ac:dyDescent="0.25">
      <c r="A58" s="61"/>
      <c r="B58" s="61"/>
      <c r="C58" s="61"/>
      <c r="D58" s="61"/>
      <c r="E58" s="61"/>
      <c r="F58" s="61"/>
      <c r="G58" s="61"/>
      <c r="H58" s="61"/>
      <c r="I58" s="174" t="s">
        <v>73</v>
      </c>
      <c r="J58" s="175">
        <f>J54+J55+J56+J57</f>
      </c>
      <c r="K58" s="349"/>
      <c r="L58" s="349"/>
      <c r="M58" s="349"/>
      <c r="N58" s="174" t="s">
        <v>73</v>
      </c>
      <c r="O58" s="175">
        <f>O54+O55+O56+O57</f>
      </c>
      <c r="P58" s="61"/>
      <c r="Q58" s="61"/>
      <c r="R58" s="61"/>
      <c r="S58" s="61"/>
      <c r="T58" s="61"/>
      <c r="U58" s="62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ht="15.75" customHeight="1" spans="1:39" x14ac:dyDescent="0.25">
      <c r="A59" s="164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2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2" ht="15.75" customHeight="1" x14ac:dyDescent="0.25"/>
    <row r="63" spans="57:59" x14ac:dyDescent="0.25">
      <c r="BE63" s="208" t="s">
        <v>270</v>
      </c>
      <c r="BF63" s="34"/>
      <c r="BG63" s="35"/>
    </row>
    <row r="64" spans="57:59" x14ac:dyDescent="0.25">
      <c r="BE64" s="36" t="s">
        <v>258</v>
      </c>
      <c r="BF64">
        <v>0.0074</v>
      </c>
      <c r="BG64" s="37" t="s">
        <v>271</v>
      </c>
    </row>
    <row r="65" spans="57:59" x14ac:dyDescent="0.25">
      <c r="BE65" s="36" t="s">
        <v>29</v>
      </c>
      <c r="BF65">
        <f>7880/10^6</f>
      </c>
      <c r="BG65" s="37" t="s">
        <v>271</v>
      </c>
    </row>
    <row r="66" spans="57:59" x14ac:dyDescent="0.25">
      <c r="BE66" s="36" t="s">
        <v>268</v>
      </c>
      <c r="BF66">
        <v>0.00786</v>
      </c>
      <c r="BG66" s="37" t="s">
        <v>271</v>
      </c>
    </row>
    <row r="67" spans="57:59" x14ac:dyDescent="0.25">
      <c r="BE67" s="36" t="s">
        <v>255</v>
      </c>
      <c r="BF67">
        <v>0.0079</v>
      </c>
      <c r="BG67" s="37" t="s">
        <v>271</v>
      </c>
    </row>
    <row r="68" spans="57:59" x14ac:dyDescent="0.25">
      <c r="BE68" s="36" t="s">
        <v>263</v>
      </c>
      <c r="BF68">
        <v>0.00806</v>
      </c>
      <c r="BG68" s="37" t="s">
        <v>271</v>
      </c>
    </row>
    <row r="69" spans="57:59" x14ac:dyDescent="0.25">
      <c r="BE69" s="36" t="s">
        <v>245</v>
      </c>
      <c r="BF69">
        <f>8080/10^6</f>
      </c>
      <c r="BG69" s="37" t="s">
        <v>271</v>
      </c>
    </row>
    <row r="70" spans="57:59" x14ac:dyDescent="0.25">
      <c r="BE70" s="36" t="s">
        <v>272</v>
      </c>
      <c r="BF70">
        <v>0.00796</v>
      </c>
      <c r="BG70" s="37" t="s">
        <v>271</v>
      </c>
    </row>
    <row r="71" spans="57:59" x14ac:dyDescent="0.25">
      <c r="BE71" s="36" t="s">
        <v>273</v>
      </c>
      <c r="BF71">
        <v>0.0045</v>
      </c>
      <c r="BG71" s="37" t="s">
        <v>271</v>
      </c>
    </row>
    <row r="72" spans="57:59" x14ac:dyDescent="0.25">
      <c r="BE72" s="36" t="s">
        <v>250</v>
      </c>
      <c r="BF72">
        <v>0.00889</v>
      </c>
      <c r="BG72" s="37" t="s">
        <v>271</v>
      </c>
    </row>
    <row r="73" ht="15.75" customHeight="1" spans="57:59" x14ac:dyDescent="0.25">
      <c r="BE73" s="56" t="s">
        <v>274</v>
      </c>
      <c r="BF73" s="57">
        <v>0.0083</v>
      </c>
      <c r="BG73" s="58" t="s">
        <v>271</v>
      </c>
    </row>
    <row r="74" ht="15.75" customHeight="1" x14ac:dyDescent="0.25"/>
    <row r="75" ht="15" customHeight="1" spans="3:16" x14ac:dyDescent="0.25">
      <c r="C75" s="350" t="s">
        <v>275</v>
      </c>
      <c r="D75" s="351"/>
      <c r="E75" s="351"/>
      <c r="F75" s="351"/>
      <c r="G75" s="352"/>
      <c r="H75" s="353" t="s">
        <v>48</v>
      </c>
      <c r="I75" s="354"/>
      <c r="J75" s="355"/>
      <c r="K75" s="356" t="s">
        <v>276</v>
      </c>
      <c r="L75" s="357"/>
      <c r="M75" s="358" t="s">
        <v>277</v>
      </c>
      <c r="N75" s="359"/>
      <c r="O75" s="360" t="s">
        <v>278</v>
      </c>
      <c r="P75" s="361"/>
    </row>
    <row r="76" ht="15.75" customHeight="1" spans="3:16" x14ac:dyDescent="0.25">
      <c r="C76" s="362"/>
      <c r="D76" s="363"/>
      <c r="E76" s="363"/>
      <c r="F76" s="363"/>
      <c r="G76" s="364"/>
      <c r="H76" s="365"/>
      <c r="I76" s="366"/>
      <c r="J76" s="367"/>
      <c r="K76" s="368"/>
      <c r="L76" s="369"/>
      <c r="M76" s="370"/>
      <c r="N76" s="371"/>
      <c r="O76" s="372"/>
      <c r="P76" s="373"/>
    </row>
    <row r="77" ht="90.75" customHeight="1" spans="3:18" x14ac:dyDescent="0.25">
      <c r="C77" s="374" t="s">
        <v>279</v>
      </c>
      <c r="D77" s="375" t="s">
        <v>280</v>
      </c>
      <c r="E77" s="376" t="s">
        <v>281</v>
      </c>
      <c r="F77" s="377" t="s">
        <v>282</v>
      </c>
      <c r="G77" s="377" t="s">
        <v>283</v>
      </c>
      <c r="H77" s="374" t="s">
        <v>284</v>
      </c>
      <c r="I77" s="378" t="s">
        <v>285</v>
      </c>
      <c r="J77" s="379" t="s">
        <v>286</v>
      </c>
      <c r="K77" s="118" t="s">
        <v>287</v>
      </c>
      <c r="L77" s="380" t="s">
        <v>286</v>
      </c>
      <c r="M77" s="381" t="s">
        <v>288</v>
      </c>
      <c r="N77" s="382" t="s">
        <v>289</v>
      </c>
      <c r="O77" s="118" t="s">
        <v>290</v>
      </c>
      <c r="P77" s="383" t="s">
        <v>291</v>
      </c>
      <c r="Q77" t="s">
        <v>292</v>
      </c>
      <c r="R77" t="s">
        <v>293</v>
      </c>
    </row>
    <row r="78" ht="15.75" customHeight="1" spans="3:18" x14ac:dyDescent="0.25">
      <c r="C78" s="384">
        <f>технолог!V27</f>
      </c>
      <c r="D78" s="385">
        <v>3</v>
      </c>
      <c r="E78" s="386">
        <f>E101</f>
      </c>
      <c r="F78" s="387">
        <f>E105</f>
      </c>
      <c r="G78" s="387">
        <f>E99+E100</f>
      </c>
      <c r="H78" s="388">
        <f>VLOOKUP(технолог!G27,B110:BB122,53,0)</f>
      </c>
      <c r="I78" s="389">
        <f>VLOOKUP(технолог!G27,B110:BA122,52,0)</f>
      </c>
      <c r="J78" s="388">
        <f>VLOOKUP(технолог!G27,B110:BD122,55,0)</f>
      </c>
      <c r="K78" s="386">
        <f>VLOOKUP(технолог!G27,B110:BC122,54,0)</f>
      </c>
      <c r="L78" s="388">
        <f>VLOOKUP(технолог!G27,B110:BD122,55,0)</f>
      </c>
      <c r="M78" s="386">
        <f>AX151</f>
      </c>
      <c r="N78" s="388">
        <f>AX150+AX152+AY152+AX153</f>
      </c>
      <c r="O78" s="386">
        <f>IF(VLOOKUP(D104,B110:BI122,60,0)&lt;0,0,VLOOKUP(D104,B110:BI122,60,0))+BG147*2</f>
      </c>
      <c r="P78" s="390">
        <f>IF(BH147&gt;2000,8,0)</f>
      </c>
      <c r="Q78">
        <f>M78*D44+N78*D43+O78*G44+P78*G43</f>
      </c>
      <c r="R78">
        <f>M78*D46+N78*D45+O78*G45</f>
      </c>
    </row>
    <row r="79" spans="4:15" x14ac:dyDescent="0.25">
      <c r="D79" s="45"/>
      <c r="E79" s="45"/>
      <c r="F79" s="45"/>
      <c r="G79" s="45"/>
    </row>
    <row r="80" spans="4:15" x14ac:dyDescent="0.25">
      <c r="D80" s="45"/>
      <c r="E80" s="45"/>
      <c r="F80" s="45"/>
      <c r="G80" s="45"/>
    </row>
    <row r="81" spans="4:15" x14ac:dyDescent="0.25">
      <c r="D81" s="45"/>
      <c r="E81" s="45"/>
      <c r="F81" s="45"/>
      <c r="G81" s="45"/>
    </row>
    <row r="82" spans="4:15" x14ac:dyDescent="0.25">
      <c r="D82" s="45"/>
      <c r="E82" s="45"/>
      <c r="F82" s="45"/>
      <c r="G82" s="45"/>
    </row>
    <row r="83" spans="4:15" x14ac:dyDescent="0.25">
      <c r="D83" s="45"/>
      <c r="E83" s="45"/>
      <c r="F83" s="45"/>
      <c r="G83" s="45"/>
    </row>
    <row r="84" spans="4:15" x14ac:dyDescent="0.25">
      <c r="D84" s="45"/>
      <c r="E84" s="45"/>
      <c r="F84" s="45"/>
      <c r="G84" s="45"/>
    </row>
    <row r="85" spans="4:15" x14ac:dyDescent="0.25">
      <c r="D85" s="45"/>
      <c r="E85" s="45"/>
      <c r="F85" s="45"/>
      <c r="G85" s="45"/>
    </row>
    <row r="86" spans="4:15" x14ac:dyDescent="0.25">
      <c r="D86" s="45"/>
      <c r="E86" s="45"/>
      <c r="F86" s="45"/>
      <c r="G86" s="45"/>
    </row>
    <row r="87" spans="4:15" x14ac:dyDescent="0.25">
      <c r="D87" s="45"/>
      <c r="E87" s="45"/>
      <c r="F87" s="45"/>
      <c r="G87" s="45"/>
    </row>
    <row r="91" ht="15.75" customHeight="1" x14ac:dyDescent="0.25"/>
    <row r="92" ht="15.75" customHeight="1" spans="4:7" x14ac:dyDescent="0.25">
      <c r="D92" s="391" t="s">
        <v>294</v>
      </c>
      <c r="E92" s="392" t="s">
        <v>295</v>
      </c>
      <c r="G92" t="s">
        <v>296</v>
      </c>
    </row>
    <row r="93" ht="15.75" customHeight="1" spans="4:7" x14ac:dyDescent="0.25">
      <c r="D93" s="391" t="s">
        <v>297</v>
      </c>
      <c r="E93" s="393">
        <f>VLOOKUP(D104,B110:L122,11,0)</f>
      </c>
      <c r="G93" s="394">
        <f>VLOOKUP(технолог!P27,AS47:AT53,2,)</f>
      </c>
    </row>
    <row r="94" ht="15.75" customHeight="1" spans="4:5" x14ac:dyDescent="0.25">
      <c r="D94" s="391" t="s">
        <v>298</v>
      </c>
      <c r="E94" s="393">
        <f>VLOOKUP(D104,B110:O122,14,0)</f>
      </c>
    </row>
    <row r="95" ht="15.75" customHeight="1" spans="4:7" x14ac:dyDescent="0.25">
      <c r="D95" s="391" t="s">
        <v>299</v>
      </c>
      <c r="E95" s="393">
        <f>VLOOKUP(D104,B110:R122,17,0)</f>
      </c>
      <c r="G95" t="s">
        <v>300</v>
      </c>
    </row>
    <row r="96" ht="15.75" customHeight="1" spans="4:7" x14ac:dyDescent="0.25">
      <c r="D96" s="391" t="s">
        <v>301</v>
      </c>
      <c r="E96" s="393"/>
      <c r="G96" s="394">
        <f>VLOOKUP(технолог!Q27,AS47:AT53,2,)</f>
      </c>
    </row>
    <row r="97" ht="15.75" customHeight="1" spans="4:45" x14ac:dyDescent="0.25">
      <c r="D97" s="391" t="s">
        <v>302</v>
      </c>
      <c r="E97" s="393">
        <f>VLOOKUP(D104,B110:AB122,27,0)</f>
      </c>
    </row>
    <row r="98" ht="15.75" customHeight="1" spans="4:45" x14ac:dyDescent="0.25">
      <c r="D98" s="391" t="s">
        <v>303</v>
      </c>
      <c r="E98" s="393">
        <f>VLOOKUP(D104,B110:AE122,30,0)</f>
      </c>
      <c r="G98" s="391" t="s">
        <v>304</v>
      </c>
      <c r="H98" s="391" t="s">
        <v>305</v>
      </c>
      <c r="I98" s="391"/>
    </row>
    <row r="99" ht="15.75" customHeight="1" spans="4:45" x14ac:dyDescent="0.25">
      <c r="D99" s="391" t="s">
        <v>306</v>
      </c>
      <c r="E99" s="393">
        <f>VLOOKUP(D104,B110:AH122,33,0)</f>
      </c>
      <c r="G99" s="395">
        <f>технолог!T27+технолог!U27</f>
      </c>
      <c r="H99" s="396">
        <f>G99*технолог!I27</f>
      </c>
      <c r="I99" s="397"/>
    </row>
    <row r="100" ht="15.75" customHeight="1" spans="4:45" x14ac:dyDescent="0.25">
      <c r="D100" s="391" t="s">
        <v>307</v>
      </c>
      <c r="E100" s="393">
        <f>VLOOKUP(D104,B110:AK122,36,0)</f>
      </c>
    </row>
    <row r="101" ht="15.75" customHeight="1" spans="4:45" x14ac:dyDescent="0.25">
      <c r="D101" s="391" t="s">
        <v>73</v>
      </c>
      <c r="E101" s="398" t="s">
        <v>308</v>
      </c>
    </row>
    <row r="102" ht="15.75" customHeight="1" spans="38:45" x14ac:dyDescent="0.25"/>
    <row r="103" ht="15.75" customHeight="1" spans="4:43" x14ac:dyDescent="0.25">
      <c r="D103" s="391" t="s">
        <v>309</v>
      </c>
      <c r="E103" s="391"/>
      <c r="AM103" t="s">
        <v>310</v>
      </c>
      <c r="AQ103" t="s">
        <v>311</v>
      </c>
    </row>
    <row r="104" ht="15.75" customHeight="1" spans="4:45" x14ac:dyDescent="0.25">
      <c r="D104" s="391">
        <f>технолог!G27</f>
      </c>
      <c r="E104" s="393">
        <f>VLOOKUP(D104,B110:H122,7,0)</f>
      </c>
      <c r="AL104" s="33" t="s">
        <v>312</v>
      </c>
      <c r="AM104" s="34"/>
      <c r="AN104" s="35"/>
      <c r="AO104" s="399" t="s">
        <v>313</v>
      </c>
      <c r="AP104" s="33" t="s">
        <v>312</v>
      </c>
      <c r="AQ104" s="34"/>
      <c r="AR104" s="35"/>
      <c r="AS104" s="399" t="s">
        <v>313</v>
      </c>
    </row>
    <row r="105" ht="15.75" customHeight="1" spans="4:45" x14ac:dyDescent="0.25">
      <c r="D105" s="391" t="s">
        <v>73</v>
      </c>
      <c r="E105" s="398" t="s">
        <v>314</v>
      </c>
      <c r="AL105" s="56">
        <f>LEFT(технолог!H27)</f>
      </c>
      <c r="AM105" s="57">
        <f>MID(технолог!H27,2,1)</f>
      </c>
      <c r="AN105" s="58">
        <f>IF(AM105="/","",AM105)</f>
      </c>
      <c r="AO105" s="272">
        <f>VALUE(CONCATENATE(AL105,AN105))</f>
      </c>
      <c r="AP105" s="56">
        <f>RIGHT(технолог!H27,2)</f>
      </c>
      <c r="AQ105" s="57">
        <f>LEFT(AP105)</f>
      </c>
      <c r="AR105" s="58">
        <f>RIGHT(AP105)</f>
      </c>
      <c r="AS105" s="272">
        <f>VALUE(IF(LEFT(AP105)="/",AR105,AP105))</f>
      </c>
    </row>
    <row r="106" spans="41:45" x14ac:dyDescent="0.25">
      <c r="AO106">
        <f>ISEVEN(AO105)</f>
      </c>
      <c r="AS106">
        <f>ISEVEN(AS105)</f>
      </c>
    </row>
    <row r="107" ht="15.75" customHeight="1" spans="20:25" x14ac:dyDescent="0.25">
      <c r="T107" s="400"/>
      <c r="U107" s="400"/>
      <c r="V107" s="400" t="s">
        <v>315</v>
      </c>
      <c r="W107" s="400"/>
      <c r="X107" s="400"/>
      <c r="Y107" s="400"/>
    </row>
    <row r="108" ht="15.75" customHeight="1" spans="2:41" x14ac:dyDescent="0.25">
      <c r="B108" s="401" t="s">
        <v>316</v>
      </c>
      <c r="C108" s="402"/>
      <c r="D108" s="402"/>
      <c r="E108" s="402"/>
      <c r="F108" s="402"/>
      <c r="G108" s="402"/>
      <c r="H108" s="392"/>
      <c r="I108" s="391"/>
      <c r="J108" s="391" t="s">
        <v>317</v>
      </c>
      <c r="K108" s="391" t="s">
        <v>318</v>
      </c>
      <c r="L108" s="391" t="s">
        <v>319</v>
      </c>
      <c r="M108" s="391" t="s">
        <v>317</v>
      </c>
      <c r="N108" s="391" t="s">
        <v>318</v>
      </c>
      <c r="O108" s="391" t="s">
        <v>319</v>
      </c>
      <c r="P108" s="391" t="s">
        <v>318</v>
      </c>
      <c r="Q108" s="391" t="s">
        <v>317</v>
      </c>
      <c r="R108" s="391" t="s">
        <v>320</v>
      </c>
      <c r="S108" s="391" t="s">
        <v>317</v>
      </c>
      <c r="T108" s="403" t="s">
        <v>317</v>
      </c>
      <c r="U108" s="403" t="s">
        <v>318</v>
      </c>
      <c r="V108" s="403" t="s">
        <v>321</v>
      </c>
      <c r="W108" s="403" t="s">
        <v>317</v>
      </c>
      <c r="X108" s="403" t="s">
        <v>322</v>
      </c>
      <c r="Y108" s="403" t="s">
        <v>323</v>
      </c>
      <c r="Z108" s="391" t="s">
        <v>317</v>
      </c>
      <c r="AA108" s="391" t="s">
        <v>324</v>
      </c>
      <c r="AB108" s="391" t="s">
        <v>321</v>
      </c>
      <c r="AC108" s="391" t="s">
        <v>317</v>
      </c>
      <c r="AD108" s="391" t="s">
        <v>324</v>
      </c>
      <c r="AE108" s="391" t="s">
        <v>321</v>
      </c>
      <c r="AF108" s="401" t="s">
        <v>318</v>
      </c>
      <c r="AG108" s="402" t="s">
        <v>317</v>
      </c>
      <c r="AH108" s="402" t="s">
        <v>321</v>
      </c>
      <c r="AI108" s="402" t="s">
        <v>318</v>
      </c>
      <c r="AJ108" s="402" t="s">
        <v>317</v>
      </c>
      <c r="AK108" s="392" t="s">
        <v>321</v>
      </c>
      <c r="AO108" s="400" t="s">
        <v>325</v>
      </c>
    </row>
    <row r="109" ht="75.75" customHeight="1" spans="2:61" x14ac:dyDescent="0.25">
      <c r="B109" s="33" t="s">
        <v>326</v>
      </c>
      <c r="C109" s="34" t="s">
        <v>318</v>
      </c>
      <c r="D109" s="34" t="s">
        <v>317</v>
      </c>
      <c r="E109" s="404" t="s">
        <v>327</v>
      </c>
      <c r="F109" s="404" t="s">
        <v>328</v>
      </c>
      <c r="G109" s="35" t="s">
        <v>329</v>
      </c>
      <c r="H109" s="391" t="s">
        <v>330</v>
      </c>
      <c r="I109" s="391" t="s">
        <v>331</v>
      </c>
      <c r="J109" s="405" t="s">
        <v>332</v>
      </c>
      <c r="K109" s="406"/>
      <c r="L109" s="407"/>
      <c r="M109" s="405" t="s">
        <v>333</v>
      </c>
      <c r="N109" s="406"/>
      <c r="O109" s="407"/>
      <c r="P109" s="396" t="s">
        <v>334</v>
      </c>
      <c r="Q109" s="408"/>
      <c r="R109" s="397"/>
      <c r="S109" s="409" t="s">
        <v>335</v>
      </c>
      <c r="T109" s="410" t="s">
        <v>336</v>
      </c>
      <c r="U109" s="411"/>
      <c r="V109" s="412"/>
      <c r="W109" s="410" t="s">
        <v>337</v>
      </c>
      <c r="X109" s="411"/>
      <c r="Y109" s="412"/>
      <c r="Z109" s="405" t="s">
        <v>338</v>
      </c>
      <c r="AA109" s="406"/>
      <c r="AB109" s="407"/>
      <c r="AC109" s="405" t="s">
        <v>339</v>
      </c>
      <c r="AD109" s="406"/>
      <c r="AE109" s="407"/>
      <c r="AF109" s="405" t="s">
        <v>340</v>
      </c>
      <c r="AG109" s="406"/>
      <c r="AH109" s="407"/>
      <c r="AI109" s="405" t="s">
        <v>341</v>
      </c>
      <c r="AJ109" s="406"/>
      <c r="AK109" s="407"/>
      <c r="AL109" s="33" t="s">
        <v>342</v>
      </c>
      <c r="AM109" s="34" t="s">
        <v>343</v>
      </c>
      <c r="AN109" s="34" t="s">
        <v>344</v>
      </c>
      <c r="AO109" s="413" t="s">
        <v>336</v>
      </c>
      <c r="AP109" s="34" t="s">
        <v>345</v>
      </c>
      <c r="AQ109" s="34" t="s">
        <v>346</v>
      </c>
      <c r="AR109" s="34" t="s">
        <v>347</v>
      </c>
      <c r="AS109" s="35" t="s">
        <v>348</v>
      </c>
      <c r="AT109" s="414" t="s">
        <v>349</v>
      </c>
      <c r="AU109" s="415" t="s">
        <v>350</v>
      </c>
      <c r="AV109" s="416" t="s">
        <v>351</v>
      </c>
      <c r="AW109" s="414" t="s">
        <v>340</v>
      </c>
      <c r="AX109" s="416" t="s">
        <v>352</v>
      </c>
      <c r="AY109" s="414" t="s">
        <v>353</v>
      </c>
      <c r="AZ109" s="416" t="s">
        <v>354</v>
      </c>
      <c r="BA109" s="417" t="s">
        <v>355</v>
      </c>
      <c r="BB109" s="404" t="s">
        <v>356</v>
      </c>
      <c r="BC109" s="418" t="s">
        <v>357</v>
      </c>
      <c r="BD109" s="419" t="s">
        <v>358</v>
      </c>
      <c r="BE109" s="417" t="s">
        <v>359</v>
      </c>
      <c r="BF109" s="418" t="s">
        <v>360</v>
      </c>
      <c r="BG109" s="401" t="s">
        <v>361</v>
      </c>
      <c r="BH109" s="392" t="s">
        <v>362</v>
      </c>
      <c r="BI109" s="399" t="s">
        <v>363</v>
      </c>
    </row>
    <row r="110" ht="15.75" customHeight="1" spans="2:61" x14ac:dyDescent="0.25">
      <c r="B110" s="36" t="s">
        <v>204</v>
      </c>
      <c r="C110" s="420">
        <v>143</v>
      </c>
      <c r="D110" s="420">
        <v>128</v>
      </c>
      <c r="E110" s="420">
        <v>162</v>
      </c>
      <c r="F110" s="420">
        <v>147</v>
      </c>
      <c r="G110" s="421">
        <f>технолог!U27</f>
      </c>
      <c r="H110" s="422">
        <f>(E110+15)*(F110+15)*G110*$G$93/1000*(технолог!$I$27)</f>
      </c>
      <c r="I110" s="401">
        <v>40</v>
      </c>
      <c r="J110" s="405">
        <f>I110+20</f>
      </c>
      <c r="K110" s="406">
        <f>$H$99+10</f>
      </c>
      <c r="L110" s="406">
        <f>J110*K110*$D$78*$G$93/1000*4</f>
      </c>
      <c r="M110" s="405">
        <f>I110+10</f>
      </c>
      <c r="N110" s="406">
        <f>$H$99+10</f>
      </c>
      <c r="O110" s="35">
        <f>M110*N110*$D$78*$G$93/1000*4</f>
      </c>
      <c r="P110" s="405">
        <f>C110+2*I110+10</f>
      </c>
      <c r="Q110" s="406">
        <f>D110+15+2*I110+10</f>
      </c>
      <c r="R110" s="406">
        <f>P110*Q110*$D$78*$G$93/1000*2</f>
      </c>
      <c r="S110" s="409">
        <v>11</v>
      </c>
      <c r="T110" s="423">
        <f>S110+5</f>
      </c>
      <c r="U110" s="413">
        <f>E125-49-49+6</f>
      </c>
      <c r="V110" s="424">
        <f>T110*U110*#REF!*D141/1000*8</f>
      </c>
      <c r="W110" s="413">
        <f>49+S110</f>
      </c>
      <c r="X110" s="413">
        <f>C110+S110*2</f>
      </c>
      <c r="Y110" s="424">
        <f>D110+S110*2</f>
      </c>
      <c r="Z110" s="33">
        <f>S110+5</f>
      </c>
      <c r="AA110" s="34">
        <f>($H$99+S110)*2+(C110+S110)*2</f>
      </c>
      <c r="AB110" s="35">
        <f>Z110*AA110*$D$78*$G$93/1000*2</f>
      </c>
      <c r="AC110" s="33">
        <f>S110+5</f>
      </c>
      <c r="AD110" s="34">
        <f>($H$99+S110)*2+(D110+15+S110)*2</f>
      </c>
      <c r="AE110" s="35">
        <f>AC110*AD110*$D$78*$G$93/1000*2</f>
      </c>
      <c r="AF110" s="33">
        <f>$H$99+S110+S110+3+10</f>
      </c>
      <c r="AG110" s="34">
        <f>C110+2*S110+10</f>
      </c>
      <c r="AH110" s="35">
        <f>AF110*AG110*$C$78*$G$96/1000*2</f>
      </c>
      <c r="AI110" s="33">
        <f>$H$99+S110+S110+3+10</f>
      </c>
      <c r="AJ110" s="34">
        <f>D110+15+2*S110+10</f>
      </c>
      <c r="AK110" s="35">
        <f>AI110*AJ110*$C$78*$G$96/1000*2</f>
      </c>
      <c r="AL110" s="425">
        <f>(технолог!$I$27/2*((5+6)*2+технолог!$T$27-0.5)+J110*2+K110)/1000*4</f>
      </c>
      <c r="AM110" s="425">
        <f>(M110*2+N110*2)/1000*4</f>
      </c>
      <c r="AN110" s="425">
        <f>(P110*2+Q110*2)/1000*2</f>
      </c>
      <c r="AO110" s="426">
        <f>(S110*2+T110*2)/1000*8</f>
      </c>
      <c r="AP110" s="425">
        <f>(AA110*2+S110*8)/1000*4</f>
      </c>
      <c r="AQ110" s="425">
        <f>(AD110*2+S110*8)/1000*4</f>
      </c>
      <c r="AR110" s="425">
        <f>((C110+20)*2+(50+I110)*2)/1000*($AO$105-1)</f>
      </c>
      <c r="AS110" s="427">
        <f>((D110)*2+(50+I110)*2)/1000*($AS$105-1)</f>
      </c>
      <c r="AT110" s="428">
        <f>(40*2+(C110+20)*2)/1000*($AO$105-1)</f>
      </c>
      <c r="AU110" s="425">
        <f>(40*2+(D110*2))/1000*($AS$105-1)</f>
      </c>
      <c r="AV110" s="427">
        <f>(C110*2+D110*2)*технолог!$I$27/1000</f>
      </c>
      <c r="AW110" s="428">
        <f>(AF110*2+AG110*2)*2/1000+AY110</f>
      </c>
      <c r="AX110" s="427">
        <f>(AI110*2+AJ110*2)*2/1000+AZ110</f>
      </c>
      <c r="AY110" s="428">
        <f>(AF110/100+AG110/100)*20/1000*2</f>
      </c>
      <c r="AZ110" s="425">
        <f>((AI110/100+AJ110/100)*20)/1000*2</f>
      </c>
      <c r="BA110" s="428">
        <f>SUM(AL110:AN110,AP110:AS110)</f>
      </c>
      <c r="BB110" s="425">
        <f>SUM(AW110:AZ110)</f>
      </c>
      <c r="BC110" s="427">
        <f>SUM(AL110:AN110,AP110:AS110)</f>
      </c>
      <c r="BD110" s="428">
        <f>SUM(AT110:AV110)</f>
      </c>
      <c r="BE110" s="429">
        <f>$AZ$134+$BA$134</f>
      </c>
      <c r="BF110" s="430">
        <f>$BC$134+$BD$134</f>
      </c>
      <c r="BG110" s="431">
        <f>C110</f>
      </c>
      <c r="BH110" s="431">
        <f>D110+15</f>
      </c>
      <c r="BI110" s="432">
        <f>($AZ$134+$BA$134+$BC$134+$BD$134)*2</f>
      </c>
    </row>
    <row r="111" ht="15.75" customHeight="1" spans="2:61" x14ac:dyDescent="0.25">
      <c r="B111" s="238" t="s">
        <v>211</v>
      </c>
      <c r="C111" s="420">
        <v>227</v>
      </c>
      <c r="D111" s="420">
        <v>212</v>
      </c>
      <c r="E111" s="420">
        <v>245</v>
      </c>
      <c r="F111" s="420">
        <v>235</v>
      </c>
      <c r="G111" s="421">
        <f>технолог!U27</f>
      </c>
      <c r="H111" s="433">
        <f>(E111+15)*(F111+15)*G111*$G$93/1000*(технолог!$I$27)</f>
      </c>
      <c r="I111" s="401">
        <v>40</v>
      </c>
      <c r="J111" s="434">
        <f>I111+20</f>
      </c>
      <c r="K111" s="420">
        <f>$H$99+10</f>
      </c>
      <c r="L111" s="420">
        <f>J111*K111*$D$78*$G$93/1000*4</f>
      </c>
      <c r="M111" s="434">
        <f>I111+10</f>
      </c>
      <c r="N111" s="420">
        <f>$H$99+10</f>
      </c>
      <c r="O111" s="37">
        <f>M111*N111*$D$78*$G$93/1000*4</f>
      </c>
      <c r="P111" s="434">
        <f>C111+2*I111+10</f>
      </c>
      <c r="Q111" s="420">
        <f>D111+15+2*I111+10</f>
      </c>
      <c r="R111" s="420">
        <f>P111*Q111*$D$78*$G$93/1000*2</f>
      </c>
      <c r="S111" s="36">
        <v>11</v>
      </c>
      <c r="T111" s="435">
        <f>S111+10</f>
      </c>
      <c r="U111" s="400">
        <f>E125-49-49+6</f>
      </c>
      <c r="V111" s="436">
        <f>T111*U111*#REF!*D141/1000*8</f>
      </c>
      <c r="W111" s="400">
        <f>49+S111</f>
      </c>
      <c r="X111" s="400">
        <f>C111+S111*2</f>
      </c>
      <c r="Y111" s="436">
        <f>D111+S111*2</f>
      </c>
      <c r="Z111" s="36">
        <f>S111+5</f>
      </c>
      <c r="AA111">
        <f>($H$99+S111)*2+(C111+S111)*2</f>
      </c>
      <c r="AB111" s="37">
        <f>Z111*AA111*$D$78*$G$93/1000*2</f>
      </c>
      <c r="AC111" s="36">
        <f>S111+5</f>
      </c>
      <c r="AD111">
        <f>($H$99+S111)*2+(D111+15+S111)*2</f>
      </c>
      <c r="AE111" s="37">
        <f>AC111*AD111*$D$78*$G$93/1000*2</f>
      </c>
      <c r="AF111" s="36">
        <f>$H$99+S111+S111+3+10</f>
      </c>
      <c r="AG111">
        <f>C111+2*S111+10</f>
      </c>
      <c r="AH111" s="37">
        <f>AF111*AG111*$C$78*$G$96/1000*2</f>
      </c>
      <c r="AI111" s="36">
        <f>$H$99+S111+S111+3+10</f>
      </c>
      <c r="AJ111">
        <f>D111+15+2*S111+10</f>
      </c>
      <c r="AK111" s="37">
        <f>AI111*AJ111*$C$78*$G$96/1000*2</f>
      </c>
      <c r="AL111" s="431">
        <f>(технолог!$I$27/2*((5+6)*2+технолог!$T$27-0.5)+J111*2+K111)/1000*4</f>
      </c>
      <c r="AM111" s="431">
        <f>(M111*2+N111*2)/1000*4</f>
      </c>
      <c r="AN111" s="431">
        <f>(P111*2+Q111*2)/1000*2</f>
      </c>
      <c r="AO111" s="437">
        <f>(S111*2+T111*2)/1000*8</f>
      </c>
      <c r="AP111" s="431">
        <f>(AA111*2+S111*8)/1000*4</f>
      </c>
      <c r="AQ111" s="431">
        <f>(AD111*2+S111*8)/1000*4</f>
      </c>
      <c r="AR111" s="431">
        <f>((C111+20)*2+(50+I111)*2)/1000*($AO$105-1)</f>
      </c>
      <c r="AS111" s="438">
        <f>((D111)*2+(50+I111)*2)/1000*($AS$105-1)</f>
      </c>
      <c r="AT111" s="439">
        <f>(40*2+(C111+20)*2)/1000*($AO$105-1)</f>
      </c>
      <c r="AU111" s="431">
        <f>(40*2+(D111*2))/1000*($AS$105-1)</f>
      </c>
      <c r="AV111" s="438">
        <f>(C111*2+D111*2)*технолог!$I$27/1000</f>
      </c>
      <c r="AW111" s="439">
        <f>(AF111*2+AG111*2)*2/1000+AY111</f>
      </c>
      <c r="AX111" s="438">
        <f>(AI111*2+AJ111*2)*2/1000+AZ111</f>
      </c>
      <c r="AY111" s="439">
        <f>(AF111/100+AG111/100)*20/1000*2</f>
      </c>
      <c r="AZ111" s="431">
        <f>((AI111/100+AJ111/100)*20)/1000*2</f>
      </c>
      <c r="BA111" s="439">
        <f>SUM(AL111:AN111,AP111:AS111)</f>
      </c>
      <c r="BB111" s="431">
        <f>SUM(AW111:AZ111)</f>
      </c>
      <c r="BC111" s="438">
        <f>SUM(AL111:AN111,AP111:AS111)</f>
      </c>
      <c r="BD111" s="439">
        <f>SUM(AT111:AV111)</f>
      </c>
      <c r="BE111" s="282">
        <f>$AZ$134+$BA$134</f>
      </c>
      <c r="BF111" s="440">
        <f>$BC$134+$BD$134</f>
      </c>
      <c r="BG111" s="431">
        <f>C111</f>
      </c>
      <c r="BH111" s="431">
        <f>D111+15</f>
      </c>
      <c r="BI111" s="441">
        <f>($AZ$134+$BA$134+$BC$134+$BD$134)*2</f>
      </c>
    </row>
    <row r="112" ht="15.75" customHeight="1" spans="2:61" x14ac:dyDescent="0.25">
      <c r="B112" s="238" t="s">
        <v>216</v>
      </c>
      <c r="C112" s="420">
        <v>302</v>
      </c>
      <c r="D112" s="420">
        <v>287</v>
      </c>
      <c r="E112" s="420">
        <v>320</v>
      </c>
      <c r="F112" s="420">
        <v>300</v>
      </c>
      <c r="G112" s="421">
        <f>технолог!U27</f>
      </c>
      <c r="H112" s="433">
        <f>(E112+15)*(F112+15)*G112*$G$93/1000*(технолог!$I$27)</f>
      </c>
      <c r="I112" s="401">
        <v>50</v>
      </c>
      <c r="J112" s="434">
        <f>I112+20</f>
      </c>
      <c r="K112" s="420">
        <f>$H$99+10</f>
      </c>
      <c r="L112" s="420">
        <f>J112*K112*$D$78*$G$93/1000*4</f>
      </c>
      <c r="M112" s="434">
        <f>I112+10</f>
      </c>
      <c r="N112" s="420">
        <f>$H$99+10</f>
      </c>
      <c r="O112" s="37">
        <f>M112*N112*$D$78*$G$93/1000*4</f>
      </c>
      <c r="P112" s="434">
        <f>C112+2*I112+10</f>
      </c>
      <c r="Q112" s="420">
        <f>D112+15+2*I112+10</f>
      </c>
      <c r="R112" s="420">
        <f>P112*Q112*$D$78*$G$93/1000*2</f>
      </c>
      <c r="S112" s="36">
        <v>11</v>
      </c>
      <c r="T112" s="435">
        <f>S112+10</f>
      </c>
      <c r="U112" s="400">
        <f>E125-49-49+6</f>
      </c>
      <c r="V112" s="436">
        <f>T112*U112*#REF!*D141/1000*8</f>
      </c>
      <c r="W112" s="400">
        <f>49+S112</f>
      </c>
      <c r="X112" s="400">
        <f>C112+S112*2</f>
      </c>
      <c r="Y112" s="436">
        <f>D112+S112*2</f>
      </c>
      <c r="Z112" s="36">
        <f>S112+5</f>
      </c>
      <c r="AA112">
        <f>($H$99+S112)*2+(C112+S112)*2</f>
      </c>
      <c r="AB112" s="37">
        <f>Z112*AA112*$D$78*$G$93/1000*2</f>
      </c>
      <c r="AC112" s="36">
        <f>S112+5</f>
      </c>
      <c r="AD112">
        <f>($H$99+S112)*2+(D112+15+S112)*2</f>
      </c>
      <c r="AE112" s="37">
        <f>AC112*AD112*$D$78*$G$93/1000*2</f>
      </c>
      <c r="AF112" s="36">
        <f>$H$99+S112+S112+3+10</f>
      </c>
      <c r="AG112">
        <f>C112+2*S112+10</f>
      </c>
      <c r="AH112" s="37">
        <f>AF112*AG112*$C$78*$G$96/1000*2</f>
      </c>
      <c r="AI112" s="36">
        <f>$H$99+S112+S112+3+10</f>
      </c>
      <c r="AJ112">
        <f>D112+15+2*S112+10</f>
      </c>
      <c r="AK112" s="37">
        <f>AI112*AJ112*$C$78*$G$96/1000*2</f>
      </c>
      <c r="AL112" s="431">
        <f>(технолог!$I$27/2*((5+6)*2+технолог!$T$27-0.5)+J112*2+K112)/1000*4</f>
      </c>
      <c r="AM112" s="431">
        <f>(M112*2+N112*2)/1000*4</f>
      </c>
      <c r="AN112" s="431">
        <f>(P112*2+Q112*2)/1000*2</f>
      </c>
      <c r="AO112" s="437">
        <f>(S112*2+T112*2)/1000*8</f>
      </c>
      <c r="AP112" s="431">
        <f>(AA112*2+S112*8)/1000*4</f>
      </c>
      <c r="AQ112" s="431">
        <f>(AD112*2+S112*8)/1000*4</f>
      </c>
      <c r="AR112" s="431">
        <f>((C112+20)*2+(50+I112)*2)/1000*($AO$105-1)</f>
      </c>
      <c r="AS112" s="438">
        <f>((D112)*2+(50+I112)*2)/1000*($AS$105-1)</f>
      </c>
      <c r="AT112" s="439">
        <f>(40*2+(C112+20)*2)/1000*($AO$105-1)</f>
      </c>
      <c r="AU112" s="431">
        <f>(40*2+(D112*2))/1000*($AS$105-1)</f>
      </c>
      <c r="AV112" s="438">
        <f>(C112*2+D112*2)*технолог!$I$27/1000</f>
      </c>
      <c r="AW112" s="439">
        <f>(AF112*2+AG112*2)*2/1000+AY112</f>
      </c>
      <c r="AX112" s="438">
        <f>(AI112*2+AJ112*2)*2/1000+AZ112</f>
      </c>
      <c r="AY112" s="439">
        <f>(AF112/100+AG112/100)*20/1000*2</f>
      </c>
      <c r="AZ112" s="431">
        <f>((AI112/100+AJ112/100)*20)/1000*2</f>
      </c>
      <c r="BA112" s="439">
        <f>SUM(AL112:AN112,AP112:AS112)</f>
      </c>
      <c r="BB112" s="431">
        <f>SUM(AW112:AZ112)</f>
      </c>
      <c r="BC112" s="438">
        <f>SUM(AL112:AN112,AP112:AS112)</f>
      </c>
      <c r="BD112" s="439">
        <f>SUM(AT112:AV112)</f>
      </c>
      <c r="BE112" s="282">
        <f>$AZ$134+$BA$134</f>
      </c>
      <c r="BF112" s="440">
        <f>$BC$134+$BD$134</f>
      </c>
      <c r="BG112" s="431">
        <f>C112</f>
      </c>
      <c r="BH112" s="431">
        <f>D112+15</f>
      </c>
      <c r="BI112" s="441">
        <f>($AZ$134+$BA$134+$BC$134+$BD$134)*2</f>
      </c>
    </row>
    <row r="113" ht="15.75" customHeight="1" spans="2:61" x14ac:dyDescent="0.25">
      <c r="B113" s="238" t="s">
        <v>222</v>
      </c>
      <c r="C113" s="420">
        <v>373</v>
      </c>
      <c r="D113" s="420">
        <v>360</v>
      </c>
      <c r="E113" s="420">
        <v>395</v>
      </c>
      <c r="F113" s="420">
        <v>380</v>
      </c>
      <c r="G113" s="421">
        <f>технолог!U27</f>
      </c>
      <c r="H113" s="433">
        <f>(E113+15)*(F113+15)*G113*$G$93/1000*(технолог!$I$27)</f>
      </c>
      <c r="I113" s="401">
        <v>60</v>
      </c>
      <c r="J113" s="434">
        <f>I113+20</f>
      </c>
      <c r="K113" s="420">
        <f>$H$99+10</f>
      </c>
      <c r="L113" s="420">
        <f>J113*K113*$D$78*$G$93/1000*4</f>
      </c>
      <c r="M113" s="434">
        <f>I113+10</f>
      </c>
      <c r="N113" s="420">
        <f>$H$99+10</f>
      </c>
      <c r="O113" s="37">
        <f>M113*N113*$D$78*$G$93/1000*4</f>
      </c>
      <c r="P113" s="434">
        <f>C113+2*I113+10</f>
      </c>
      <c r="Q113" s="420">
        <f>D113+15+2*I113+10</f>
      </c>
      <c r="R113" s="420">
        <f>P113*Q113*$D$78*$G$93/1000*2</f>
      </c>
      <c r="S113" s="36">
        <v>14</v>
      </c>
      <c r="T113" s="435">
        <f>S113+10</f>
      </c>
      <c r="U113" s="400">
        <f>E125-49-49+6</f>
      </c>
      <c r="V113" s="436">
        <f>T113*U113*#REF!*D141/1000*8</f>
      </c>
      <c r="W113" s="400">
        <f>49+S113</f>
      </c>
      <c r="X113" s="400">
        <f>C113+S113*2</f>
      </c>
      <c r="Y113" s="436">
        <f>D113+S113*2</f>
      </c>
      <c r="Z113" s="36">
        <f>S113+5</f>
      </c>
      <c r="AA113">
        <f>($H$99+S113)*2+(C113+S113)*2</f>
      </c>
      <c r="AB113" s="37">
        <f>Z113*AA113*$D$78*$G$93/1000*2</f>
      </c>
      <c r="AC113" s="36">
        <f>S113+5</f>
      </c>
      <c r="AD113">
        <f>($H$99+S113)*2+(D113+15+S113)*2</f>
      </c>
      <c r="AE113" s="37">
        <f>AC113*AD113*$D$78*$G$93/1000*2</f>
      </c>
      <c r="AF113" s="36">
        <f>$H$99+S113+S113+3+10</f>
      </c>
      <c r="AG113">
        <f>C113+2*S113+10</f>
      </c>
      <c r="AH113" s="37">
        <f>AF113*AG113*$C$78*$G$96/1000*2</f>
      </c>
      <c r="AI113" s="36">
        <f>$H$99+S113+S113+3+10</f>
      </c>
      <c r="AJ113">
        <f>D113+15+2*S113+10</f>
      </c>
      <c r="AK113" s="37">
        <f>AI113*AJ113*$C$78*$G$96/1000*2</f>
      </c>
      <c r="AL113" s="431">
        <f>(технолог!$I$27/2*((5+6)*2+технолог!$T$27-0.5)+J113*2+K113)/1000*4</f>
      </c>
      <c r="AM113" s="431">
        <f>(M113*2+N113*2)/1000*4</f>
      </c>
      <c r="AN113" s="431">
        <f>(P113*2+Q113*2)/1000*2</f>
      </c>
      <c r="AO113" s="437">
        <f>(S113*2+T113*2)/1000*8</f>
      </c>
      <c r="AP113" s="431">
        <f>(AA113*2+S113*8)/1000*4</f>
      </c>
      <c r="AQ113" s="431">
        <f>(AD113*2+S113*8)/1000*4</f>
      </c>
      <c r="AR113" s="431">
        <f>((C113+20)*2+(50+I113)*2)/1000*($AO$105-1)</f>
      </c>
      <c r="AS113" s="438">
        <f>((D113)*2+(50+I113)*2)/1000*($AS$105-1)</f>
      </c>
      <c r="AT113" s="439">
        <f>(40*2+(C113+20)*2)/1000*($AO$105-1)</f>
      </c>
      <c r="AU113" s="431">
        <f>(40*2+(D113*2))/1000*($AS$105-1)</f>
      </c>
      <c r="AV113" s="438">
        <f>(C113*2+D113*2)*технолог!$I$27/1000</f>
      </c>
      <c r="AW113" s="439">
        <f>(AF113*2+AG113*2)*2/1000+AY113</f>
      </c>
      <c r="AX113" s="438">
        <f>(AI113*2+AJ113*2)*2/1000+AZ113</f>
      </c>
      <c r="AY113" s="439">
        <f>(AF113/100+AG113/100)*20/1000*2</f>
      </c>
      <c r="AZ113" s="431">
        <f>((AI113/100+AJ113/100)*20)/1000*2</f>
      </c>
      <c r="BA113" s="439">
        <f>SUM(AL113:AN113,AP113:AS113)</f>
      </c>
      <c r="BB113" s="431">
        <f>SUM(AW113:AZ113)</f>
      </c>
      <c r="BC113" s="438">
        <f>SUM(AL113:AN113,AP113:AS113)</f>
      </c>
      <c r="BD113" s="439">
        <f>SUM(AT113:AV113)</f>
      </c>
      <c r="BE113" s="282">
        <f>$AZ$134+$BA$134</f>
      </c>
      <c r="BF113" s="440">
        <f>$BC$134+$BD$134</f>
      </c>
      <c r="BG113" s="431">
        <f>C113</f>
      </c>
      <c r="BH113" s="431">
        <f>D113+15</f>
      </c>
      <c r="BI113" s="441">
        <f>($AZ$134+$BA$134+$BC$134+$BD$134)*2</f>
      </c>
    </row>
    <row r="114" ht="15.75" customHeight="1" spans="2:61" x14ac:dyDescent="0.25">
      <c r="B114" s="238" t="s">
        <v>235</v>
      </c>
      <c r="C114" s="420">
        <v>476</v>
      </c>
      <c r="D114" s="420">
        <v>455</v>
      </c>
      <c r="E114" s="420">
        <v>495</v>
      </c>
      <c r="F114" s="420">
        <v>495</v>
      </c>
      <c r="G114" s="421">
        <f>технолог!U27</f>
      </c>
      <c r="H114" s="433">
        <f>(E114+15)*(F114+15)*G114*$G$93/1000*(технолог!$I$27)</f>
      </c>
      <c r="I114" s="401">
        <v>70</v>
      </c>
      <c r="J114" s="434">
        <f>I114+20</f>
      </c>
      <c r="K114" s="420">
        <f>$H$99+10</f>
      </c>
      <c r="L114" s="420">
        <f>J114*K114*$D$78*$G$93/1000*4</f>
      </c>
      <c r="M114" s="434">
        <f>I114+10</f>
      </c>
      <c r="N114" s="420">
        <f>$H$99+10</f>
      </c>
      <c r="O114" s="37">
        <f>M114*N114*$D$78*$G$93/1000*4</f>
      </c>
      <c r="P114" s="434">
        <f>C114+2*I114+10</f>
      </c>
      <c r="Q114" s="420">
        <f>D114+15+2*I114+10</f>
      </c>
      <c r="R114" s="420">
        <f>P114*Q114*$D$78*$G$93/1000*2</f>
      </c>
      <c r="S114" s="36">
        <v>16</v>
      </c>
      <c r="T114" s="435">
        <f>S114+10</f>
      </c>
      <c r="U114" s="400">
        <f>E125-49-49+6</f>
      </c>
      <c r="V114" s="436">
        <f>T114*U114*#REF!*D141/1000*8</f>
      </c>
      <c r="W114" s="400">
        <f>49+S114</f>
      </c>
      <c r="X114" s="400">
        <f>C114+S114*2</f>
      </c>
      <c r="Y114" s="436">
        <f>D114+S114*2</f>
      </c>
      <c r="Z114" s="36">
        <f>S114+5</f>
      </c>
      <c r="AA114">
        <f>($H$99+S114)*2+(C114+S114)*2</f>
      </c>
      <c r="AB114" s="37">
        <f>Z114*AA114*$D$78*$G$93/1000*2</f>
      </c>
      <c r="AC114" s="36">
        <f>S114+5</f>
      </c>
      <c r="AD114">
        <f>($H$99+S114)*2+(D114+15+S114)*2</f>
      </c>
      <c r="AE114" s="37">
        <f>AC114*AD114*$D$78*$G$93/1000*2</f>
      </c>
      <c r="AF114" s="36">
        <f>$H$99+S114+S114+3+10</f>
      </c>
      <c r="AG114">
        <f>C114+2*S114+10</f>
      </c>
      <c r="AH114" s="37">
        <f>AF114*AG114*$C$78*$G$96/1000*2</f>
      </c>
      <c r="AI114" s="36">
        <f>$H$99+S114+S114+3+10</f>
      </c>
      <c r="AJ114">
        <f>D114+15+2*S114+10</f>
      </c>
      <c r="AK114" s="37">
        <f>AI114*AJ114*$C$78*$G$96/1000*2</f>
      </c>
      <c r="AL114" s="431">
        <f>(технолог!$I$27/2*((5+6)*2+технолог!$T$27-0.5)+J114*2+K114)/1000*4</f>
      </c>
      <c r="AM114" s="431">
        <f>(M114*2+N114*2)/1000*4</f>
      </c>
      <c r="AN114" s="431">
        <f>(P114*2+Q114*2)/1000*2</f>
      </c>
      <c r="AO114" s="437">
        <f>(S114*2+T114*2)/1000*8</f>
      </c>
      <c r="AP114" s="431">
        <f>(AA114*2+S114*8)/1000*4</f>
      </c>
      <c r="AQ114" s="431">
        <f>(AD114*2+S114*8)/1000*4</f>
      </c>
      <c r="AR114" s="431">
        <f>((C114+20)*2+(50+I114)*2)/1000*($AO$105-1)</f>
      </c>
      <c r="AS114" s="438">
        <f>((D114)*2+(50+I114)*2)/1000*($AS$105-1)</f>
      </c>
      <c r="AT114" s="439">
        <f>(40*2+(C114+20)*2)/1000*($AO$105-1)</f>
      </c>
      <c r="AU114" s="431">
        <f>(40*2+(D114*2))/1000*($AS$105-1)</f>
      </c>
      <c r="AV114" s="438">
        <f>(C114*2+D114*2)*технолог!$I$27/1000</f>
      </c>
      <c r="AW114" s="439">
        <f>(AF114*2+AG114*2)*2/1000+AY114</f>
      </c>
      <c r="AX114" s="438">
        <f>(AI114*2+AJ114*2)*2/1000+AZ114</f>
      </c>
      <c r="AY114" s="439">
        <f>(AF114/100+AG114/100)*20/1000*2</f>
      </c>
      <c r="AZ114" s="431">
        <f>((AI114/100+AJ114/100)*20)/1000*2</f>
      </c>
      <c r="BA114" s="439">
        <f>SUM(AL114:AN114,AP114:AS114)</f>
      </c>
      <c r="BB114" s="431">
        <f>SUM(AW114:AZ114)</f>
      </c>
      <c r="BC114" s="438">
        <f>SUM(AL114:AN114,AP114:AS114)</f>
      </c>
      <c r="BD114" s="439">
        <f>SUM(AT114:AV114)</f>
      </c>
      <c r="BE114" s="282">
        <f>$AZ$134+$BA$134</f>
      </c>
      <c r="BF114" s="440">
        <f>$BC$134+$BD$134</f>
      </c>
      <c r="BG114" s="431">
        <f>C114</f>
      </c>
      <c r="BH114" s="431">
        <f>D114+15</f>
      </c>
      <c r="BI114" s="441">
        <f>($AZ$134+$BA$134+$BC$134+$BD$134)*2</f>
      </c>
    </row>
    <row r="115" ht="15.75" customHeight="1" spans="2:61" x14ac:dyDescent="0.25">
      <c r="B115" s="238" t="s">
        <v>229</v>
      </c>
      <c r="C115" s="420">
        <v>476</v>
      </c>
      <c r="D115" s="420">
        <v>240</v>
      </c>
      <c r="E115" s="420">
        <v>495</v>
      </c>
      <c r="F115" s="420">
        <v>246</v>
      </c>
      <c r="G115" s="421">
        <f>технолог!U27</f>
      </c>
      <c r="H115" s="433">
        <f>(E115+15)*(F115+15)*G115*$G$93/1000*(технолог!$I$27)</f>
      </c>
      <c r="I115" s="401">
        <v>70</v>
      </c>
      <c r="J115" s="434">
        <f>I115+20</f>
      </c>
      <c r="K115" s="420">
        <f>$H$99+10</f>
      </c>
      <c r="L115" s="420">
        <f>J115*K115*$D$78*$G$93/1000*4</f>
      </c>
      <c r="M115" s="434">
        <f>I115+10</f>
      </c>
      <c r="N115" s="420">
        <f>$H$99+10</f>
      </c>
      <c r="O115" s="37">
        <f>M115*N115*$D$78*$G$93/1000*4</f>
      </c>
      <c r="P115" s="434">
        <f>C115+2*I115+10</f>
      </c>
      <c r="Q115" s="420">
        <f>D115+15+2*I115+10</f>
      </c>
      <c r="R115" s="420">
        <f>P115*Q115*$D$78*$G$93/1000*2</f>
      </c>
      <c r="S115" s="36">
        <v>16</v>
      </c>
      <c r="T115" s="435">
        <f>S115+10</f>
      </c>
      <c r="U115" s="400">
        <f>E125-49-49+6</f>
      </c>
      <c r="V115" s="436">
        <f>T115*U115*#REF!*D141/1000*8</f>
      </c>
      <c r="W115" s="400">
        <f>49+S115</f>
      </c>
      <c r="X115" s="400">
        <f>C115+S115*2</f>
      </c>
      <c r="Y115" s="436">
        <f>D115+S115*2</f>
      </c>
      <c r="Z115" s="36">
        <f>S115+5</f>
      </c>
      <c r="AA115">
        <f>($H$99+S115)*2+(C115+S115)*2</f>
      </c>
      <c r="AB115" s="37">
        <f>Z115*AA115*$D$78*$G$93/1000*2</f>
      </c>
      <c r="AC115" s="36">
        <f>S115+5</f>
      </c>
      <c r="AD115">
        <f>($H$99+S115)*2+(D115+15+S115)*2</f>
      </c>
      <c r="AE115" s="37">
        <f>AC115*AD115*$D$78*$G$93/1000*2</f>
      </c>
      <c r="AF115" s="36">
        <f>$H$99+S115+S115+3+10</f>
      </c>
      <c r="AG115">
        <f>C115+2*S115+10</f>
      </c>
      <c r="AH115" s="37">
        <f>AF115*AG115*$C$78*$G$96/1000*2</f>
      </c>
      <c r="AI115" s="36">
        <f>$H$99+S115+S115+3+10</f>
      </c>
      <c r="AJ115">
        <f>D115+15+2*S115+10</f>
      </c>
      <c r="AK115" s="37">
        <f>AI115*AJ115*$C$78*$G$96/1000*2</f>
      </c>
      <c r="AL115" s="431">
        <f>(технолог!$I$27/2*((5+6)*2+технолог!$T$27-0.5)+J115*2+K115)/1000*4</f>
      </c>
      <c r="AM115" s="431">
        <f>(M115*2+N115*2)/1000*4</f>
      </c>
      <c r="AN115" s="431">
        <f>(P115*2+Q115*2)/1000*2</f>
      </c>
      <c r="AO115" s="437">
        <f>(S115*2+T115*2)/1000*8</f>
      </c>
      <c r="AP115" s="431">
        <f>(AA115*2+S115*8)/1000*4</f>
      </c>
      <c r="AQ115" s="431">
        <f>(AD115*2+S115*8)/1000*4</f>
      </c>
      <c r="AR115" s="431">
        <f>((C115+20)*2+(50+I115)*2)/1000*($AO$105-1)</f>
      </c>
      <c r="AS115" s="438">
        <f>((D115)*2+(50+I115)*2)/1000*($AS$105-1)</f>
      </c>
      <c r="AT115" s="439">
        <f>(40*2+(C115+20)*2)/1000*($AO$105-1)</f>
      </c>
      <c r="AU115" s="431">
        <f>(40*2+(D115*2))/1000*($AS$105-1)</f>
      </c>
      <c r="AV115" s="438">
        <f>(C115*2+D115*2)*технолог!$I$27/1000</f>
      </c>
      <c r="AW115" s="439">
        <f>(AF115*2+AG115*2)*2/1000+AY115</f>
      </c>
      <c r="AX115" s="438">
        <f>(AI115*2+AJ115*2)*2/1000+AZ115</f>
      </c>
      <c r="AY115" s="439">
        <f>(AF115/100+AG115/100)*20/1000*2</f>
      </c>
      <c r="AZ115" s="431">
        <f>((AI115/100+AJ115/100)*20)/1000*2</f>
      </c>
      <c r="BA115" s="439">
        <f>SUM(AL115:AN115,AP115:AS115)</f>
      </c>
      <c r="BB115" s="431">
        <f>SUM(AW115:AZ115)</f>
      </c>
      <c r="BC115" s="438">
        <f>SUM(AL115:AN115,AP115:AS115)</f>
      </c>
      <c r="BD115" s="439">
        <f>SUM(AT115:AV115)</f>
      </c>
      <c r="BE115" s="282">
        <f>$AZ$134+$BA$134</f>
      </c>
      <c r="BF115" s="440">
        <f>$BC$134+$BD$134</f>
      </c>
      <c r="BG115" s="431">
        <f>C115</f>
      </c>
      <c r="BH115" s="431">
        <f>D115+15</f>
      </c>
      <c r="BI115" s="441">
        <f>($AZ$134+$BA$134+$BC$134+$BD$134)*2</f>
      </c>
    </row>
    <row r="116" ht="15.75" customHeight="1" spans="2:61" x14ac:dyDescent="0.25">
      <c r="B116" s="238" t="s">
        <v>241</v>
      </c>
      <c r="C116" s="420">
        <v>595</v>
      </c>
      <c r="D116" s="420">
        <v>595</v>
      </c>
      <c r="E116" s="420">
        <v>615</v>
      </c>
      <c r="F116" s="420">
        <v>615</v>
      </c>
      <c r="G116" s="421">
        <f>технолог!U27</f>
      </c>
      <c r="H116" s="433">
        <f>(E116+15)*(F116+15)*G116*$G$93/1000*(технолог!$I$27)</f>
      </c>
      <c r="I116" s="401">
        <v>70</v>
      </c>
      <c r="J116" s="434">
        <f>I116+20</f>
      </c>
      <c r="K116" s="420">
        <f>$H$99+10</f>
      </c>
      <c r="L116" s="420">
        <f>J116*K116*$D$78*$G$93/1000*4</f>
      </c>
      <c r="M116" s="434">
        <f>I116+10</f>
      </c>
      <c r="N116" s="420">
        <f>$H$99+10</f>
      </c>
      <c r="O116" s="37">
        <f>M116*N116*$D$78*$G$93/1000*4</f>
      </c>
      <c r="P116" s="434">
        <f>C116+2*I116+10</f>
      </c>
      <c r="Q116" s="420">
        <f>D116+15+2*I116+10</f>
      </c>
      <c r="R116" s="420">
        <f>P116*Q116*$D$78*$G$93/1000*2</f>
      </c>
      <c r="S116" s="36">
        <v>16</v>
      </c>
      <c r="T116" s="435">
        <f>S116+10</f>
      </c>
      <c r="U116" s="400">
        <f>E125-49-49+6</f>
      </c>
      <c r="V116" s="436">
        <f>T116*U116*#REF!*D141/1000*8</f>
      </c>
      <c r="W116" s="400">
        <f>49+S116</f>
      </c>
      <c r="X116" s="400">
        <f>C116+S116*2</f>
      </c>
      <c r="Y116" s="436">
        <f>D116+S116*2</f>
      </c>
      <c r="Z116" s="36">
        <f>S116+5</f>
      </c>
      <c r="AA116">
        <f>($H$99+S116)*2+(C116+S116)*2</f>
      </c>
      <c r="AB116" s="37">
        <f>Z116*AA116*$D$78*$G$93/1000*2</f>
      </c>
      <c r="AC116" s="36">
        <f>S116+5</f>
      </c>
      <c r="AD116">
        <f>($H$99+S116)*2+(D116+15+S116)*2</f>
      </c>
      <c r="AE116" s="37">
        <f>AC116*AD116*$D$78*$G$93/1000*2</f>
      </c>
      <c r="AF116" s="36">
        <f>$H$99+S116+S116+3+10</f>
      </c>
      <c r="AG116">
        <f>C116+2*S116+10</f>
      </c>
      <c r="AH116" s="37">
        <f>AF116*AG116*$C$78*$G$96/1000*2</f>
      </c>
      <c r="AI116" s="36">
        <f>$H$99+S116+S116+3+10</f>
      </c>
      <c r="AJ116">
        <f>D116+15+2*S116+10</f>
      </c>
      <c r="AK116" s="37">
        <f>AI116*AJ116*$C$78*$G$96/1000*2</f>
      </c>
      <c r="AL116" s="431">
        <f>(технолог!$I$27/2*((5+6)*2+технолог!$T$27-0.5)+J116*2+K116)/1000*4</f>
      </c>
      <c r="AM116" s="431">
        <f>(M116*2+N116*2)/1000*4</f>
      </c>
      <c r="AN116" s="431">
        <f>(P116*2+Q116*2)/1000*2</f>
      </c>
      <c r="AO116" s="437">
        <f>(S116*2+T116*2)/1000*8</f>
      </c>
      <c r="AP116" s="431">
        <f>(AA116*2+S116*8)/1000*4</f>
      </c>
      <c r="AQ116" s="431">
        <f>(AD116*2+S116*8)/1000*4</f>
      </c>
      <c r="AR116" s="431">
        <f>((C116+20)*2+(50+I116)*2)/1000*($AO$105-1)</f>
      </c>
      <c r="AS116" s="438">
        <f>((D116)*2+(50+I116)*2)/1000*($AS$105-1)</f>
      </c>
      <c r="AT116" s="439">
        <f>(40*2+(C116+20)*2)/1000*($AO$105-1)</f>
      </c>
      <c r="AU116" s="431">
        <f>(40*2+(D116*2))/1000*($AS$105-1)</f>
      </c>
      <c r="AV116" s="438">
        <f>(C116*2+D116*2)*технолог!$I$27/1000</f>
      </c>
      <c r="AW116" s="439">
        <f>(AF116*2+AG116*2)*2/1000+AY116</f>
      </c>
      <c r="AX116" s="438">
        <f>(AI116*2+AJ116*2)*2/1000+AZ116</f>
      </c>
      <c r="AY116" s="439">
        <f>(AF116/100+AG116/100)*20/1000*2</f>
      </c>
      <c r="AZ116" s="431">
        <f>((AI116/100+AJ116/100)*20)/1000*2</f>
      </c>
      <c r="BA116" s="439">
        <f>SUM(AL116:AN116,AP116:AS116)</f>
      </c>
      <c r="BB116" s="431">
        <f>SUM(AW116:AZ116)</f>
      </c>
      <c r="BC116" s="438">
        <f>SUM(AL116:AN116,AP116:AS116)</f>
      </c>
      <c r="BD116" s="439">
        <f>SUM(AT116:AV116)</f>
      </c>
      <c r="BE116" s="282">
        <f>$AZ$134+$BA$134</f>
      </c>
      <c r="BF116" s="440">
        <f>$BC$134+$BD$134</f>
      </c>
      <c r="BG116" s="431">
        <f>C116</f>
      </c>
      <c r="BH116" s="431">
        <f>D116+15</f>
      </c>
      <c r="BI116" s="441">
        <f>($AZ$134+$BA$134+$BC$134+$BD$134)*2</f>
      </c>
    </row>
    <row r="117" ht="15.75" customHeight="1" spans="2:61" x14ac:dyDescent="0.25">
      <c r="B117" s="238" t="s">
        <v>244</v>
      </c>
      <c r="C117" s="420">
        <v>595</v>
      </c>
      <c r="D117" s="420">
        <v>295</v>
      </c>
      <c r="E117" s="420">
        <v>615</v>
      </c>
      <c r="F117" s="420">
        <v>303</v>
      </c>
      <c r="G117" s="421">
        <f>технолог!U27</f>
      </c>
      <c r="H117" s="433">
        <f>(E117+15)*(F117+15)*G117*$G$93/1000*(технолог!$I$27)</f>
      </c>
      <c r="I117" s="401">
        <v>70</v>
      </c>
      <c r="J117" s="434">
        <f>I117+20</f>
      </c>
      <c r="K117" s="420">
        <f>$H$99+10</f>
      </c>
      <c r="L117" s="420">
        <f>J117*K117*$D$78*$G$93/1000*4</f>
      </c>
      <c r="M117" s="434">
        <f>I117+10</f>
      </c>
      <c r="N117" s="420">
        <f>$H$99+10</f>
      </c>
      <c r="O117" s="37">
        <f>M117*N117*$D$78*$G$93/1000*4</f>
      </c>
      <c r="P117" s="434">
        <f>C117+2*I117+10</f>
      </c>
      <c r="Q117" s="420">
        <f>D117+15+2*I117+10</f>
      </c>
      <c r="R117" s="420">
        <f>P117*Q117*$D$78*$G$93/1000*2</f>
      </c>
      <c r="S117" s="36">
        <v>16</v>
      </c>
      <c r="T117" s="435">
        <f>S117+10</f>
      </c>
      <c r="U117" s="400">
        <f>E125-49-49+6</f>
      </c>
      <c r="V117" s="436">
        <f>T117*U117*#REF!*D141/1000*8</f>
      </c>
      <c r="W117" s="400">
        <f>49+S117</f>
      </c>
      <c r="X117" s="400">
        <f>C117+S117*2</f>
      </c>
      <c r="Y117" s="436">
        <f>D117+S117*2</f>
      </c>
      <c r="Z117" s="36">
        <f>S117+5</f>
      </c>
      <c r="AA117">
        <f>($H$99+S117)*2+(C117+S117)*2</f>
      </c>
      <c r="AB117" s="37">
        <f>Z117*AA117*$D$78*$G$93/1000*2</f>
      </c>
      <c r="AC117" s="36">
        <f>S117+5</f>
      </c>
      <c r="AD117">
        <f>($H$99+S117)*2+(D117+15+S117)*2</f>
      </c>
      <c r="AE117" s="37">
        <f>AC117*AD117*$D$78*$G$93/1000*2</f>
      </c>
      <c r="AF117" s="36">
        <f>$H$99+S117+S117+3+10</f>
      </c>
      <c r="AG117">
        <f>C117+2*S117+10</f>
      </c>
      <c r="AH117" s="37">
        <f>AF117*AG117*$C$78*$G$96/1000*2</f>
      </c>
      <c r="AI117" s="36">
        <f>$H$99+S117+S117+3+10</f>
      </c>
      <c r="AJ117">
        <f>D117+15+2*S117+10</f>
      </c>
      <c r="AK117" s="37">
        <f>AI117*AJ117*$C$78*$G$96/1000*2</f>
      </c>
      <c r="AL117" s="431">
        <f>(технолог!$I$27/2*((5+6)*2+технолог!$T$27-0.5)+J117*2+K117)/1000*4</f>
      </c>
      <c r="AM117" s="431">
        <f>(M117*2+N117*2)/1000*4</f>
      </c>
      <c r="AN117" s="431">
        <f>(P117*2+Q117*2)/1000*2</f>
      </c>
      <c r="AO117" s="437">
        <f>(S117*2+T117*2)/1000*8</f>
      </c>
      <c r="AP117" s="431">
        <f>(AA117*2+S117*8)/1000*4</f>
      </c>
      <c r="AQ117" s="431">
        <f>(AD117*2+S117*8)/1000*4</f>
      </c>
      <c r="AR117" s="431">
        <f>((C117+20)*2+(50+I117)*2)/1000*($AO$105-1)</f>
      </c>
      <c r="AS117" s="438">
        <f>((D117)*2+(50+I117)*2)/1000*($AS$105-1)</f>
      </c>
      <c r="AT117" s="439">
        <f>(40*2+(C117+20)*2)/1000*($AO$105-1)</f>
      </c>
      <c r="AU117" s="431">
        <f>(40*2+(D117*2))/1000*($AS$105-1)</f>
      </c>
      <c r="AV117" s="438">
        <f>(C117*2+D117*2)*технолог!$I$27/1000</f>
      </c>
      <c r="AW117" s="439">
        <f>(AF117*2+AG117*2)*2/1000+AY117</f>
      </c>
      <c r="AX117" s="438">
        <f>(AI117*2+AJ117*2)*2/1000+AZ117</f>
      </c>
      <c r="AY117" s="439">
        <f>(AF117/100+AG117/100)*20/1000*2</f>
      </c>
      <c r="AZ117" s="431">
        <f>((AI117/100+AJ117/100)*20)/1000*2</f>
      </c>
      <c r="BA117" s="439">
        <f>SUM(AL117:AN117,AP117:AS117)</f>
      </c>
      <c r="BB117" s="431">
        <f>SUM(AW117:AZ117)</f>
      </c>
      <c r="BC117" s="438">
        <f>SUM(AL117:AN117,AP117:AS117)</f>
      </c>
      <c r="BD117" s="439">
        <f>SUM(AT117:AV117)</f>
      </c>
      <c r="BE117" s="282">
        <f>$AZ$134+$BA$134</f>
      </c>
      <c r="BF117" s="440">
        <f>$BC$134+$BD$134</f>
      </c>
      <c r="BG117" s="431">
        <f>C117</f>
      </c>
      <c r="BH117" s="431">
        <f>D117+15</f>
      </c>
      <c r="BI117" s="441">
        <f>($AZ$134+$BA$134+$BC$134+$BD$134)*2</f>
      </c>
    </row>
    <row r="118" ht="15.75" customHeight="1" spans="2:61" x14ac:dyDescent="0.25">
      <c r="B118" s="238" t="s">
        <v>27</v>
      </c>
      <c r="C118" s="420">
        <v>732</v>
      </c>
      <c r="D118" s="420">
        <v>715</v>
      </c>
      <c r="E118" s="420">
        <v>745</v>
      </c>
      <c r="F118" s="420">
        <v>745</v>
      </c>
      <c r="G118" s="421">
        <f>технолог!U27</f>
      </c>
      <c r="H118" s="433">
        <f>(E118+15)*(F118+15)*G118*$G$93/1000*(технолог!$I$27)</f>
      </c>
      <c r="I118" s="401">
        <v>110</v>
      </c>
      <c r="J118" s="434">
        <f>I118+20</f>
      </c>
      <c r="K118" s="420">
        <f>$H$99+10</f>
      </c>
      <c r="L118" s="420">
        <f>J118*K118*$D$78*$G$93/1000*4</f>
      </c>
      <c r="M118" s="434">
        <f>I118+10</f>
      </c>
      <c r="N118" s="420">
        <f>$H$99+10</f>
      </c>
      <c r="O118" s="37">
        <f>M118*N118*$D$78*$G$93/1000*4</f>
      </c>
      <c r="P118" s="434">
        <f>C118+2*I118+10</f>
      </c>
      <c r="Q118" s="420">
        <f>D118+15+2*I118+10</f>
      </c>
      <c r="R118" s="420">
        <f>P118*Q118*$D$78*$G$93/1000*2</f>
      </c>
      <c r="S118" s="36">
        <v>25</v>
      </c>
      <c r="T118" s="435">
        <f>S118+10</f>
      </c>
      <c r="U118" s="400">
        <f>E125-49-49+6</f>
      </c>
      <c r="V118" s="436">
        <f>T118*U118*#REF!*D141/1000*8</f>
      </c>
      <c r="W118" s="400">
        <f>49+S118</f>
      </c>
      <c r="X118" s="400">
        <f>C118+S118*2</f>
      </c>
      <c r="Y118" s="436">
        <f>D118+S118*2</f>
      </c>
      <c r="Z118" s="36">
        <f>S118+5</f>
      </c>
      <c r="AA118">
        <f>($H$99+S118)*2+(C118+S118)*2</f>
      </c>
      <c r="AB118" s="37">
        <f>Z118*AA118*$D$78*$G$93/1000*2</f>
      </c>
      <c r="AC118" s="36">
        <f>S118+5</f>
      </c>
      <c r="AD118">
        <f>($H$99+S118)*2+(D118+15+S118)*2</f>
      </c>
      <c r="AE118" s="37">
        <f>AC118*AD118*$D$78*$G$93/1000*2</f>
      </c>
      <c r="AF118" s="36">
        <f>$H$99+S118+S118+3+10</f>
      </c>
      <c r="AG118">
        <f>C118+2*S118+10</f>
      </c>
      <c r="AH118" s="37">
        <f>AF118*AG118*$C$78*$G$96/1000*2</f>
      </c>
      <c r="AI118" s="36">
        <f>$H$99+S118+S118+3+10</f>
      </c>
      <c r="AJ118">
        <f>D118+15+2*S118+10</f>
      </c>
      <c r="AK118" s="37">
        <f>AI118*AJ118*$C$78*$G$96/1000*2</f>
      </c>
      <c r="AL118" s="431">
        <f>(технолог!$I$27/2*((5+6)*2+технолог!$T$27-0.5)+J118*2+K118)/1000*4</f>
      </c>
      <c r="AM118" s="431">
        <f>(M118*2+N118*2)/1000*4</f>
      </c>
      <c r="AN118" s="431">
        <f>(P118*2+Q118*2)/1000*2</f>
      </c>
      <c r="AO118" s="437">
        <f>(S118*2+T118*2)/1000*8</f>
      </c>
      <c r="AP118" s="431">
        <f>(AA118*2+S118*8)/1000*4</f>
      </c>
      <c r="AQ118" s="431">
        <f>(AD118*2+S118*8)/1000*4</f>
      </c>
      <c r="AR118" s="431">
        <f>((C118+20)*2+(50+I118)*2)/1000*($AO$105-1)</f>
      </c>
      <c r="AS118" s="438">
        <f>((D118)*2+(50+I118)*2)/1000*($AS$105-1)</f>
      </c>
      <c r="AT118" s="439">
        <f>(40*2+(C118+20)*2)/1000*($AO$105-1)</f>
      </c>
      <c r="AU118" s="431">
        <f>(40*2+(D118*2))/1000*($AS$105-1)</f>
      </c>
      <c r="AV118" s="438">
        <f>(C118*2+D118*2)*технолог!$I$27/1000</f>
      </c>
      <c r="AW118" s="439">
        <f>(AF118*2+AG118*2)*2/1000+AY118</f>
      </c>
      <c r="AX118" s="438">
        <f>(AI118*2+AJ118*2)*2/1000+AZ118</f>
      </c>
      <c r="AY118" s="439">
        <f>(AF118/100+AG118/100)*20/1000*2</f>
      </c>
      <c r="AZ118" s="431">
        <f>((AI118/100+AJ118/100)*20)/1000*2</f>
      </c>
      <c r="BA118" s="439">
        <f>SUM(AL118:AN118,AP118:AS118)</f>
      </c>
      <c r="BB118" s="431">
        <f>SUM(AW118:AZ118)</f>
      </c>
      <c r="BC118" s="438">
        <f>SUM(AL118:AN118,AP118:AS118)</f>
      </c>
      <c r="BD118" s="439">
        <f>SUM(AT118:AV118)</f>
      </c>
      <c r="BE118" s="282">
        <f>$AZ$134+$BA$134</f>
      </c>
      <c r="BF118" s="440">
        <f>$BC$134+$BD$134</f>
      </c>
      <c r="BG118" s="431">
        <f>C118</f>
      </c>
      <c r="BH118" s="431">
        <f>D118+15</f>
      </c>
      <c r="BI118" s="441">
        <f>($AZ$134+$BA$134+$BC$134+$BD$134)*2</f>
      </c>
    </row>
    <row r="119" ht="15.75" customHeight="1" spans="2:61" x14ac:dyDescent="0.25">
      <c r="B119" s="238" t="s">
        <v>252</v>
      </c>
      <c r="C119" s="420">
        <v>980</v>
      </c>
      <c r="D119" s="420">
        <v>480</v>
      </c>
      <c r="E119" s="420">
        <v>1000</v>
      </c>
      <c r="F119" s="420">
        <v>500</v>
      </c>
      <c r="G119" s="421">
        <f>технолог!U27</f>
      </c>
      <c r="H119" s="433">
        <f>(E119+15)*(F119+15)*G119*$G$93/1000*(технолог!$I$27)</f>
      </c>
      <c r="I119" s="401">
        <v>70</v>
      </c>
      <c r="J119" s="434">
        <f>I119+20</f>
      </c>
      <c r="K119" s="420">
        <f>$H$99+10</f>
      </c>
      <c r="L119" s="420">
        <f>J119*K119*$D$78*$G$93/1000*4</f>
      </c>
      <c r="M119" s="434">
        <f>I119+10</f>
      </c>
      <c r="N119" s="420">
        <f>$H$99+10</f>
      </c>
      <c r="O119" s="37">
        <f>M119*N119*$D$78*$G$93/1000*4</f>
      </c>
      <c r="P119" s="434">
        <f>C119+2*I119+10</f>
      </c>
      <c r="Q119" s="420">
        <f>D119+15+2*I119+10</f>
      </c>
      <c r="R119" s="420">
        <f>P119*Q119*$D$78*$G$93/1000*2</f>
      </c>
      <c r="S119" s="36">
        <v>16</v>
      </c>
      <c r="T119" s="435">
        <f>S119+10</f>
      </c>
      <c r="U119" s="400">
        <f>E125-49-49+6</f>
      </c>
      <c r="V119" s="436">
        <f>T119*U119*#REF!*D141/1000*8</f>
      </c>
      <c r="W119" s="400">
        <f>49+S119</f>
      </c>
      <c r="X119" s="400">
        <f>C119+S119*2</f>
      </c>
      <c r="Y119" s="436">
        <f>D119+S119*2</f>
      </c>
      <c r="Z119" s="36">
        <f>S119+5</f>
      </c>
      <c r="AA119">
        <f>($H$99+S119)*2+(C119+S119)*2</f>
      </c>
      <c r="AB119" s="37">
        <f>Z119*AA119*$D$78*$G$93/1000*2</f>
      </c>
      <c r="AC119" s="36">
        <f>S119+5</f>
      </c>
      <c r="AD119">
        <f>($H$99+S119)*2+(D119+15+S119)*2</f>
      </c>
      <c r="AE119" s="37">
        <f>AC119*AD119*$D$78*$G$93/1000*2</f>
      </c>
      <c r="AF119" s="36">
        <f>$H$99+S119+S119+3+10</f>
      </c>
      <c r="AG119">
        <f>C119+2*S119+10</f>
      </c>
      <c r="AH119" s="37">
        <f>AF119*AG119*$C$78*$G$96/1000*2</f>
      </c>
      <c r="AI119" s="36">
        <f>$H$99+S119+S119+3+10</f>
      </c>
      <c r="AJ119">
        <f>D119+15+2*S119+10</f>
      </c>
      <c r="AK119" s="37">
        <f>AI119*AJ119*$C$78*$G$96/1000*2</f>
      </c>
      <c r="AL119" s="431">
        <f>(технолог!$I$27/2*((5+6)*2+технолог!$T$27-0.5)+J119*2+K119)/1000*4</f>
      </c>
      <c r="AM119" s="431">
        <f>(M119*2+N119*2)/1000*4</f>
      </c>
      <c r="AN119" s="431">
        <f>(P119*2+Q119*2)/1000*2</f>
      </c>
      <c r="AO119" s="437">
        <f>(S119*2+T119*2)/1000*8</f>
      </c>
      <c r="AP119" s="431">
        <f>(AA119*2+S119*8)/1000*4</f>
      </c>
      <c r="AQ119" s="431">
        <f>(AD119*2+S119*8)/1000*4</f>
      </c>
      <c r="AR119" s="431">
        <f>((C119+20)*2+(50+I119)*2)/1000*($AO$105-1)</f>
      </c>
      <c r="AS119" s="438">
        <f>((D119)*2+(50+I119)*2)/1000*($AS$105-1)</f>
      </c>
      <c r="AT119" s="439">
        <f>(40*2+(C119+20)*2)/1000*($AO$105-1)</f>
      </c>
      <c r="AU119" s="431">
        <f>(40*2+(D119*2))/1000*($AS$105-1)</f>
      </c>
      <c r="AV119" s="438">
        <f>(C119*2+D119*2)*технолог!$I$27/1000</f>
      </c>
      <c r="AW119" s="439">
        <f>(AF119*2+AG119*2)*2/1000+AY119</f>
      </c>
      <c r="AX119" s="438">
        <f>(AI119*2+AJ119*2)*2/1000+AZ119</f>
      </c>
      <c r="AY119" s="439">
        <f>(AF119/100+AG119/100)*20/1000*2</f>
      </c>
      <c r="AZ119" s="431">
        <f>((AI119/100+AJ119/100)*20)/1000*2</f>
      </c>
      <c r="BA119" s="439">
        <f>SUM(AL119:AN119,AP119:AS119)</f>
      </c>
      <c r="BB119" s="431">
        <f>SUM(AW119:AZ119)</f>
      </c>
      <c r="BC119" s="438">
        <f>SUM(AL119:AN119,AP119:AS119)</f>
      </c>
      <c r="BD119" s="439">
        <f>SUM(AT119:AV119)</f>
      </c>
      <c r="BE119" s="282">
        <f>$AZ$134+$BA$134</f>
      </c>
      <c r="BF119" s="440">
        <f>$BC$134+$BD$134</f>
      </c>
      <c r="BG119" s="431">
        <f>C119</f>
      </c>
      <c r="BH119" s="431">
        <f>D119+15</f>
      </c>
      <c r="BI119" s="441">
        <f>($AZ$134+$BA$134+$BC$134+$BD$134)*2</f>
      </c>
    </row>
    <row r="120" ht="15.75" customHeight="1" spans="2:61" x14ac:dyDescent="0.25">
      <c r="B120" s="238" t="s">
        <v>248</v>
      </c>
      <c r="C120" s="420">
        <v>980</v>
      </c>
      <c r="D120" s="420">
        <v>965</v>
      </c>
      <c r="E120" s="420">
        <v>1000</v>
      </c>
      <c r="F120" s="420">
        <v>1000</v>
      </c>
      <c r="G120" s="421">
        <f>технолог!U27</f>
      </c>
      <c r="H120" s="433">
        <f>(E120+15)*(F120+15)*G120*$G$93/1000*(технолог!$I$27)</f>
      </c>
      <c r="I120" s="401">
        <v>130</v>
      </c>
      <c r="J120" s="434">
        <f>I120+20</f>
      </c>
      <c r="K120" s="420">
        <f>$H$99+10</f>
      </c>
      <c r="L120" s="420">
        <f>J120*K120*$D$78*$G$93/1000*4</f>
      </c>
      <c r="M120" s="434">
        <f>I120+10</f>
      </c>
      <c r="N120" s="420">
        <f>$H$99+10</f>
      </c>
      <c r="O120" s="37">
        <f>M120*N120*$D$78*$G$93/1000*4</f>
      </c>
      <c r="P120" s="434">
        <f>C120+2*I120+10</f>
      </c>
      <c r="Q120" s="420">
        <f>D120+15+2*I120+10</f>
      </c>
      <c r="R120" s="420">
        <f>P120*Q120*$D$78*$G$93/1000*2</f>
      </c>
      <c r="S120" s="36">
        <v>30</v>
      </c>
      <c r="T120" s="435">
        <f>S120+10</f>
      </c>
      <c r="U120" s="400"/>
      <c r="V120" s="436"/>
      <c r="W120" s="400">
        <f>49+S120</f>
      </c>
      <c r="X120" s="400">
        <f>C120+S120*2</f>
      </c>
      <c r="Y120" s="436">
        <f>D120+S120*2</f>
      </c>
      <c r="Z120" s="36">
        <f>S120+5</f>
      </c>
      <c r="AA120">
        <f>($H$99+S120)*2+(C120+S120)*2</f>
      </c>
      <c r="AB120" s="37">
        <f>Z120*AA120*$D$78*$G$93/1000*2</f>
      </c>
      <c r="AC120" s="36">
        <f>S120+5</f>
      </c>
      <c r="AD120">
        <f>($H$99+S120)*2+(D120+15+S120)*2</f>
      </c>
      <c r="AE120" s="37">
        <f>AC120*AD120*$D$78*$G$93/1000*2</f>
      </c>
      <c r="AF120" s="36">
        <f>$H$99+S120+S120+3+10</f>
      </c>
      <c r="AG120">
        <f>C120+2*S120+10</f>
      </c>
      <c r="AH120" s="37">
        <f>AF120*AG120*$C$78*$G$96/1000*2</f>
      </c>
      <c r="AI120" s="36">
        <f>$H$99+S120+S120+3+10</f>
      </c>
      <c r="AJ120">
        <f>D120+15+2*S120+10</f>
      </c>
      <c r="AK120" s="37">
        <f>AI120*AJ120*$C$78*$G$96/1000*2</f>
      </c>
      <c r="AL120" s="431">
        <f>(технолог!$I$27/2*((5+6)*2+технолог!$T$27-0.5)+J120*2+K120)/1000*4</f>
      </c>
      <c r="AM120" s="431">
        <f>(M120*2+N120*2)/1000*4</f>
      </c>
      <c r="AN120" s="431">
        <f>(P120*2+Q120*2)/1000*2</f>
      </c>
      <c r="AO120" s="437">
        <f>(S120*2+T120*2)/1000*8</f>
      </c>
      <c r="AP120" s="431">
        <f>(AA120*2+S120*8)/1000*4</f>
      </c>
      <c r="AQ120" s="431">
        <f>(AD120*2+S120*8)/1000*4</f>
      </c>
      <c r="AR120" s="431">
        <f>((C120+20)*2+(50+I120)*2)/1000*($AO$105-1)</f>
      </c>
      <c r="AS120" s="438">
        <f>((D120)*2+(50+I120)*2)/1000*($AS$105-1)</f>
      </c>
      <c r="AT120" s="439">
        <f>(40*2+(C120+20)*2)/1000*($AO$105-1)</f>
      </c>
      <c r="AU120" s="431">
        <f>(40*2+(D120*2))/1000*($AS$105-1)</f>
      </c>
      <c r="AV120" s="438">
        <f>(C120*2+D120*2)*технолог!$I$27/1000</f>
      </c>
      <c r="AW120" s="439">
        <f>(AF120*2+AG120*2)*2/1000+AY120</f>
      </c>
      <c r="AX120" s="438">
        <f>(AI120*2+AJ120*2)*2/1000+AZ120</f>
      </c>
      <c r="AY120" s="439">
        <f>(AF120/100+AG120/100)*20/1000*2</f>
      </c>
      <c r="AZ120" s="431">
        <f>((AI120/100+AJ120/100)*20)/1000*2</f>
      </c>
      <c r="BA120" s="439">
        <f>SUM(AL120:AN120,AP120:AS120)</f>
      </c>
      <c r="BB120" s="431">
        <f>SUM(AW120:AZ120)</f>
      </c>
      <c r="BC120" s="438">
        <f>SUM(AL120:AN120,AP120:AS120)</f>
      </c>
      <c r="BD120" s="439">
        <f>SUM(AT120:AV120)</f>
      </c>
      <c r="BE120" s="282">
        <f>$AZ$134+$BA$134</f>
      </c>
      <c r="BF120" s="440">
        <f>$BC$134+$BD$134</f>
      </c>
      <c r="BG120" s="431">
        <f>C120</f>
      </c>
      <c r="BH120" s="431">
        <f>D120+15</f>
      </c>
      <c r="BI120" s="441">
        <f>($AZ$134+$BA$134+$BC$134+$BD$134)*2</f>
      </c>
    </row>
    <row r="121" ht="15.75" customHeight="1" spans="2:61" x14ac:dyDescent="0.25">
      <c r="B121" s="238" t="s">
        <v>257</v>
      </c>
      <c r="C121" s="420">
        <v>1180</v>
      </c>
      <c r="D121" s="420">
        <v>1160</v>
      </c>
      <c r="E121" s="420">
        <v>1250</v>
      </c>
      <c r="F121" s="420">
        <v>1200</v>
      </c>
      <c r="G121" s="421">
        <f>технолог!U27</f>
      </c>
      <c r="H121" s="433">
        <f>(E121+15)*(F121+15)*G121*$G$93/1000*(технолог!$I$27)</f>
      </c>
      <c r="I121" s="401">
        <v>180</v>
      </c>
      <c r="J121" s="434">
        <f>I121+20</f>
      </c>
      <c r="K121" s="420">
        <f>$H$99+10</f>
      </c>
      <c r="L121" s="420">
        <f>J121*K121*$D$78*$G$93/1000*4</f>
      </c>
      <c r="M121" s="434">
        <f>I121+10</f>
      </c>
      <c r="N121" s="420">
        <f>$H$99+10</f>
      </c>
      <c r="O121" s="37">
        <f>M121*N121*$D$78*$G$93/1000*4</f>
      </c>
      <c r="P121" s="434">
        <f>C121+2*I121+10</f>
      </c>
      <c r="Q121" s="420">
        <f>D121+15+2*I121+10</f>
      </c>
      <c r="R121" s="420">
        <f>P121*Q121*$D$78*$G$93/1000*2</f>
      </c>
      <c r="S121" s="36">
        <v>35</v>
      </c>
      <c r="T121" s="435">
        <f>S121+10</f>
      </c>
      <c r="U121" s="400">
        <f>E125-49-49+6</f>
      </c>
      <c r="V121" s="436">
        <f>T121*U121*#REF!*$F$181/1000*8</f>
      </c>
      <c r="W121" s="400">
        <f>49+S121</f>
      </c>
      <c r="X121" s="400">
        <f>C121+S121*2</f>
      </c>
      <c r="Y121" s="436">
        <f>D121+S121*2</f>
      </c>
      <c r="Z121" s="36">
        <f>S121+5</f>
      </c>
      <c r="AA121">
        <f>($H$99+S121)*2+(C121+S121)*2</f>
      </c>
      <c r="AB121" s="37">
        <f>Z121*AA121*$D$78*$G$93/1000*2</f>
      </c>
      <c r="AC121" s="36">
        <f>S121+5</f>
      </c>
      <c r="AD121">
        <f>($H$99+S121)*2+(D121+15+S121)*2</f>
      </c>
      <c r="AE121" s="37">
        <f>AC121*AD121*$D$78*$G$93/1000*2</f>
      </c>
      <c r="AF121" s="36">
        <f>$H$99+S121+S121+3+10</f>
      </c>
      <c r="AG121">
        <f>C121+2*S121+10</f>
      </c>
      <c r="AH121" s="37">
        <f>AF121*AG121*$C$78*$G$96/1000*2</f>
      </c>
      <c r="AI121" s="36">
        <f>$H$99+S121+S121+3+10</f>
      </c>
      <c r="AJ121">
        <f>D121+15+2*S121+10</f>
      </c>
      <c r="AK121" s="37">
        <f>AI121*AJ121*$C$78*$G$96/1000*2</f>
      </c>
      <c r="AL121" s="431">
        <f>(технолог!$I$27/2*((5+6)*2+технолог!$T$27-0.5)+J121*2+K121)/1000*4</f>
      </c>
      <c r="AM121" s="431">
        <f>(M121*2+N121*2)/1000*4</f>
      </c>
      <c r="AN121" s="431">
        <f>(P121*2+Q121*2)/1000*2</f>
      </c>
      <c r="AO121" s="437">
        <f>(S121*2+T121*2)/1000*8</f>
      </c>
      <c r="AP121" s="431">
        <f>(AA121*2+S121*8)/1000*4</f>
      </c>
      <c r="AQ121" s="431">
        <f>(AD121*2+S121*8)/1000*4</f>
      </c>
      <c r="AR121" s="431">
        <f>((C121+20)*2+(50+I121)*2)/1000*($AO$105-1)</f>
      </c>
      <c r="AS121" s="438">
        <f>((D121)*2+(50+I121)*2)/1000*($AS$105-1)</f>
      </c>
      <c r="AT121" s="439">
        <f>(40*2+(C121+20)*2)/1000*($AO$105-1)</f>
      </c>
      <c r="AU121" s="431">
        <f>(40*2+(D121*2))/1000*($AS$105-1)</f>
      </c>
      <c r="AV121" s="438">
        <f>(C121*2+D121*2)*технолог!$I$27/1000</f>
      </c>
      <c r="AW121" s="439">
        <f>(AF121*2+AG121*2)*2/1000+AY121</f>
      </c>
      <c r="AX121" s="438">
        <f>(AI121*2+AJ121*2)*2/1000+AZ121</f>
      </c>
      <c r="AY121" s="439">
        <f>(AF121/100+AG121/100)*20/1000*2</f>
      </c>
      <c r="AZ121" s="431">
        <f>((AI121/100+AJ121/100)*20)/1000*2</f>
      </c>
      <c r="BA121" s="439">
        <f>SUM(AL121:AN121,AP121:AS121)</f>
      </c>
      <c r="BB121" s="431">
        <f>SUM(AW121:AZ121)</f>
      </c>
      <c r="BC121" s="438">
        <f>SUM(AL121:AN121,AP121:AS121)</f>
      </c>
      <c r="BD121" s="439">
        <f>SUM(AT121:AV121)</f>
      </c>
      <c r="BE121" s="282">
        <f>$AZ$134+$BA$134</f>
      </c>
      <c r="BF121" s="440">
        <f>$BC$134+$BD$134</f>
      </c>
      <c r="BG121" s="431">
        <f>C121</f>
      </c>
      <c r="BH121" s="431">
        <f>D121+15</f>
      </c>
      <c r="BI121" s="441">
        <f>($AZ$134+$BA$134+$BC$134+$BD$134)*2</f>
      </c>
    </row>
    <row r="122" ht="15.75" customHeight="1" spans="2:61" x14ac:dyDescent="0.25">
      <c r="B122" s="442" t="s">
        <v>260</v>
      </c>
      <c r="C122" s="443">
        <v>1180</v>
      </c>
      <c r="D122" s="443">
        <v>595</v>
      </c>
      <c r="E122" s="443">
        <v>1250</v>
      </c>
      <c r="F122" s="443">
        <v>620</v>
      </c>
      <c r="G122" s="444">
        <f>технолог!U27</f>
      </c>
      <c r="H122" s="445">
        <f>(E122+15)*(F122+15)*G122*$G$93/1000*(технолог!$I$27)</f>
      </c>
      <c r="I122" s="401">
        <v>180</v>
      </c>
      <c r="J122" s="446">
        <f>I122+20</f>
      </c>
      <c r="K122" s="443">
        <f>$H$99+10</f>
      </c>
      <c r="L122" s="443">
        <f>J122*K122*$D$78*$G$93/1000*4</f>
      </c>
      <c r="M122" s="446">
        <f>I122+10</f>
      </c>
      <c r="N122" s="443">
        <f>$H$99+10</f>
      </c>
      <c r="O122" s="58">
        <f>M122*N122*$D$78*$G$93/1000*4</f>
      </c>
      <c r="P122" s="446">
        <f>C122+2*I122+10</f>
      </c>
      <c r="Q122" s="443">
        <f>D122+15+2*I122+10</f>
      </c>
      <c r="R122" s="443">
        <f>P122*Q122*$D$78*$G$93/1000*2</f>
      </c>
      <c r="S122" s="56">
        <v>35</v>
      </c>
      <c r="T122" s="447">
        <f>S122+10</f>
      </c>
      <c r="U122" s="448">
        <f>E125-49-49+6</f>
      </c>
      <c r="V122" s="449">
        <f>T122*U122*#REF!*D141/1000*8</f>
      </c>
      <c r="W122" s="448">
        <f>49+S122</f>
      </c>
      <c r="X122" s="448">
        <f>C122+S122*2</f>
      </c>
      <c r="Y122" s="449">
        <f>D122+S122*2</f>
      </c>
      <c r="Z122" s="56">
        <f>S122+5</f>
      </c>
      <c r="AA122" s="57">
        <f>($H$99+S122)*2+(C122+S122)*2</f>
      </c>
      <c r="AB122" s="58">
        <f>Z122*AA122*$D$78*$G$93/1000*2</f>
      </c>
      <c r="AC122" s="56">
        <f>S122+5</f>
      </c>
      <c r="AD122" s="57">
        <f>($H$99+S122)*2+(D122+15+S122)*2</f>
      </c>
      <c r="AE122" s="58">
        <f>AC122*AD122*$D$78*$G$93/1000*2</f>
      </c>
      <c r="AF122" s="56">
        <f>$H$99+S122+S122+3+10</f>
      </c>
      <c r="AG122" s="57">
        <f>C122+2*S122+10</f>
      </c>
      <c r="AH122" s="58">
        <f>AF122*AG122*$C$78*$G$96/1000*2</f>
      </c>
      <c r="AI122" s="56">
        <f>$H$99+S122+S122+3+10</f>
      </c>
      <c r="AJ122" s="57">
        <f>D122+15+2*S122+10</f>
      </c>
      <c r="AK122" s="58">
        <f>AI122*AJ122*$C$78*$G$96/1000*2</f>
      </c>
      <c r="AL122" s="450">
        <f>(технолог!$I$27/2*((5+6)*2+технолог!$T$27-0.5)+J122*2+K122)/1000*4</f>
      </c>
      <c r="AM122" s="450">
        <f>(M122*2+N122*2)/1000*4</f>
      </c>
      <c r="AN122" s="450">
        <f>(P122*2+Q122*2)/1000*2</f>
      </c>
      <c r="AO122" s="448"/>
      <c r="AP122" s="450">
        <f>(AA122*2+S122*8)/1000*4</f>
      </c>
      <c r="AQ122" s="450">
        <f>(AD122*2+S122*8)/1000*4</f>
      </c>
      <c r="AR122" s="450">
        <f>((C122+20)*2+(50+I122)*2)/1000*($AO$105-1)</f>
      </c>
      <c r="AS122" s="451">
        <f>((D122)*2+(50+I122)*2)/1000*($AS$105-1)</f>
      </c>
      <c r="AT122" s="452">
        <f>(40*2+(C122+20)*2)/1000*($AO$105-1)</f>
      </c>
      <c r="AU122" s="450">
        <f>(40*2+(D122*2))/1000*($AS$105-1)</f>
      </c>
      <c r="AV122" s="451">
        <f>(C122*2+D122*2)*технолог!$I$27/1000</f>
      </c>
      <c r="AW122" s="452">
        <f>(AF122*2+AG122*2)*2/1000+AY122</f>
      </c>
      <c r="AX122" s="451">
        <f>(AI122*2+AJ122*2)*2/1000+AZ122</f>
      </c>
      <c r="AY122" s="452">
        <f>(AF122/100+AG122/100)*20/1000*2</f>
      </c>
      <c r="AZ122" s="450">
        <f>((AI122/100+AJ122/100)*20)/1000*2</f>
      </c>
      <c r="BA122" s="452">
        <f>SUM(AL122:AN122,AP122:AS122)</f>
      </c>
      <c r="BB122" s="450">
        <f>SUM(AW122:AZ122)</f>
      </c>
      <c r="BC122" s="451">
        <f>SUM(AL122:AN122,AP122:AS122)</f>
      </c>
      <c r="BD122" s="452">
        <f>SUM(AT122:AV122)</f>
      </c>
      <c r="BE122" s="453">
        <f>$AZ$134+$BA$134</f>
      </c>
      <c r="BF122" s="454">
        <f>$BC$134+$BD$134</f>
      </c>
      <c r="BG122" s="450">
        <f>C122</f>
      </c>
      <c r="BH122" s="450">
        <f>D122+15</f>
      </c>
      <c r="BI122" s="455">
        <f>($AZ$134+$BA$134+$BC$134+$BD$134)*2</f>
      </c>
    </row>
    <row r="127" spans="4:4" x14ac:dyDescent="0.25">
      <c r="D127" s="456"/>
    </row>
    <row r="128" ht="15.75" customHeight="1" spans="4:58" x14ac:dyDescent="0.25">
      <c r="D128" s="456"/>
      <c r="AZ128" s="420" t="s">
        <v>364</v>
      </c>
      <c r="BA128" s="420"/>
      <c r="BB128" s="420"/>
      <c r="BF128" t="s">
        <v>365</v>
      </c>
    </row>
    <row r="129" spans="4:58" x14ac:dyDescent="0.25">
      <c r="D129" s="456"/>
      <c r="AW129" s="33"/>
      <c r="AX129" s="34"/>
      <c r="AY129" s="34"/>
      <c r="AZ129" s="34" t="s">
        <v>366</v>
      </c>
      <c r="BA129" s="34" t="s">
        <v>367</v>
      </c>
      <c r="BB129" s="34"/>
      <c r="BC129" s="34" t="s">
        <v>368</v>
      </c>
      <c r="BD129" s="35" t="s">
        <v>369</v>
      </c>
      <c r="BF129">
        <v>280</v>
      </c>
    </row>
    <row r="130" ht="15.75" customHeight="1" spans="4:56" x14ac:dyDescent="0.25">
      <c r="D130" s="456"/>
      <c r="AW130" s="36" t="s">
        <v>370</v>
      </c>
      <c r="AZ130">
        <f>ROUNDDOWN(IF($H$99&lt;=$BF$129,0,(ROUND($H$99/$BF$129,0))),0)</f>
      </c>
      <c r="BA130">
        <f>ROUNDDOWN(IF(H99&lt;=$BF$129,0,(ROUND(H99/$BF$129,0))),0)</f>
      </c>
      <c r="BC130">
        <f>ROUNDDOWN(IF(H99&lt;=$BF$129,0,(ROUND(H99/$BF$129,0))),0)</f>
      </c>
      <c r="BD130" s="37">
        <f>ROUNDDOWN(IF(H99&lt;=$BF$129,0,(ROUND(H99/$BF$129,0))),0)</f>
      </c>
    </row>
    <row r="131" ht="15.75" customHeight="1" spans="4:56" x14ac:dyDescent="0.25">
      <c r="D131" s="457"/>
      <c r="AW131" s="36" t="s">
        <v>371</v>
      </c>
      <c r="AZ131" s="401">
        <f>IF(H99/(AZ130+1)&lt;$BF$129,AZ130-1,AZ130)</f>
      </c>
      <c r="BA131" s="402">
        <f>IF(H99/(BA130+1)&lt;$BF$129,BA130-1,BA130)</f>
      </c>
      <c r="BB131" s="402"/>
      <c r="BC131" s="402">
        <f>IF(H99/(BC130+1)&lt;$BF$129,BC130-1,BC130)</f>
      </c>
      <c r="BD131" s="392">
        <f>IF(H99/(BD130+1)&lt;$BF$129,BD130-1,BD130)</f>
      </c>
    </row>
    <row r="132" ht="15.75" customHeight="1" spans="4:56" x14ac:dyDescent="0.25">
      <c r="D132" s="456"/>
      <c r="AW132" s="36" t="s">
        <v>372</v>
      </c>
      <c r="AZ132">
        <f>IF($AO$105=1,0,IF(AO106=FALSE,(AO105-1)/2,AO105/2))</f>
      </c>
      <c r="BA132">
        <f>IF(AO106=FALSE,AZ132,AZ132-1)</f>
      </c>
      <c r="BC132">
        <f>IF($AS$105=1,0,IF(AS106=FALSE,(AS105-1)/2,AS105/2))</f>
      </c>
      <c r="BD132" s="37">
        <f>IF(AS106=FALSE,BC132,BC132-1)</f>
      </c>
    </row>
    <row r="133" ht="15.75" customHeight="1" spans="4:56" x14ac:dyDescent="0.25">
      <c r="D133" s="456"/>
      <c r="AW133" s="36" t="s">
        <v>373</v>
      </c>
      <c r="AZ133" s="401">
        <f>IF(AO105=2,AZ138,IF(AO106=TRUE,AZ139,AZ140))</f>
      </c>
      <c r="BA133" s="402">
        <f>IF(AO105=2,BA138,IF(AO106=TRUE,BA139,BA140))</f>
      </c>
      <c r="BB133" s="402"/>
      <c r="BC133" s="402">
        <f>IF(AS105=2,BC138,IF(AS106=TRUE,BC139,BC140))</f>
      </c>
      <c r="BD133" s="392">
        <f>IF(AS105=2,BD138,IF(AS106=TRUE,BD139,BD140))</f>
      </c>
    </row>
    <row r="134" ht="15.75" customHeight="1" spans="4:56" x14ac:dyDescent="0.25">
      <c r="D134" s="456"/>
      <c r="AS134">
        <f>IF($H$99/$AS$105&gt;(1.5*$BF$129),ROUNDDOWN($H$99/$AS$105/$BF$129,0),0)</f>
      </c>
      <c r="AW134" s="56" t="s">
        <v>374</v>
      </c>
      <c r="AX134" s="57"/>
      <c r="AY134" s="57"/>
      <c r="AZ134" s="57">
        <f>IF(AO105=1,AZ131-1,AZ133)</f>
      </c>
      <c r="BA134" s="57">
        <f>IF(AO105=1,BA131-1,BA133)</f>
      </c>
      <c r="BB134" s="57"/>
      <c r="BC134" s="57">
        <f>IF(AS105=1,BC131-1,BC133)</f>
      </c>
      <c r="BD134" s="58">
        <f>IF(AS105=1,BD131-1,BD133)</f>
      </c>
    </row>
    <row r="135" spans="4:45" x14ac:dyDescent="0.25">
      <c r="D135" s="457"/>
      <c r="AS135">
        <f>IF(($H$99-$H$99/$AS$105)/(ROUNDDOWN($AS$105/2,0))&gt;1.5*$BF$129,((ROUNDDOWN($H$99/($AS$105/2)/$BF$129,0))-1)*ROUNDDOWN($AS$105/2,0),0)</f>
      </c>
    </row>
    <row r="136" spans="4:4" x14ac:dyDescent="0.25">
      <c r="D136" s="456"/>
    </row>
    <row r="137" spans="4:56" x14ac:dyDescent="0.25">
      <c r="D137" s="457"/>
      <c r="AY137" t="s">
        <v>375</v>
      </c>
      <c r="AZ137">
        <f>AZ131</f>
      </c>
      <c r="BA137">
        <f>BA131</f>
      </c>
      <c r="BC137">
        <f>BC131</f>
      </c>
      <c r="BD137">
        <f>BD131</f>
      </c>
    </row>
    <row r="138" spans="4:56" x14ac:dyDescent="0.25">
      <c r="D138" s="456"/>
      <c r="AS138">
        <f>($H$99-$H$99/$AS$105)/(ROUNDDOWN($AS$105/2,0))&gt;1.5*$BF$129</f>
      </c>
      <c r="AY138" t="s">
        <v>376</v>
      </c>
      <c r="AZ138">
        <f>IF($H$99/2&gt;=1.5*$BF$129,(ROUND($H$99/2/$BF$129,0)-1)*2)</f>
      </c>
      <c r="BA138">
        <f>IF($H$99&gt;$BF$129,ROUNDDOWN($H$99/$BF$129,0)-1,0)</f>
      </c>
      <c r="BC138">
        <f>IF($H$99/2&gt;=1.5*$BF$129,(ROUND($H$99/2/$BF$129,0)-1)*2)</f>
      </c>
      <c r="BD138">
        <f>IF($H$99&gt;$BF$129,ROUNDDOWN($H$99/$BF$129,0)-1,0)</f>
      </c>
    </row>
    <row r="139" spans="4:56" x14ac:dyDescent="0.25">
      <c r="D139" s="457"/>
      <c r="AY139" t="s">
        <v>377</v>
      </c>
      <c r="AZ139">
        <f>IF($H$99/$AO$105&gt;(1.5*$BF$129),(ROUND($H$99/$AO$105/$BF$129,0)-1)*2,0)+IF($H$99/$AO$105*2&gt;$BF$129,(ROUNDDOWN($H$99/$AO$105*2/$BF$129,0)-1)*($AO$105/2-1),0)</f>
      </c>
      <c r="BA139">
        <f>IF($H$99/($AO$105/2)&gt;(1.5*$BF$129),ROUND(($H$99/($AO$105/2)/$BF$129)-1,0)*($AO$105/2),0)</f>
      </c>
      <c r="BC139">
        <f>IF($H$99/$AS$105&gt;(1.5*$BF$129),(ROUND($H$99/$AS$105/$BF$129,0)-1)*2,0)+IF($H$99/$AS$105*2&gt;$BF$129,(ROUNDDOWN($H$99/$AS$105*2/$BF$129,0)-1)*($AS$105/2-1),0)</f>
      </c>
      <c r="BD139">
        <f>IF($H$99/($AS$105/2)&gt;(1.5*$BF$129),ROUND(($H$99/($AS$105/2)/$BF$129)-1,0)*($AS$105/2),0)</f>
      </c>
    </row>
    <row r="140" spans="51:56" x14ac:dyDescent="0.25">
      <c r="AY140" t="s">
        <v>378</v>
      </c>
      <c r="AZ140">
        <f>IF($H$99/$AO$105&gt;(1.5*$BF$129),ROUNDDOWN($H$99/$AO$105/$BF$129,0),0)+IF(($H$99-$H$99/$AO$105)/(ROUNDDOWN($AO$105/2,0))&gt;1.5*$BF$129,((ROUND($H$99/($AO$105/2)/$BF$129,0))-1)*ROUNDDOWN($AO$105/2,0),0)</f>
      </c>
      <c r="BA140">
        <f>IF($H$99/$AO$105&gt;(1.5*$BF$129),ROUNDDOWN($H$99/$AO$105/$BF$129,0),0)+IF(($H$99-$H$99/$AO$105)/(ROUNDDOWN($AO$105/2,0))&gt;1.5*$BF$129,((ROUND($H$99/($AO$105/2)/$BF$129,0))-1)*ROUNDDOWN($AO$105/2,0),0)</f>
      </c>
      <c r="BC140">
        <f>IF($H$99/$AS$105&gt;(1.5*$BF$129),ROUNDDOWN($H$99/$AS$105/$BF$129,0),0)+IF(($H$99-$H$99/$AS$105)/(ROUNDDOWN($AS$105/2,0))&gt;1.5*$BF$129,((ROUND($H$99/($AS$105/2)/$BF$129,0))-1)*ROUNDDOWN($AS$105/2,0),0)</f>
      </c>
      <c r="BD140">
        <f>IF($H$99/$AS$105&gt;(1.5*$BF$129),ROUNDDOWN($H$99/$AS$105/$BF$129,0),0)+IF(($H$99-$H$99/$AS$105)/(ROUNDDOWN($AS$105/2,0))&gt;1.5*$BF$129,((ROUND($H$99/($AS$105/2)/$BF$129,0))-1)*ROUNDDOWN($AS$105/2,0),0)</f>
      </c>
    </row>
    <row r="144" ht="15.75" customHeight="1" x14ac:dyDescent="0.25"/>
    <row r="145" ht="15.75" customHeight="1" spans="49:60" x14ac:dyDescent="0.25">
      <c r="AX145" s="401" t="s">
        <v>379</v>
      </c>
      <c r="AY145" s="392"/>
      <c r="BE145" t="s">
        <v>380</v>
      </c>
      <c r="BH145" t="s">
        <v>381</v>
      </c>
    </row>
    <row r="146" ht="30.75" customHeight="1" spans="49:60" x14ac:dyDescent="0.25">
      <c r="AW146" s="458"/>
      <c r="AX146" s="459" t="s">
        <v>382</v>
      </c>
      <c r="AY146" s="460" t="s">
        <v>383</v>
      </c>
      <c r="BA146" s="461" t="s">
        <v>384</v>
      </c>
      <c r="BB146" s="462"/>
      <c r="BC146" s="463" t="s">
        <v>385</v>
      </c>
      <c r="BD146" s="463" t="s">
        <v>386</v>
      </c>
      <c r="BE146" s="464" t="s">
        <v>385</v>
      </c>
      <c r="BG146" s="465" t="s">
        <v>387</v>
      </c>
      <c r="BH146" s="465" t="s">
        <v>385</v>
      </c>
    </row>
    <row r="147" ht="30.75" customHeight="1" spans="49:60" x14ac:dyDescent="0.25">
      <c r="AW147" s="466" t="s">
        <v>388</v>
      </c>
      <c r="AX147" s="169">
        <f>IFERROR(ROUNDUP(BA147/ROUNDDOWN(1000/BC147,0),0),0)</f>
      </c>
      <c r="AY147" s="467">
        <f>IFERROR(ROUNDUP(BD147/ROUNDDOWN(1000/BE147,0),0),0)</f>
      </c>
      <c r="BA147" s="468">
        <f>IF(VLOOKUP(D104,B110:BE122,56,0)&lt;0,0,VLOOKUP(D104,B110:BE122,56,0))</f>
      </c>
      <c r="BB147" s="469"/>
      <c r="BC147" s="470">
        <f>VLOOKUP(D104,B110:BG122,58,0)</f>
      </c>
      <c r="BD147" s="471">
        <f>IF(VLOOKUP(D104,B110:BF122,56,0)&lt;0,0,VLOOKUP(D104,B110:BF122,57,0))</f>
      </c>
      <c r="BE147" s="472">
        <f>VLOOKUP(D104,B110:BH122,59,0)</f>
      </c>
      <c r="BG147" s="473">
        <v>8</v>
      </c>
      <c r="BH147" s="473">
        <f>H99</f>
      </c>
    </row>
    <row r="148" ht="30" customHeight="1" spans="49:60" x14ac:dyDescent="0.25">
      <c r="AW148" s="466" t="s">
        <v>389</v>
      </c>
      <c r="AX148" s="169">
        <f>AX147+AY147</f>
      </c>
      <c r="AY148" s="467"/>
      <c r="BA148" s="474"/>
      <c r="BB148" s="474"/>
      <c r="BC148" s="474"/>
    </row>
    <row r="149" ht="60" customHeight="1" spans="49:60" x14ac:dyDescent="0.25">
      <c r="AW149" s="466" t="s">
        <v>390</v>
      </c>
      <c r="AX149" s="169">
        <f>IF(BH147&lt;1000,8,0)+IF(AND(BH147&gt;2500,BH147&lt;3000),8,0)+IF(AND(BH147&gt;2000,BH147&lt;2500),4,0)</f>
      </c>
      <c r="AY149" s="467"/>
      <c r="BA149" s="474"/>
      <c r="BB149" s="474"/>
      <c r="BC149" s="474"/>
    </row>
    <row r="150" ht="30" customHeight="1" spans="49:60" x14ac:dyDescent="0.25">
      <c r="AW150" s="466" t="s">
        <v>391</v>
      </c>
      <c r="AX150" s="169">
        <f>IF(BH147&gt;1000,8,0)+IF(AND(BH147&gt;3000,BH147&lt;4000),8,0)</f>
      </c>
      <c r="AY150" s="467"/>
      <c r="BA150" s="474"/>
      <c r="BB150" s="474"/>
      <c r="BC150" s="474"/>
    </row>
    <row r="151" ht="30.75" customHeight="1" spans="49:60" x14ac:dyDescent="0.25">
      <c r="AW151" s="475" t="s">
        <v>392</v>
      </c>
      <c r="AX151" s="476">
        <f>AX147+AY147+AX149</f>
      </c>
      <c r="AY151" s="477"/>
      <c r="BA151" s="474"/>
      <c r="BB151" s="474"/>
      <c r="BC151" s="474"/>
    </row>
    <row r="152" ht="45" customHeight="1" spans="49:60" x14ac:dyDescent="0.25">
      <c r="AW152" s="478" t="s">
        <v>393</v>
      </c>
      <c r="AX152" s="34">
        <f>(IF(B121=D104,BA147,0))</f>
      </c>
      <c r="AY152" s="35">
        <f>(IF(B121=D104,BD147,0))</f>
      </c>
      <c r="BA152" s="474"/>
      <c r="BB152" s="474"/>
      <c r="BC152" s="474"/>
    </row>
    <row r="153" ht="45.75" customHeight="1" spans="49:60" x14ac:dyDescent="0.25">
      <c r="AW153" s="479" t="s">
        <v>394</v>
      </c>
      <c r="AX153" s="57">
        <f>(IF(B122=D104,BA147,0))</f>
      </c>
      <c r="AY153" s="58"/>
      <c r="BA153" s="474"/>
      <c r="BB153" s="474"/>
      <c r="BC153" s="474"/>
    </row>
    <row r="154" spans="53:60" x14ac:dyDescent="0.25">
      <c r="BA154" s="474"/>
      <c r="BB154" s="474"/>
      <c r="BC154" s="474"/>
    </row>
    <row r="155" spans="53:60" x14ac:dyDescent="0.25">
      <c r="BA155" s="474"/>
      <c r="BB155" s="474"/>
      <c r="BC155" s="474"/>
    </row>
    <row r="156" spans="53:54" x14ac:dyDescent="0.25">
      <c r="BA156" s="46"/>
      <c r="BB156" s="46"/>
    </row>
    <row r="157" spans="53:54" x14ac:dyDescent="0.25">
      <c r="BA157" s="46"/>
      <c r="BB157" s="46"/>
    </row>
    <row r="160" spans="58:58" x14ac:dyDescent="0.25">
      <c r="BF160" s="480"/>
    </row>
    <row r="161" spans="58:58" x14ac:dyDescent="0.25">
      <c r="BF161" s="481"/>
    </row>
    <row r="162" spans="58:58" x14ac:dyDescent="0.25">
      <c r="BF162" s="481"/>
    </row>
  </sheetData>
  <mergeCells count="114">
    <mergeCell ref="B2:E2"/>
    <mergeCell ref="N2:T2"/>
    <mergeCell ref="N3:T3"/>
    <mergeCell ref="B4:E4"/>
    <mergeCell ref="F4:I4"/>
    <mergeCell ref="N4:T4"/>
    <mergeCell ref="N5:T5"/>
    <mergeCell ref="N6:T6"/>
    <mergeCell ref="I7:N7"/>
    <mergeCell ref="A8:C8"/>
    <mergeCell ref="H8:Q8"/>
    <mergeCell ref="A9:C9"/>
    <mergeCell ref="D9:E9"/>
    <mergeCell ref="F9:G9"/>
    <mergeCell ref="A10:C10"/>
    <mergeCell ref="D10:E10"/>
    <mergeCell ref="F10:G10"/>
    <mergeCell ref="A11:C11"/>
    <mergeCell ref="D11:E11"/>
    <mergeCell ref="F11:G11"/>
    <mergeCell ref="N11:O11"/>
    <mergeCell ref="A12:C12"/>
    <mergeCell ref="D12:E12"/>
    <mergeCell ref="A13:C13"/>
    <mergeCell ref="E13:G13"/>
    <mergeCell ref="A14:C14"/>
    <mergeCell ref="A15:C15"/>
    <mergeCell ref="A16:C16"/>
    <mergeCell ref="W16:X16"/>
    <mergeCell ref="A17:C17"/>
    <mergeCell ref="B18:G18"/>
    <mergeCell ref="H18:M18"/>
    <mergeCell ref="O18:Q18"/>
    <mergeCell ref="W18:Y18"/>
    <mergeCell ref="C19:D19"/>
    <mergeCell ref="I19:J19"/>
    <mergeCell ref="W19:Y19"/>
    <mergeCell ref="B19:B20"/>
    <mergeCell ref="C20:D20"/>
    <mergeCell ref="H19:H20"/>
    <mergeCell ref="I20:J20"/>
    <mergeCell ref="W20:Y20"/>
    <mergeCell ref="B21:D21"/>
    <mergeCell ref="H21:J21"/>
    <mergeCell ref="W21:Y21"/>
    <mergeCell ref="W22:Y22"/>
    <mergeCell ref="W23:Y23"/>
    <mergeCell ref="B24:G24"/>
    <mergeCell ref="H24:M24"/>
    <mergeCell ref="W24:Y24"/>
    <mergeCell ref="C25:D25"/>
    <mergeCell ref="I25:J25"/>
    <mergeCell ref="W25:Y25"/>
    <mergeCell ref="B25:B26"/>
    <mergeCell ref="C26:D26"/>
    <mergeCell ref="H25:H26"/>
    <mergeCell ref="I26:J26"/>
    <mergeCell ref="W26:Y26"/>
    <mergeCell ref="B27:D27"/>
    <mergeCell ref="H27:J27"/>
    <mergeCell ref="O27:T27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B37:F37"/>
    <mergeCell ref="H37:I37"/>
    <mergeCell ref="J37:K37"/>
    <mergeCell ref="L37:M37"/>
    <mergeCell ref="B39:E39"/>
    <mergeCell ref="AO38:AO39"/>
    <mergeCell ref="AP38:AP39"/>
    <mergeCell ref="B42:G42"/>
    <mergeCell ref="I42:M43"/>
    <mergeCell ref="B43:C43"/>
    <mergeCell ref="E43:F43"/>
    <mergeCell ref="B44:C44"/>
    <mergeCell ref="E44:F44"/>
    <mergeCell ref="I44:L44"/>
    <mergeCell ref="B45:C45"/>
    <mergeCell ref="E45:F45"/>
    <mergeCell ref="I45:L45"/>
    <mergeCell ref="B46:C46"/>
    <mergeCell ref="E46:F46"/>
    <mergeCell ref="I46:L46"/>
    <mergeCell ref="B48:O48"/>
    <mergeCell ref="B50:C52"/>
    <mergeCell ref="K50:L50"/>
    <mergeCell ref="K51:L51"/>
    <mergeCell ref="K52:L52"/>
    <mergeCell ref="K54:L57"/>
    <mergeCell ref="B54:B57"/>
    <mergeCell ref="C75:G76"/>
    <mergeCell ref="H75:J76"/>
    <mergeCell ref="K75:L76"/>
    <mergeCell ref="M75:N76"/>
    <mergeCell ref="O75:P76"/>
    <mergeCell ref="H99:I99"/>
    <mergeCell ref="J109:L109"/>
    <mergeCell ref="M109:O109"/>
    <mergeCell ref="P109:R109"/>
    <mergeCell ref="T109:V109"/>
    <mergeCell ref="W109:Y109"/>
    <mergeCell ref="Z109:AB109"/>
    <mergeCell ref="AC109:AE109"/>
    <mergeCell ref="AF109:AH109"/>
    <mergeCell ref="AI109:AK109"/>
    <mergeCell ref="AZ128:BA128"/>
  </mergeCells>
  <dataValidations count="21">
    <dataValidation type="list" allowBlank="1" showInputMessage="1" promptTitle="Размер фланцев" prompt="ЗАПОЛНИ ОБЯЗАТЕЛЬНО!" showErrorMessage="1" sqref="C28:C29">
      <formula1>Рядность_фланцев</formula1>
    </dataValidation>
    <dataValidation type="list" allowBlank="1" showInputMessage="1" promptTitle="Размер фланцев" prompt="ЗАПОЛНИ ОБЯЗАТЕЛЬНО!" showErrorMessage="1" sqref="D28:D29">
      <formula1>Фланцы</formula1>
    </dataValidation>
    <dataValidation type="list" allowBlank="1" showInputMessage="1" promptTitle="материал_корпуса" showErrorMessage="1" sqref="D9:E9">
      <formula1>$AU$47:$AU$54</formula1>
    </dataValidation>
    <dataValidation type="list" allowBlank="1" showInputMessage="1" promptTitle="РЕЗЕРВ" prompt="указать сколько доп комплектов надо купить на прохождение испытаний в соответствии с рабочим давление - см. распоряжение Моисеева или сроси главного конструктора" showErrorMessage="1" sqref="F39">
      <formula1>"1,2,3,4"</formula1>
    </dataValidation>
    <dataValidation type="list" allowBlank="1" showInputMessage="1" promptTitle="Размер фланцев" prompt="ЗАПОЛНИ ОБЯЗАТЕЛЬНО!" showErrorMessage="1" sqref="I28:I29">
      <formula1>Рядность_фланцев</formula1>
    </dataValidation>
    <dataValidation type="list" allowBlank="1" showInputMessage="1" promptTitle="Размер фланцев" prompt="ЗАПОЛНИ ОБЯЗАТЕЛЬНО!" showErrorMessage="1" sqref="J28:J29">
      <formula1>Фланцы</formula1>
    </dataValidation>
    <dataValidation type="list" showInputMessage="1" promptTitle="материал" prompt="выбери обязательно" showErrorMessage="1" sqref="P20">
      <formula1>материал_крепежа_панелей</formula1>
    </dataValidation>
    <dataValidation type="list" allowBlank="1" showInputMessage="1" promptTitle="покрытие" prompt="выбери обязательно" showErrorMessage="1" sqref="P21">
      <formula1>покрытие_крепежа_панелей</formula1>
    </dataValidation>
    <dataValidation type="list" allowBlank="1" showInputMessage="1" promptTitle="размер" prompt="имеет значение" showErrorMessage="1" sqref="P22">
      <formula1>размер_крепежа_панелей</formula1>
    </dataValidation>
    <dataValidation type="list" allowBlank="1" showInputMessage="1" promptTitle="размер" prompt="имеет значение" showErrorMessage="1" sqref="P29">
      <formula1>размер_крепежа_для_фланцев</formula1>
    </dataValidation>
    <dataValidation type="list" allowBlank="1" showInputMessage="1" promptTitle="размер" prompt="имеет значение" showErrorMessage="1" sqref="P33">
      <formula1>размер_крепежа_для_фланцев</formula1>
    </dataValidation>
    <dataValidation type="list" allowBlank="1" showInputMessage="1" promptTitle="размер" prompt="имеет значение" showErrorMessage="1" sqref="P37">
      <formula1>размер_крепежа_для_фланцев</formula1>
    </dataValidation>
    <dataValidation type="list" allowBlank="1" showInputMessage="1" promptTitle="размер" prompt="имеет значение" showErrorMessage="1" sqref="P41">
      <formula1>размер_крепежа_для_фланцев</formula1>
    </dataValidation>
    <dataValidation type="list" allowBlank="1" showInputMessage="1" promptTitle="материал" prompt="выбери" showErrorMessage="1" sqref="Q29">
      <formula1>материал_крепежа_для_фланцев</formula1>
    </dataValidation>
    <dataValidation type="list" allowBlank="1" showInputMessage="1" promptTitle="материал" prompt="выбери" showErrorMessage="1" sqref="Q33">
      <formula1>материал_крепежа_для_фланцев</formula1>
    </dataValidation>
    <dataValidation type="list" allowBlank="1" showInputMessage="1" promptTitle="материал" prompt="выбери" showErrorMessage="1" sqref="Q37">
      <formula1>материал_крепежа_для_фланцев</formula1>
    </dataValidation>
    <dataValidation type="list" allowBlank="1" showInputMessage="1" promptTitle="материал" prompt="выбери" showErrorMessage="1" sqref="Q41">
      <formula1>материал_крепежа_для_фланцев</formula1>
    </dataValidation>
    <dataValidation type="list" allowBlank="1" showInputMessage="1" promptTitle="покрытие" prompt="выбери" showErrorMessage="1" sqref="R29">
      <formula1>покрытие_крепежа_для_фланцев</formula1>
    </dataValidation>
    <dataValidation type="list" allowBlank="1" showInputMessage="1" promptTitle="покрытие" prompt="выбери" showErrorMessage="1" sqref="R33">
      <formula1>покрытие_крепежа_для_фланцев</formula1>
    </dataValidation>
    <dataValidation type="list" allowBlank="1" showInputMessage="1" promptTitle="покрытие" prompt="выбери" showErrorMessage="1" sqref="R37">
      <formula1>покрытие_крепежа_для_фланцев</formula1>
    </dataValidation>
    <dataValidation type="list" allowBlank="1" showInputMessage="1" promptTitle="покрытие" prompt="выбери" showErrorMessage="1" sqref="R41">
      <formula1>покрытие_крепежа_для_фланцев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1:AL75"/>
  <sheetViews>
    <sheetView workbookViewId="0" zoomScale="85" zoomScaleNormal="85">
      <selection activeCell="H28" sqref="H28"/>
    </sheetView>
  </sheetViews>
  <sheetFormatPr defaultRowHeight="15" outlineLevelRow="0" outlineLevelCol="0" x14ac:dyDescent="0.25"/>
  <cols>
    <col min="3" max="3" width="9.140625" customWidth="1"/>
    <col min="4" max="4" width="12.85546875" customWidth="1"/>
    <col min="5" max="5" width="16.7109375" customWidth="1"/>
    <col min="6" max="6" width="16.28515625" customWidth="1"/>
    <col min="7" max="7" width="15" customWidth="1"/>
    <col min="8" max="8" width="16.42578125" customWidth="1"/>
    <col min="9" max="9" width="11.5703125" customWidth="1"/>
    <col min="10" max="10" width="12.5703125" customWidth="1"/>
    <col min="11" max="11" width="11.42578125" customWidth="1"/>
    <col min="12" max="12" width="12.7109375" customWidth="1"/>
    <col min="13" max="13" width="14.28515625" customWidth="1"/>
    <col min="16" max="16" width="10.7109375" customWidth="1"/>
    <col min="19" max="19" width="13.140625" customWidth="1"/>
    <col min="21" max="21" width="10.7109375" customWidth="1"/>
    <col min="22" max="22" width="11.42578125" customWidth="1"/>
    <col min="26" max="26" width="16.140625" customWidth="1"/>
    <col min="27" max="27" width="17" customWidth="1"/>
    <col min="32" max="32" width="17.7109375" customWidth="1"/>
    <col min="33" max="33" width="13.28515625" customWidth="1"/>
    <col min="34" max="34" width="13.85546875" customWidth="1"/>
    <col min="35" max="35" width="14.28515625" customWidth="1"/>
    <col min="36" max="36" width="19.42578125" customWidth="1"/>
  </cols>
  <sheetData>
    <row r="1" ht="15" customHeight="1" x14ac:dyDescent="0.25"/>
    <row r="2" ht="15" customHeight="1" x14ac:dyDescent="0.25"/>
    <row r="3" ht="15" customHeight="1" x14ac:dyDescent="0.25"/>
    <row r="4" ht="15" customHeight="1" spans="5:11" x14ac:dyDescent="0.25">
      <c r="E4" s="1" t="s">
        <v>0</v>
      </c>
      <c r="F4" s="1"/>
      <c r="G4" s="1"/>
      <c r="H4" s="1"/>
      <c r="I4" s="1"/>
      <c r="J4" s="1"/>
      <c r="K4" s="1"/>
    </row>
    <row r="5" ht="15" customHeight="1" spans="5:11" x14ac:dyDescent="0.25">
      <c r="E5" s="2" t="s">
        <v>1</v>
      </c>
      <c r="F5" s="2"/>
      <c r="G5" s="2"/>
      <c r="H5" s="2"/>
      <c r="I5" s="2"/>
      <c r="J5" s="2"/>
      <c r="K5" s="2"/>
    </row>
    <row r="6" ht="42.75" customHeight="1" spans="5:11" x14ac:dyDescent="0.25">
      <c r="E6" s="3" t="s">
        <v>2</v>
      </c>
      <c r="F6" s="3"/>
      <c r="G6" s="3"/>
      <c r="H6" s="3"/>
      <c r="I6" s="3"/>
      <c r="J6" s="3"/>
      <c r="K6" s="3"/>
    </row>
    <row r="7" ht="15" customHeight="1" spans="5:11" x14ac:dyDescent="0.25">
      <c r="E7" s="4" t="s">
        <v>3</v>
      </c>
      <c r="F7" s="4"/>
      <c r="G7" s="4"/>
      <c r="H7" s="4"/>
      <c r="I7" s="4"/>
      <c r="J7" s="4"/>
      <c r="K7" s="4"/>
    </row>
    <row r="8" ht="15" customHeight="1" spans="5:11" x14ac:dyDescent="0.25">
      <c r="E8" s="5" t="s">
        <v>4</v>
      </c>
      <c r="F8" s="5"/>
      <c r="G8" s="5"/>
      <c r="H8" s="5"/>
      <c r="I8" s="5"/>
      <c r="J8" s="5"/>
      <c r="K8" s="5"/>
    </row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.75" customHeight="1" spans="4:22" x14ac:dyDescent="0.25">
      <c r="D24" s="6" t="s">
        <v>5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8"/>
    </row>
    <row r="25" ht="121.5" customHeight="1" spans="4:22" x14ac:dyDescent="0.25"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</row>
    <row r="26" ht="75.75" customHeight="1" spans="4:22" x14ac:dyDescent="0.25">
      <c r="D26" s="12" t="s">
        <v>6</v>
      </c>
      <c r="E26" s="13" t="s">
        <v>7</v>
      </c>
      <c r="F26" s="13" t="s">
        <v>8</v>
      </c>
      <c r="G26" s="13" t="s">
        <v>9</v>
      </c>
      <c r="H26" s="14" t="s">
        <v>10</v>
      </c>
      <c r="I26" s="15" t="s">
        <v>11</v>
      </c>
      <c r="J26" s="16" t="s">
        <v>12</v>
      </c>
      <c r="K26" s="16" t="s">
        <v>13</v>
      </c>
      <c r="L26" s="16" t="s">
        <v>14</v>
      </c>
      <c r="M26" s="16" t="s">
        <v>15</v>
      </c>
      <c r="N26" s="14" t="s">
        <v>16</v>
      </c>
      <c r="O26" s="14" t="s">
        <v>17</v>
      </c>
      <c r="P26" s="13" t="s">
        <v>18</v>
      </c>
      <c r="Q26" s="13" t="s">
        <v>19</v>
      </c>
      <c r="R26" s="13" t="s">
        <v>20</v>
      </c>
      <c r="S26" s="13" t="s">
        <v>21</v>
      </c>
      <c r="T26" s="13" t="s">
        <v>22</v>
      </c>
      <c r="U26" s="17" t="s">
        <v>23</v>
      </c>
      <c r="V26" s="18" t="s">
        <v>24</v>
      </c>
    </row>
    <row r="27" spans="4:22" x14ac:dyDescent="0.25">
      <c r="D27" s="19">
        <v>1</v>
      </c>
      <c r="E27" s="20" t="s">
        <v>25</v>
      </c>
      <c r="F27" s="21" t="s">
        <v>26</v>
      </c>
      <c r="G27" s="21" t="s">
        <v>27</v>
      </c>
      <c r="H27" s="22" t="s">
        <v>28</v>
      </c>
      <c r="I27" s="20">
        <v>400</v>
      </c>
      <c r="J27" s="23">
        <v>22</v>
      </c>
      <c r="K27" s="23">
        <v>22</v>
      </c>
      <c r="L27" s="23">
        <v>100</v>
      </c>
      <c r="M27" s="23">
        <v>100</v>
      </c>
      <c r="N27" s="24">
        <f>AI73</f>
      </c>
      <c r="O27" s="24">
        <f>AJ73</f>
      </c>
      <c r="P27" s="21" t="s">
        <v>29</v>
      </c>
      <c r="Q27" s="21">
        <f>P27</f>
      </c>
      <c r="R27" s="21" t="s">
        <v>30</v>
      </c>
      <c r="S27" s="21" t="s">
        <v>31</v>
      </c>
      <c r="T27" s="20">
        <v>5</v>
      </c>
      <c r="U27" s="25">
        <v>1</v>
      </c>
      <c r="V27" s="26">
        <v>3</v>
      </c>
    </row>
    <row r="28" ht="15.75" customHeight="1" spans="4:22" x14ac:dyDescent="0.25">
      <c r="D28" s="27"/>
      <c r="E28" s="28"/>
      <c r="F28" s="28"/>
      <c r="G28" s="28"/>
      <c r="H28" s="28"/>
      <c r="I28" s="29"/>
      <c r="J28" s="30"/>
      <c r="K28" s="30"/>
      <c r="L28" s="30"/>
      <c r="M28" s="30"/>
      <c r="N28" s="28"/>
      <c r="O28" s="28"/>
      <c r="P28" s="28"/>
      <c r="Q28" s="28"/>
      <c r="R28" s="28"/>
      <c r="S28" s="28"/>
      <c r="T28" s="28"/>
      <c r="U28" s="31"/>
      <c r="V28" s="32"/>
    </row>
    <row r="29" ht="15.75" customHeight="1" x14ac:dyDescent="0.25"/>
    <row r="56" ht="15.75" customHeight="1" x14ac:dyDescent="0.25"/>
    <row r="57" spans="25:38" x14ac:dyDescent="0.25">
      <c r="Y57" s="33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5"/>
    </row>
    <row r="58" ht="15.75" customHeight="1" spans="25:38" x14ac:dyDescent="0.25">
      <c r="Y58" s="36"/>
      <c r="AL58" s="37"/>
    </row>
    <row r="59" ht="45" customHeight="1" spans="25:38" x14ac:dyDescent="0.25">
      <c r="Y59" s="36"/>
      <c r="Z59" s="38" t="s">
        <v>32</v>
      </c>
      <c r="AA59" s="39" t="s">
        <v>33</v>
      </c>
      <c r="AB59" s="40"/>
      <c r="AF59" s="41" t="s">
        <v>34</v>
      </c>
      <c r="AG59" s="42" t="s">
        <v>35</v>
      </c>
      <c r="AJ59" s="41" t="s">
        <v>34</v>
      </c>
      <c r="AK59" s="42" t="s">
        <v>35</v>
      </c>
      <c r="AL59" s="37"/>
    </row>
    <row r="60" spans="25:38" x14ac:dyDescent="0.25">
      <c r="Y60" s="36">
        <v>1</v>
      </c>
      <c r="Z60" s="43">
        <v>20</v>
      </c>
      <c r="AA60" s="44">
        <v>183</v>
      </c>
      <c r="AB60" s="45"/>
      <c r="AE60" s="46">
        <f>MATCH(AF61,$Z$60:$Z$68)</f>
      </c>
      <c r="AF60" s="47">
        <f>INDEX($Z$60:$Z$68,AE60,1)</f>
      </c>
      <c r="AG60" s="48">
        <f>VLOOKUP(AF60,$Z$60:$AA$68,$AA$69)</f>
      </c>
      <c r="AI60" s="46">
        <f>MATCH(AJ61,$Z$60:$Z$68)</f>
      </c>
      <c r="AJ60" s="47">
        <f>INDEX($Z$60:$Z$68,AI60,1)</f>
      </c>
      <c r="AK60" s="48">
        <f>VLOOKUP(AJ60,$Z$60:$AA$68,$AA$69)</f>
      </c>
      <c r="AL60" s="37"/>
    </row>
    <row r="61" spans="25:38" x14ac:dyDescent="0.25">
      <c r="Y61" s="36">
        <v>2</v>
      </c>
      <c r="Z61" s="43">
        <v>100</v>
      </c>
      <c r="AA61" s="44">
        <v>160</v>
      </c>
      <c r="AB61" s="45"/>
      <c r="AE61" s="46"/>
      <c r="AF61" s="47">
        <f>L27</f>
      </c>
      <c r="AG61" s="49">
        <f>_xlfn.FLOOR.PRECISE((AG62-AG60)/(AF62-AF60)*(AF61-AF60)+AG60,1)</f>
      </c>
      <c r="AI61" s="46"/>
      <c r="AJ61" s="47">
        <f>M27</f>
      </c>
      <c r="AK61" s="49">
        <f>_xlfn.FLOOR.PRECISE((AK62-AK60)/(AJ62-AJ60)*(AJ61-AJ60)+AK60,1)</f>
      </c>
      <c r="AL61" s="37"/>
    </row>
    <row r="62" ht="15.75" customHeight="1" spans="25:38" x14ac:dyDescent="0.25">
      <c r="Y62" s="36">
        <v>3</v>
      </c>
      <c r="Z62" s="43">
        <v>150</v>
      </c>
      <c r="AA62" s="44">
        <v>154</v>
      </c>
      <c r="AB62" s="45"/>
      <c r="AE62" s="46">
        <f>AE60+1</f>
      </c>
      <c r="AF62" s="50">
        <f>INDEX($Z$60:$Z$68,AE62,1)</f>
      </c>
      <c r="AG62" s="51">
        <f>VLOOKUP(AF62,$Z$60:$AA$68,$AA$69)</f>
      </c>
      <c r="AI62" s="46">
        <f>AI60+1</f>
      </c>
      <c r="AJ62" s="50">
        <f>INDEX($Z$60:$Z$68,AI62,1)</f>
      </c>
      <c r="AK62" s="51">
        <f>VLOOKUP(AJ62,$Z$60:$AA$68,$AA$69)</f>
      </c>
      <c r="AL62" s="37"/>
    </row>
    <row r="63" spans="25:38" x14ac:dyDescent="0.25">
      <c r="Y63" s="36">
        <v>4</v>
      </c>
      <c r="Z63" s="43">
        <v>200</v>
      </c>
      <c r="AA63" s="44">
        <v>148</v>
      </c>
      <c r="AB63" s="45"/>
      <c r="AL63" s="37"/>
    </row>
    <row r="64" spans="25:38" x14ac:dyDescent="0.25">
      <c r="Y64" s="36">
        <v>5</v>
      </c>
      <c r="Z64" s="43">
        <v>250</v>
      </c>
      <c r="AA64" s="44">
        <v>145</v>
      </c>
      <c r="AB64" s="45"/>
      <c r="AL64" s="37"/>
    </row>
    <row r="65" spans="25:38" x14ac:dyDescent="0.25">
      <c r="Y65" s="36">
        <v>6</v>
      </c>
      <c r="Z65" s="43">
        <v>300</v>
      </c>
      <c r="AA65" s="44">
        <v>134</v>
      </c>
      <c r="AB65" s="45"/>
      <c r="AL65" s="37"/>
    </row>
    <row r="66" spans="25:38" x14ac:dyDescent="0.25">
      <c r="Y66" s="36">
        <v>7</v>
      </c>
      <c r="Z66" s="43">
        <v>350</v>
      </c>
      <c r="AA66" s="44">
        <v>123</v>
      </c>
      <c r="AB66" s="45"/>
      <c r="AL66" s="37"/>
    </row>
    <row r="67" spans="25:38" x14ac:dyDescent="0.25">
      <c r="Y67" s="36">
        <v>8</v>
      </c>
      <c r="Z67" s="43">
        <v>375</v>
      </c>
      <c r="AA67" s="44">
        <v>116</v>
      </c>
      <c r="AB67" s="45"/>
      <c r="AL67" s="37"/>
    </row>
    <row r="68" ht="15.75" customHeight="1" spans="25:38" x14ac:dyDescent="0.25">
      <c r="Y68" s="36">
        <v>9</v>
      </c>
      <c r="Z68" s="52">
        <v>400</v>
      </c>
      <c r="AA68" s="53">
        <v>105</v>
      </c>
      <c r="AB68" s="45"/>
      <c r="AL68" s="37"/>
    </row>
    <row r="69" spans="25:38" x14ac:dyDescent="0.25">
      <c r="Y69" s="36"/>
      <c r="Z69">
        <v>1</v>
      </c>
      <c r="AA69">
        <v>2</v>
      </c>
      <c r="AL69" s="37"/>
    </row>
    <row r="70" spans="25:38" x14ac:dyDescent="0.25">
      <c r="Y70" s="36"/>
      <c r="Z70" s="54" t="s">
        <v>36</v>
      </c>
      <c r="AA70" s="54"/>
      <c r="AB70" s="54"/>
      <c r="AC70" s="45">
        <v>1.2</v>
      </c>
      <c r="AL70" s="37"/>
    </row>
    <row r="71" spans="25:38" x14ac:dyDescent="0.25">
      <c r="Y71" s="36"/>
      <c r="Z71" s="54" t="s">
        <v>37</v>
      </c>
      <c r="AA71" s="54"/>
      <c r="AB71" s="54"/>
      <c r="AC71" s="4">
        <f>_xlfn.CEILING.PRECISE(1.25*AC70*AA60/AF61,0.01)</f>
      </c>
      <c r="AL71" s="37"/>
    </row>
    <row r="72" ht="45" customHeight="1" spans="25:38" x14ac:dyDescent="0.25">
      <c r="Y72" s="36"/>
      <c r="AE72" s="40" t="s">
        <v>38</v>
      </c>
      <c r="AF72" s="40" t="s">
        <v>39</v>
      </c>
      <c r="AG72" s="40" t="s">
        <v>40</v>
      </c>
      <c r="AH72" s="40" t="s">
        <v>41</v>
      </c>
      <c r="AI72" s="40" t="s">
        <v>42</v>
      </c>
      <c r="AJ72" s="40" t="s">
        <v>43</v>
      </c>
      <c r="AL72" s="37"/>
    </row>
    <row r="73" spans="25:38" x14ac:dyDescent="0.25">
      <c r="Y73" s="36"/>
      <c r="AE73" s="46">
        <f>AG61</f>
      </c>
      <c r="AF73" s="46">
        <f>AK61</f>
      </c>
      <c r="AG73" s="55">
        <f>J27</f>
      </c>
      <c r="AH73" s="55">
        <f>K27</f>
      </c>
      <c r="AI73" s="4">
        <f>_xlfn.CEILING.PRECISE(1.25*AG73*$AA$60/AE73,0.01)</f>
      </c>
      <c r="AJ73" s="4">
        <f>_xlfn.CEILING.PRECISE(1.25*AH73*$AA$60/AF73,0.01)</f>
      </c>
      <c r="AL73" s="37"/>
    </row>
    <row r="74" spans="25:38" x14ac:dyDescent="0.25">
      <c r="Y74" s="36"/>
      <c r="AL74" s="37"/>
    </row>
    <row r="75" ht="15.75" customHeight="1" spans="25:38" x14ac:dyDescent="0.25">
      <c r="Y75" s="56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8"/>
    </row>
  </sheetData>
  <mergeCells count="8">
    <mergeCell ref="E4:K4"/>
    <mergeCell ref="E5:K5"/>
    <mergeCell ref="E6:K6"/>
    <mergeCell ref="E7:K7"/>
    <mergeCell ref="E8:K8"/>
    <mergeCell ref="D24:V25"/>
    <mergeCell ref="Z70:AA70"/>
    <mergeCell ref="Z71:AA71"/>
  </mergeCells>
  <dataValidations count="7">
    <dataValidation type="whole" allowBlank="1" showInputMessage="1" showErrorMessage="1" errorTitle="Внимание!" error="Введите значение температуры от 20 до 400." sqref="AF61">
      <formula1>20</formula1>
      <formula2>400</formula2>
    </dataValidation>
    <dataValidation type="whole" allowBlank="1" showInputMessage="1" showErrorMessage="1" errorTitle="Внимание!" error="Введите значение температуры от 20 до 400." sqref="AJ61">
      <formula1>20</formula1>
      <formula2>400</formula2>
    </dataValidation>
    <dataValidation type="list" allowBlank="1" showInputMessage="1" showErrorMessage="1" sqref="F27">
      <formula1>тип_поставки</formula1>
    </dataValidation>
    <dataValidation type="list" allowBlank="1" showInputMessage="1" promptTitle="материал пластин" showErrorMessage="1" sqref="P27:Q27">
      <formula1>материал_пластин</formula1>
    </dataValidation>
    <dataValidation type="list" allowBlank="1" showInputMessage="1" promptTitle="материал корпуса" showErrorMessage="1" sqref="R27">
      <formula1>материал_корпуса</formula1>
    </dataValidation>
    <dataValidation type="list" allowBlank="1" showInputMessage="1" showErrorMessage="1" sqref="S27">
      <formula1>тип_поверхности</formula1>
    </dataValidation>
    <dataValidation type="list" allowBlank="1" showInputMessage="1" showErrorMessage="1" sqref="U27:V27">
      <formula1>толщина_пластины</formula1>
    </dataValidation>
  </dataValidation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7:X38"/>
  <sheetViews>
    <sheetView workbookViewId="0" zoomScale="100" zoomScaleNormal="100">
      <selection activeCell="I48" sqref="I48"/>
    </sheetView>
  </sheetViews>
  <sheetFormatPr defaultRowHeight="15" outlineLevelRow="0" outlineLevelCol="0" x14ac:dyDescent="0.25"/>
  <cols>
    <col min="5" max="24" width="15.7109375" customWidth="1"/>
  </cols>
  <sheetData>
    <row r="17" ht="15.75" customHeight="1" hidden="1" x14ac:dyDescent="0.25"/>
    <row r="18" ht="15.75" customHeight="1" spans="6:24" x14ac:dyDescent="0.25">
      <c r="F18" s="482" t="s">
        <v>395</v>
      </c>
      <c r="G18" s="483"/>
      <c r="H18" s="483"/>
      <c r="I18" s="483"/>
      <c r="J18" s="483"/>
      <c r="K18" s="483"/>
      <c r="L18" s="483"/>
      <c r="M18" s="483"/>
      <c r="N18" s="483"/>
      <c r="O18" s="483"/>
      <c r="P18" s="483"/>
      <c r="Q18" s="483"/>
      <c r="R18" s="483"/>
      <c r="S18" s="483"/>
      <c r="T18" s="483"/>
      <c r="U18" s="483"/>
      <c r="V18" s="483"/>
      <c r="W18" s="483"/>
      <c r="X18" s="484"/>
    </row>
    <row r="19" spans="6:24" x14ac:dyDescent="0.25">
      <c r="F19" s="485"/>
      <c r="G19" s="486"/>
      <c r="H19" s="486"/>
      <c r="I19" s="486"/>
      <c r="J19" s="486"/>
      <c r="K19" s="486"/>
      <c r="L19" s="486"/>
      <c r="M19" s="486"/>
      <c r="N19" s="486"/>
      <c r="O19" s="486"/>
      <c r="P19" s="486"/>
      <c r="Q19" s="486"/>
      <c r="R19" s="486"/>
      <c r="S19" s="486"/>
      <c r="T19" s="486"/>
      <c r="U19" s="486"/>
      <c r="V19" s="486"/>
      <c r="W19" s="486"/>
      <c r="X19" s="487"/>
    </row>
    <row r="20" spans="6:24" x14ac:dyDescent="0.25">
      <c r="F20" s="485"/>
      <c r="G20" s="486"/>
      <c r="H20" s="486"/>
      <c r="I20" s="486"/>
      <c r="J20" s="486"/>
      <c r="K20" s="486"/>
      <c r="L20" s="486"/>
      <c r="M20" s="486"/>
      <c r="N20" s="486"/>
      <c r="O20" s="486"/>
      <c r="P20" s="486"/>
      <c r="Q20" s="486"/>
      <c r="R20" s="486"/>
      <c r="S20" s="486"/>
      <c r="T20" s="486"/>
      <c r="U20" s="486"/>
      <c r="V20" s="486"/>
      <c r="W20" s="486"/>
      <c r="X20" s="487"/>
    </row>
    <row r="21" ht="15.75" customHeight="1" spans="6:24" x14ac:dyDescent="0.25">
      <c r="F21" s="488"/>
      <c r="G21" s="489"/>
      <c r="H21" s="489"/>
      <c r="I21" s="489"/>
      <c r="J21" s="489"/>
      <c r="K21" s="489"/>
      <c r="L21" s="489"/>
      <c r="M21" s="489"/>
      <c r="N21" s="489"/>
      <c r="O21" s="489"/>
      <c r="P21" s="489"/>
      <c r="Q21" s="489"/>
      <c r="R21" s="489"/>
      <c r="S21" s="489"/>
      <c r="T21" s="489"/>
      <c r="U21" s="489"/>
      <c r="V21" s="489"/>
      <c r="W21" s="489"/>
      <c r="X21" s="490"/>
    </row>
    <row r="22" ht="15.75" customHeight="1" spans="6:24" x14ac:dyDescent="0.25">
      <c r="F22" s="491"/>
      <c r="G22" s="492"/>
      <c r="H22" s="492"/>
      <c r="I22" s="492"/>
      <c r="J22" s="492"/>
      <c r="K22" s="492"/>
      <c r="L22" s="492"/>
      <c r="M22" s="492"/>
      <c r="N22" s="492"/>
      <c r="O22" s="492"/>
      <c r="P22" s="492"/>
      <c r="Q22" s="492"/>
      <c r="R22" s="492"/>
      <c r="S22" s="492"/>
      <c r="T22" s="492"/>
      <c r="U22" s="492"/>
      <c r="V22" s="492"/>
      <c r="W22" s="492"/>
      <c r="X22" s="493"/>
    </row>
    <row r="23" ht="15.75" customHeight="1" spans="6:24" x14ac:dyDescent="0.25">
      <c r="F23" s="494" t="s">
        <v>396</v>
      </c>
      <c r="G23" s="495" t="s">
        <v>397</v>
      </c>
      <c r="H23" s="496"/>
      <c r="I23" s="496"/>
      <c r="J23" s="497"/>
      <c r="K23" s="498" t="s">
        <v>398</v>
      </c>
      <c r="L23" s="499"/>
      <c r="M23" s="500"/>
      <c r="N23" s="501" t="s">
        <v>399</v>
      </c>
      <c r="O23" s="502" t="s">
        <v>400</v>
      </c>
      <c r="P23" s="502" t="s">
        <v>401</v>
      </c>
      <c r="Q23" s="503" t="s">
        <v>402</v>
      </c>
      <c r="R23" s="504"/>
      <c r="S23" s="504"/>
      <c r="T23" s="504"/>
      <c r="U23" s="504"/>
      <c r="V23" s="504"/>
      <c r="W23" s="505"/>
      <c r="X23" s="506" t="s">
        <v>168</v>
      </c>
    </row>
    <row r="24" ht="85.5" customHeight="1" spans="5:24" x14ac:dyDescent="0.25">
      <c r="E24" s="507"/>
      <c r="F24" s="508"/>
      <c r="G24" s="509" t="s">
        <v>403</v>
      </c>
      <c r="H24" s="510" t="s">
        <v>404</v>
      </c>
      <c r="I24" s="511" t="s">
        <v>405</v>
      </c>
      <c r="J24" s="512" t="s">
        <v>406</v>
      </c>
      <c r="K24" s="513" t="s">
        <v>407</v>
      </c>
      <c r="L24" s="514" t="s">
        <v>408</v>
      </c>
      <c r="M24" s="515" t="s">
        <v>409</v>
      </c>
      <c r="N24" s="516"/>
      <c r="O24" s="517"/>
      <c r="P24" s="518"/>
      <c r="Q24" s="519" t="s">
        <v>121</v>
      </c>
      <c r="R24" s="520" t="s">
        <v>147</v>
      </c>
      <c r="S24" s="520" t="s">
        <v>152</v>
      </c>
      <c r="T24" s="520" t="s">
        <v>155</v>
      </c>
      <c r="U24" s="521" t="s">
        <v>203</v>
      </c>
      <c r="V24" s="522" t="s">
        <v>410</v>
      </c>
      <c r="W24" s="523" t="s">
        <v>163</v>
      </c>
      <c r="X24" s="524"/>
    </row>
    <row r="25" ht="43.5" customHeight="1" spans="5:24" x14ac:dyDescent="0.25">
      <c r="E25" s="525" t="s">
        <v>411</v>
      </c>
      <c r="F25" s="526"/>
      <c r="G25" s="527"/>
      <c r="H25" s="514"/>
      <c r="I25" s="528"/>
      <c r="J25" s="529"/>
      <c r="K25" s="530"/>
      <c r="L25" s="531"/>
      <c r="M25" s="532">
        <f>снабжение!F39</f>
      </c>
      <c r="N25" s="533"/>
      <c r="O25" s="516"/>
      <c r="P25" s="534"/>
      <c r="Q25" s="513"/>
      <c r="R25" s="514"/>
      <c r="S25" s="514"/>
      <c r="T25" s="514"/>
      <c r="U25" s="531" t="s">
        <v>412</v>
      </c>
      <c r="V25" s="535"/>
      <c r="W25" s="536"/>
      <c r="X25" s="537"/>
    </row>
    <row r="26" ht="83.25" customHeight="1" spans="5:24" x14ac:dyDescent="0.25">
      <c r="E26" s="538">
        <f>IF(AND(технолог!P27=снабжение!D7),снабжение!D8,IF(AND(технолог!P27=снабжение!E7),снабжение!E8,IF(AND(технолог!P27=снабжение!F7),снабжение!F8,снабжение!G8)))</f>
      </c>
      <c r="F26" s="539">
        <f>снабжение!K14</f>
      </c>
      <c r="G26" s="540">
        <f>снабжение!G35+снабжение!M35</f>
      </c>
      <c r="H26" s="541">
        <f>снабжение!E8*снабжение!G78*снабжение!D14*снабжение!D14+технолог!V27*снабжение!H78*снабжение!D13</f>
      </c>
      <c r="I26" s="542">
        <f>снабжение!G22*2</f>
      </c>
      <c r="J26" s="543">
        <f>снабжение!M22*4</f>
      </c>
      <c r="K26" s="544">
        <f>снабжение!Q25</f>
      </c>
      <c r="L26" s="545">
        <f>снабжение!F38</f>
      </c>
      <c r="M26" s="543">
        <f>L26*M25</f>
      </c>
      <c r="N26" s="546">
        <f>снабжение!F78*снабжение!D8+технолог!U27*снабжение!J78*снабжение!D13</f>
      </c>
      <c r="O26" s="546">
        <f>снабжение!D8*снабжение!E78*снабжение!D14*снабжение!D14+снабжение!D78*снабжение!I78*снабжение!D13</f>
      </c>
      <c r="P26" s="547">
        <f>IF(технолог!G27="К4-750",снабжение!Q78,IF(технолог!G27="К4-1200",снабжение!Q78,IF(технолог!G27="К4-1000*500",снабжение!Q78,IF(технолог!G27="К4-1200*600",снабжение!Q78,IF(технолог!G27="К4-1000",снабжение!Q78,снабжение!R78)))))</f>
      </c>
      <c r="Q26" s="544">
        <f>снабжение!T44</f>
      </c>
      <c r="R26" s="548">
        <f>снабжение!I40</f>
      </c>
      <c r="S26" s="548">
        <f>снабжение!K40</f>
      </c>
      <c r="T26" s="548">
        <f>снабжение!M44+снабжение!M45+снабжение!M46</f>
      </c>
      <c r="U26" s="542">
        <f>снабжение!M40</f>
      </c>
      <c r="V26" s="543">
        <f>снабжение!P45</f>
      </c>
      <c r="W26" s="545">
        <f>снабжение!J53+снабжение!J58+снабжение!O53+снабжение!O58</f>
      </c>
      <c r="X26" s="549">
        <f>снабжение!P13</f>
      </c>
    </row>
    <row r="27" ht="15.75" customHeight="1" spans="6:24" x14ac:dyDescent="0.25">
      <c r="F27" s="550"/>
      <c r="G27" s="551"/>
      <c r="H27" s="552"/>
      <c r="I27" s="552"/>
      <c r="J27" s="553"/>
      <c r="K27" s="551"/>
      <c r="L27" s="554"/>
      <c r="M27" s="553"/>
      <c r="N27" s="555"/>
      <c r="O27" s="555"/>
      <c r="P27" s="556"/>
      <c r="Q27" s="557"/>
      <c r="R27" s="558"/>
      <c r="S27" s="558"/>
      <c r="T27" s="558"/>
      <c r="U27" s="552"/>
      <c r="V27" s="553"/>
      <c r="W27" s="559"/>
      <c r="X27" s="560"/>
    </row>
    <row r="28" ht="15.75" customHeight="1" x14ac:dyDescent="0.25"/>
    <row r="29" ht="15.75" customHeight="1" x14ac:dyDescent="0.25"/>
    <row r="30" spans="9:10" x14ac:dyDescent="0.25">
      <c r="I30" s="69" t="s">
        <v>396</v>
      </c>
      <c r="J30" s="561">
        <f>F26</f>
      </c>
    </row>
    <row r="31" ht="15.75" customHeight="1" spans="9:10" x14ac:dyDescent="0.25">
      <c r="I31" s="562" t="s">
        <v>397</v>
      </c>
      <c r="J31" s="563">
        <f>G26+H26+I26+J26</f>
      </c>
    </row>
    <row r="32" spans="9:24" x14ac:dyDescent="0.25">
      <c r="I32" s="562" t="s">
        <v>413</v>
      </c>
      <c r="J32" s="563">
        <f>N26+O26+P26</f>
      </c>
      <c r="S32" s="564" t="s">
        <v>73</v>
      </c>
      <c r="T32" s="565"/>
      <c r="U32" s="566">
        <f>SUM(F26:X26)</f>
      </c>
      <c r="V32" s="567"/>
      <c r="W32" s="567"/>
      <c r="X32" s="568"/>
    </row>
    <row r="33" spans="9:24" x14ac:dyDescent="0.25">
      <c r="I33" s="562" t="s">
        <v>398</v>
      </c>
      <c r="J33" s="563">
        <f>K26+L26+M26</f>
      </c>
      <c r="S33" s="569"/>
      <c r="T33" s="570"/>
      <c r="U33" s="571"/>
      <c r="V33" s="572"/>
      <c r="W33" s="572"/>
      <c r="X33" s="573"/>
    </row>
    <row r="34" spans="9:24" x14ac:dyDescent="0.25">
      <c r="I34" s="562" t="s">
        <v>402</v>
      </c>
      <c r="J34" s="563">
        <f>R26+S26+T26+U26+V26+X26</f>
      </c>
      <c r="S34" s="569"/>
      <c r="T34" s="570"/>
      <c r="U34" s="571"/>
      <c r="V34" s="572"/>
      <c r="W34" s="572"/>
      <c r="X34" s="573"/>
    </row>
    <row r="35" spans="9:24" x14ac:dyDescent="0.25">
      <c r="I35" s="562" t="s">
        <v>121</v>
      </c>
      <c r="J35" s="563">
        <f>Q26</f>
      </c>
      <c r="S35" s="569"/>
      <c r="T35" s="570"/>
      <c r="U35" s="571"/>
      <c r="V35" s="572"/>
      <c r="W35" s="572"/>
      <c r="X35" s="573"/>
    </row>
    <row r="36" ht="15.75" customHeight="1" spans="9:24" x14ac:dyDescent="0.25">
      <c r="I36" s="574" t="s">
        <v>163</v>
      </c>
      <c r="J36" s="575">
        <f>W26</f>
      </c>
      <c r="S36" s="569"/>
      <c r="T36" s="570"/>
      <c r="U36" s="571"/>
      <c r="V36" s="572"/>
      <c r="W36" s="572"/>
      <c r="X36" s="573"/>
    </row>
    <row r="37" spans="19:24" x14ac:dyDescent="0.25">
      <c r="S37" s="569"/>
      <c r="T37" s="570"/>
      <c r="U37" s="571"/>
      <c r="V37" s="572"/>
      <c r="W37" s="572"/>
      <c r="X37" s="573"/>
    </row>
    <row r="38" ht="15.75" customHeight="1" spans="19:24" x14ac:dyDescent="0.25">
      <c r="S38" s="576"/>
      <c r="T38" s="577"/>
      <c r="U38" s="578"/>
      <c r="V38" s="579"/>
      <c r="W38" s="579"/>
      <c r="X38" s="580"/>
    </row>
  </sheetData>
  <mergeCells count="24">
    <mergeCell ref="F18:X21"/>
    <mergeCell ref="F22:X22"/>
    <mergeCell ref="G23:J23"/>
    <mergeCell ref="K23:M23"/>
    <mergeCell ref="Q23:W23"/>
    <mergeCell ref="F23:F25"/>
    <mergeCell ref="N23:N25"/>
    <mergeCell ref="O23:O25"/>
    <mergeCell ref="P23:P25"/>
    <mergeCell ref="X23:X25"/>
    <mergeCell ref="G24:G25"/>
    <mergeCell ref="H24:H25"/>
    <mergeCell ref="I24:I25"/>
    <mergeCell ref="J24:J25"/>
    <mergeCell ref="K24:K25"/>
    <mergeCell ref="L24:L25"/>
    <mergeCell ref="Q24:Q25"/>
    <mergeCell ref="R24:R25"/>
    <mergeCell ref="S24:S25"/>
    <mergeCell ref="T24:T25"/>
    <mergeCell ref="V24:V25"/>
    <mergeCell ref="W24:W25"/>
    <mergeCell ref="S32:T38"/>
    <mergeCell ref="U32:X38"/>
  </mergeCell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технолог</vt:lpstr>
      <vt:lpstr>снабжение</vt:lpstr>
      <vt:lpstr>результат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2006-09-16T00:00:00Z</dcterms:created>
  <dcterms:modified xsi:type="dcterms:W3CDTF">2025-07-30T07:02:17Z</dcterms:modified>
</cp:coreProperties>
</file>