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технолог" sheetId="1" state="visible" r:id="rId2"/>
    <sheet name="снабжение" sheetId="2" state="visible" r:id="rId3"/>
    <sheet name="результат " sheetId="3" state="visible" r:id="rId4"/>
  </sheets>
  <definedNames>
    <definedName function="false" hidden="false" name="К4_750" vbProcedure="false">снабжение!$AM$45:$AM$57</definedName>
    <definedName function="false" hidden="false" name="крепеж_для_фланцев" vbProcedure="false">снабжение!$AW$37:$AW$45</definedName>
    <definedName function="false" hidden="false" name="материал_корпуса" vbProcedure="false">снабжение!$AU$47:$AU$54</definedName>
    <definedName function="false" hidden="false" name="материал_крепежа_для_фланцев" vbProcedure="false">снабжение!$AX$37:$AX$39</definedName>
    <definedName function="false" hidden="false" name="материал_крепежа_панелей" vbProcedure="false">снабжение!$AS$37:$AS$40</definedName>
    <definedName function="false" hidden="false" name="материал_пластин" vbProcedure="false">снабжение!$AS$47:$AS$54</definedName>
    <definedName function="false" hidden="false" name="покрытие_крепежа_для_фланцев" vbProcedure="false">снабжение!$AY$37:$AY$40</definedName>
    <definedName function="false" hidden="false" name="покрытие_крепежа_панелей" vbProcedure="false">снабжение!$AT$37:$AT$39</definedName>
    <definedName function="false" hidden="false" name="размер_крепежа_для_фланцев" vbProcedure="false">снабжение!$AW$37:$AW$45</definedName>
    <definedName function="false" hidden="false" name="размер_крепежа_панелей" vbProcedure="false">снабжение!$AV$37:$AV$43</definedName>
    <definedName function="false" hidden="false" name="Рядность_фланцев" vbProcedure="false">снабжение!$AR$37:$AR$44</definedName>
    <definedName function="false" hidden="false" name="тип_поверхности" vbProcedure="false">снабжение!$AZ$36:$AZ$40</definedName>
    <definedName function="false" hidden="false" name="тип_поставки" vbProcedure="false">снабжение!$AL$39:$AL$41</definedName>
    <definedName function="false" hidden="false" name="типоразмеры_К4" vbProcedure="false">снабжение!$AM$45:$AM$52</definedName>
    <definedName function="false" hidden="false" name="типоразмерыК4" vbProcedure="false">снабжение!$AM$45:$AM$46</definedName>
    <definedName function="false" hidden="false" name="типорзамеры_К4" vbProcedure="false">снабжение!$AM$40:$AM$52</definedName>
    <definedName function="false" hidden="false" name="толщина_пластины" vbProcedure="false">снабжение!$AL$47:$AL$53</definedName>
    <definedName function="false" hidden="false" name="Фланцы" vbProcedure="false">снабжение!$AQ$37:$AQ$55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0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0"/>
          </rPr>
          <t xml:space="preserve">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0"/>
          </rPr>
          <t xml:space="preserve">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I45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I46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M44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
</t>
        </r>
      </text>
    </comment>
    <comment ref="M45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</t>
        </r>
      </text>
    </comment>
    <comment ref="M46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</t>
        </r>
      </text>
    </comment>
  </commentList>
</comments>
</file>

<file path=xl/sharedStrings.xml><?xml version="1.0" encoding="utf-8"?>
<sst xmlns="http://schemas.openxmlformats.org/spreadsheetml/2006/main" count="597" uniqueCount="399">
  <si>
    <t xml:space="preserve">желтым выделено то, что нужно выбрать из списка ТЕХНОЛОГ</t>
  </si>
  <si>
    <t xml:space="preserve">зелёным выделено то, что нужно ввести в ручную ТЕХНОЛОГ</t>
  </si>
  <si>
    <t xml:space="preserve">оранжевым выделено то, что нужно ввести в ручную или выбрать из списка ИНЖЕНЕРАМ-КОНСТРУКТОРАМ</t>
  </si>
  <si>
    <t xml:space="preserve">синим выделено то, что рассчитывавется само (НЕ ТРОГАТЬ)</t>
  </si>
  <si>
    <t xml:space="preserve">красным выделено то, что может менять только Генеральный директор</t>
  </si>
  <si>
    <t xml:space="preserve">Исходные заполяет технолог</t>
  </si>
  <si>
    <t xml:space="preserve">номер у технолога</t>
  </si>
  <si>
    <t xml:space="preserve">Номер позиции в ОЛ Заказчика</t>
  </si>
  <si>
    <t xml:space="preserve">тип поставки</t>
  </si>
  <si>
    <t xml:space="preserve">типоразмер К4</t>
  </si>
  <si>
    <t xml:space="preserve">ходы</t>
  </si>
  <si>
    <t xml:space="preserve">Количество пластин</t>
  </si>
  <si>
    <t xml:space="preserve">Расч Давл по Гор Ст, бар</t>
  </si>
  <si>
    <t xml:space="preserve">Расч Давл по хол ст, бар</t>
  </si>
  <si>
    <t xml:space="preserve">Расч Темп по Гор Стороне, С</t>
  </si>
  <si>
    <t xml:space="preserve">Расч Темп по Хол Стороне, С</t>
  </si>
  <si>
    <t xml:space="preserve">Давление испытаний Гор ст, бар</t>
  </si>
  <si>
    <t xml:space="preserve">Давление испытаний Хол ст, бар</t>
  </si>
  <si>
    <t xml:space="preserve">Материал пластин</t>
  </si>
  <si>
    <t xml:space="preserve">Материал плакировки панелей</t>
  </si>
  <si>
    <t xml:space="preserve">Материал Корпуса</t>
  </si>
  <si>
    <t xml:space="preserve">тип гофры</t>
  </si>
  <si>
    <t xml:space="preserve">глубина вытяжки, мм</t>
  </si>
  <si>
    <t xml:space="preserve">толщина пластины, мм</t>
  </si>
  <si>
    <t xml:space="preserve">толщина плакировки, мм</t>
  </si>
  <si>
    <t xml:space="preserve">Е-113</t>
  </si>
  <si>
    <t xml:space="preserve">Целый ТА</t>
  </si>
  <si>
    <t xml:space="preserve">К4-750</t>
  </si>
  <si>
    <t xml:space="preserve">1/6</t>
  </si>
  <si>
    <t xml:space="preserve">AISI 316L</t>
  </si>
  <si>
    <t xml:space="preserve">09Г2С</t>
  </si>
  <si>
    <t xml:space="preserve">гофра</t>
  </si>
  <si>
    <t xml:space="preserve">Расчетная температура, °С</t>
  </si>
  <si>
    <t xml:space="preserve">Допускаемые напряжения 09Г2С, МПа</t>
  </si>
  <si>
    <t xml:space="preserve">Температура, °С</t>
  </si>
  <si>
    <t xml:space="preserve">Ϭ, МПа</t>
  </si>
  <si>
    <t xml:space="preserve">Расчетное давление, МПа</t>
  </si>
  <si>
    <t xml:space="preserve">Давление гидроиспытаний, МПа</t>
  </si>
  <si>
    <t xml:space="preserve">расч напр по гор ст</t>
  </si>
  <si>
    <t xml:space="preserve">расч напр по хол ст</t>
  </si>
  <si>
    <t xml:space="preserve">давление расчётное гор ст</t>
  </si>
  <si>
    <t xml:space="preserve">давление расчётное хол ст</t>
  </si>
  <si>
    <t xml:space="preserve">Давление ГИ Гор ст</t>
  </si>
  <si>
    <t xml:space="preserve">Давление ГИ Хол ст</t>
  </si>
  <si>
    <t xml:space="preserve">0605;1210</t>
  </si>
  <si>
    <t xml:space="preserve">номер проекта</t>
  </si>
  <si>
    <t xml:space="preserve">0000</t>
  </si>
  <si>
    <t xml:space="preserve">желтым выделено то, что нужно выбрать из списка</t>
  </si>
  <si>
    <t xml:space="preserve">зелёным выделено то, что нужно ввести в ручную СНАБЖЕНИЕ</t>
  </si>
  <si>
    <t xml:space="preserve">Теплоблок</t>
  </si>
  <si>
    <t xml:space="preserve">оранжевым выделено то, что нужно ввести в ручную или выбрать из списка должны вводить ИНЖЕНЕРЫ-КОНСТРУКТОРЫ</t>
  </si>
  <si>
    <t xml:space="preserve">пластина</t>
  </si>
  <si>
    <t xml:space="preserve">плакировка</t>
  </si>
  <si>
    <t xml:space="preserve">ФАЙЛ: ВЕРСИЯ 7 для битрикс</t>
  </si>
  <si>
    <t xml:space="preserve">Принятая Цена материала проточной части за кг, руб</t>
  </si>
  <si>
    <t xml:space="preserve">Материал корпуса</t>
  </si>
  <si>
    <t xml:space="preserve">поз</t>
  </si>
  <si>
    <t xml:space="preserve">типоразмер</t>
  </si>
  <si>
    <t xml:space="preserve">кол-во пластин</t>
  </si>
  <si>
    <t xml:space="preserve">тип пластин</t>
  </si>
  <si>
    <t xml:space="preserve">материал пластин</t>
  </si>
  <si>
    <t xml:space="preserve">толщина пластин,мм</t>
  </si>
  <si>
    <t xml:space="preserve">вытяжка, мм</t>
  </si>
  <si>
    <t xml:space="preserve">материал плакировки панелей</t>
  </si>
  <si>
    <t xml:space="preserve">толщина плакировки панелей, мм</t>
  </si>
  <si>
    <r>
      <rPr>
        <sz val="11"/>
        <color rgb="FF000000"/>
        <rFont val="Calibri"/>
        <family val="2"/>
      </rPr>
      <t xml:space="preserve">Принятая цена материала </t>
    </r>
    <r>
      <rPr>
        <b val="true"/>
        <sz val="11"/>
        <color rgb="FF000000"/>
        <rFont val="Calibri"/>
        <family val="2"/>
      </rPr>
      <t xml:space="preserve">колонн, крышек</t>
    </r>
    <r>
      <rPr>
        <sz val="11"/>
        <color rgb="FF000000"/>
        <rFont val="Calibri"/>
        <family val="2"/>
      </rPr>
      <t xml:space="preserve">, руб за кг</t>
    </r>
  </si>
  <si>
    <r>
      <rPr>
        <sz val="11"/>
        <color rgb="FF000000"/>
        <rFont val="Calibri"/>
        <family val="2"/>
      </rPr>
      <t xml:space="preserve">Принятая цена материала </t>
    </r>
    <r>
      <rPr>
        <b val="true"/>
        <sz val="11"/>
        <color rgb="FF000000"/>
        <rFont val="Calibri"/>
        <family val="2"/>
      </rPr>
      <t xml:space="preserve">панелей</t>
    </r>
    <r>
      <rPr>
        <sz val="11"/>
        <color rgb="FF000000"/>
        <rFont val="Calibri"/>
        <family val="2"/>
      </rPr>
      <t xml:space="preserve">, руб за кг</t>
    </r>
  </si>
  <si>
    <t xml:space="preserve">Принятая цена нормочаса, руб</t>
  </si>
  <si>
    <t xml:space="preserve">Стоимость раскроя - песок, электричество, вода (руб/метр) </t>
  </si>
  <si>
    <t xml:space="preserve">количество нормачасов</t>
  </si>
  <si>
    <t xml:space="preserve">внутренняя логитика</t>
  </si>
  <si>
    <t xml:space="preserve">Поправка на раскрой для плакировки и гребёнок</t>
  </si>
  <si>
    <t xml:space="preserve">ИТОГО</t>
  </si>
  <si>
    <t xml:space="preserve">поправка на раскрой колонн</t>
  </si>
  <si>
    <t xml:space="preserve">поправка на раскрой крышек</t>
  </si>
  <si>
    <t xml:space="preserve">ПРОВЕРКА</t>
  </si>
  <si>
    <t xml:space="preserve">поправка на раскрой панелей</t>
  </si>
  <si>
    <t xml:space="preserve">КРЫШКА 1 штука</t>
  </si>
  <si>
    <t xml:space="preserve">КОЛОННА 1 штука</t>
  </si>
  <si>
    <t xml:space="preserve">КРЕПЕЖ ПАНЕЛЕЙ</t>
  </si>
  <si>
    <t xml:space="preserve">работы</t>
  </si>
  <si>
    <t xml:space="preserve">МЕТАЛЛ</t>
  </si>
  <si>
    <t xml:space="preserve">толщина проката, м</t>
  </si>
  <si>
    <t xml:space="preserve">плотность</t>
  </si>
  <si>
    <t xml:space="preserve">количество</t>
  </si>
  <si>
    <t xml:space="preserve">панели</t>
  </si>
  <si>
    <t xml:space="preserve">цена раскроя</t>
  </si>
  <si>
    <t xml:space="preserve">вес загот, кг</t>
  </si>
  <si>
    <t xml:space="preserve">материал</t>
  </si>
  <si>
    <t xml:space="preserve">40Х</t>
  </si>
  <si>
    <t xml:space="preserve">плакировка панелей</t>
  </si>
  <si>
    <t xml:space="preserve">ОБРАБОТКА 1 шт</t>
  </si>
  <si>
    <t xml:space="preserve">ОБРАБОТКА 1шт</t>
  </si>
  <si>
    <t xml:space="preserve">высота, м</t>
  </si>
  <si>
    <t xml:space="preserve">покрытие</t>
  </si>
  <si>
    <t xml:space="preserve">Zn-Cr 9мкм</t>
  </si>
  <si>
    <t xml:space="preserve">цена за 1шт</t>
  </si>
  <si>
    <t xml:space="preserve">крышки</t>
  </si>
  <si>
    <t xml:space="preserve">ИТОГО 1 крышка</t>
  </si>
  <si>
    <t xml:space="preserve">ИТОГО 1 колонна</t>
  </si>
  <si>
    <t xml:space="preserve">шпилька</t>
  </si>
  <si>
    <t xml:space="preserve">М33</t>
  </si>
  <si>
    <t xml:space="preserve">колонны</t>
  </si>
  <si>
    <t xml:space="preserve">гайка</t>
  </si>
  <si>
    <t xml:space="preserve">крепёж панелей</t>
  </si>
  <si>
    <t xml:space="preserve">ПАНЕЛЬ А 1 штука</t>
  </si>
  <si>
    <t xml:space="preserve">ПАНЕЛЬ Б 1 штука</t>
  </si>
  <si>
    <t xml:space="preserve">шайба</t>
  </si>
  <si>
    <t xml:space="preserve">прокладки панелей</t>
  </si>
  <si>
    <t xml:space="preserve">МЕТАЛЛ на 1шт</t>
  </si>
  <si>
    <t xml:space="preserve">МЕТАЛЛ на 1 шт</t>
  </si>
  <si>
    <t xml:space="preserve">резерв прокладок панелей</t>
  </si>
  <si>
    <t xml:space="preserve">пакет пластин</t>
  </si>
  <si>
    <t xml:space="preserve">ОБРАБОТКА за 1шт</t>
  </si>
  <si>
    <t xml:space="preserve">ширина, м</t>
  </si>
  <si>
    <t xml:space="preserve">КОФ</t>
  </si>
  <si>
    <t xml:space="preserve">зеркала-гребёнки-плакировка крышек-перегородки</t>
  </si>
  <si>
    <t xml:space="preserve">Фланец №1</t>
  </si>
  <si>
    <t xml:space="preserve">Ру10</t>
  </si>
  <si>
    <t xml:space="preserve">Ду600</t>
  </si>
  <si>
    <t xml:space="preserve">цена 1шт</t>
  </si>
  <si>
    <t xml:space="preserve">Фланец №3</t>
  </si>
  <si>
    <t xml:space="preserve">Ру25</t>
  </si>
  <si>
    <t xml:space="preserve">Ду450</t>
  </si>
  <si>
    <t xml:space="preserve">ЦЕНА 1шт</t>
  </si>
  <si>
    <t xml:space="preserve">распорки</t>
  </si>
  <si>
    <t xml:space="preserve">Фланец №2</t>
  </si>
  <si>
    <t xml:space="preserve">Ру40</t>
  </si>
  <si>
    <t xml:space="preserve">Фланец №4</t>
  </si>
  <si>
    <t xml:space="preserve">Ру63</t>
  </si>
  <si>
    <t xml:space="preserve">Ду300</t>
  </si>
  <si>
    <t xml:space="preserve">крепёж</t>
  </si>
  <si>
    <t xml:space="preserve">М18</t>
  </si>
  <si>
    <t xml:space="preserve">ст40Х</t>
  </si>
  <si>
    <t xml:space="preserve">комплект</t>
  </si>
  <si>
    <t xml:space="preserve">Цена заготовки трубы под фланец №1, 1шт</t>
  </si>
  <si>
    <t xml:space="preserve">Цена заготовки трубы под фланец №3, 1шт</t>
  </si>
  <si>
    <t xml:space="preserve">прокладка</t>
  </si>
  <si>
    <t xml:space="preserve">1шт</t>
  </si>
  <si>
    <t xml:space="preserve">проушины</t>
  </si>
  <si>
    <t xml:space="preserve">Цена заготовки трубы под фланец №2, 1шт</t>
  </si>
  <si>
    <t xml:space="preserve">Цена заготовки трубы под фланец №4, 1шт</t>
  </si>
  <si>
    <t xml:space="preserve">обтюратор</t>
  </si>
  <si>
    <t xml:space="preserve">лапы</t>
  </si>
  <si>
    <t xml:space="preserve">Цена на патрубок (фланец+труба) дренажа, 1шт</t>
  </si>
  <si>
    <t xml:space="preserve">другие материалы</t>
  </si>
  <si>
    <t xml:space="preserve">Цена на патрубок(фланец+труба) вентиляции, 1шт</t>
  </si>
  <si>
    <t xml:space="preserve">раскосы для ШОТ_БЛОКА</t>
  </si>
  <si>
    <t xml:space="preserve">ИТОГО ПАНЕЛЬ</t>
  </si>
  <si>
    <t xml:space="preserve">ИТОГО ПАТРУБКИ</t>
  </si>
  <si>
    <t xml:space="preserve">неучтёнка</t>
  </si>
  <si>
    <t xml:space="preserve">ИТОГО 2 панели с патрубками</t>
  </si>
  <si>
    <t xml:space="preserve">ЗИП</t>
  </si>
  <si>
    <t xml:space="preserve">Фланцы</t>
  </si>
  <si>
    <t xml:space="preserve">КРЕПЁЖ ПАНЕЛЕЙ</t>
  </si>
  <si>
    <t xml:space="preserve">КРЕПЕЖ ДЛЯ ФЛАНЦЕВ</t>
  </si>
  <si>
    <t xml:space="preserve">тип поверхности</t>
  </si>
  <si>
    <t xml:space="preserve">Внутренняя логистика</t>
  </si>
  <si>
    <t xml:space="preserve">размер</t>
  </si>
  <si>
    <t xml:space="preserve">Рядность</t>
  </si>
  <si>
    <t xml:space="preserve">ПРОКЛАДКИ ПАНЕЛЕЙ</t>
  </si>
  <si>
    <t xml:space="preserve">ПРОУШИНЫ, комплект</t>
  </si>
  <si>
    <t xml:space="preserve">ЛАПЫ, комплект</t>
  </si>
  <si>
    <t xml:space="preserve">РАСКОСЫ, комплект</t>
  </si>
  <si>
    <t xml:space="preserve">Ду25</t>
  </si>
  <si>
    <t xml:space="preserve">Ру6</t>
  </si>
  <si>
    <t xml:space="preserve">М24</t>
  </si>
  <si>
    <t xml:space="preserve">М16</t>
  </si>
  <si>
    <t xml:space="preserve">ст35</t>
  </si>
  <si>
    <t xml:space="preserve">дв. лунка</t>
  </si>
  <si>
    <t xml:space="preserve">Цена 1 шт</t>
  </si>
  <si>
    <t xml:space="preserve">комплект 4шт</t>
  </si>
  <si>
    <t xml:space="preserve">металл</t>
  </si>
  <si>
    <t xml:space="preserve">площадь крышки</t>
  </si>
  <si>
    <t xml:space="preserve">ширина панели А</t>
  </si>
  <si>
    <t xml:space="preserve">ширина панели Б</t>
  </si>
  <si>
    <t xml:space="preserve">Ду32</t>
  </si>
  <si>
    <t xml:space="preserve">38ХМ (35ХМ)</t>
  </si>
  <si>
    <t xml:space="preserve">Zn-Cr 25мкм</t>
  </si>
  <si>
    <t xml:space="preserve">М30</t>
  </si>
  <si>
    <t xml:space="preserve">од. лунка</t>
  </si>
  <si>
    <t xml:space="preserve">количество запасных комплектов (резерв на давление)</t>
  </si>
  <si>
    <t xml:space="preserve">обработка</t>
  </si>
  <si>
    <t xml:space="preserve">м2</t>
  </si>
  <si>
    <t xml:space="preserve">Ду40</t>
  </si>
  <si>
    <t xml:space="preserve">Ру16</t>
  </si>
  <si>
    <t xml:space="preserve">30ХМА</t>
  </si>
  <si>
    <t xml:space="preserve">Cd-Cr</t>
  </si>
  <si>
    <t xml:space="preserve">М20</t>
  </si>
  <si>
    <t xml:space="preserve">20ХН3А</t>
  </si>
  <si>
    <t xml:space="preserve">ШОТ-БЛОК</t>
  </si>
  <si>
    <t xml:space="preserve">К4-150</t>
  </si>
  <si>
    <t xml:space="preserve">Ду50</t>
  </si>
  <si>
    <t xml:space="preserve">М36</t>
  </si>
  <si>
    <t xml:space="preserve">М22</t>
  </si>
  <si>
    <t xml:space="preserve">Чернение</t>
  </si>
  <si>
    <t xml:space="preserve">шпилька-лунка</t>
  </si>
  <si>
    <t xml:space="preserve">РЕИНЖ</t>
  </si>
  <si>
    <t xml:space="preserve">К4-200</t>
  </si>
  <si>
    <t xml:space="preserve">Ду65</t>
  </si>
  <si>
    <t xml:space="preserve">М39</t>
  </si>
  <si>
    <t xml:space="preserve">РАСПОРКИ</t>
  </si>
  <si>
    <t xml:space="preserve">ДРУГИЕ МАТЕРИАЛЫ (не ЗИП), например, теплоизоляция, короб теплоизоляции, втулки для крепления теплоизоляции</t>
  </si>
  <si>
    <t xml:space="preserve">К4-300</t>
  </si>
  <si>
    <t xml:space="preserve">Ду80</t>
  </si>
  <si>
    <t xml:space="preserve">М42</t>
  </si>
  <si>
    <t xml:space="preserve">М27</t>
  </si>
  <si>
    <t xml:space="preserve">цена  шпильки М24х2000, шт</t>
  </si>
  <si>
    <t xml:space="preserve">цена выс. гайки М24 DIN6330, шт</t>
  </si>
  <si>
    <t xml:space="preserve">К4-400</t>
  </si>
  <si>
    <t xml:space="preserve">Ду100</t>
  </si>
  <si>
    <t xml:space="preserve">Ру100</t>
  </si>
  <si>
    <t xml:space="preserve">М48</t>
  </si>
  <si>
    <t xml:space="preserve">Цена шпильки М24х1000, шт</t>
  </si>
  <si>
    <t xml:space="preserve">цена гайки М24 DIN933, шт</t>
  </si>
  <si>
    <t xml:space="preserve">втулка теплоизоляции 90шт</t>
  </si>
  <si>
    <t xml:space="preserve">К4-500*250</t>
  </si>
  <si>
    <t xml:space="preserve">Ду125</t>
  </si>
  <si>
    <t xml:space="preserve">Ру160</t>
  </si>
  <si>
    <t xml:space="preserve">Цена шпильки М20х2000, шт</t>
  </si>
  <si>
    <t xml:space="preserve">цена гайки М20/М16 DIN933, шт</t>
  </si>
  <si>
    <t xml:space="preserve">впишите информацию</t>
  </si>
  <si>
    <t xml:space="preserve">К4-500</t>
  </si>
  <si>
    <t xml:space="preserve">Ду150</t>
  </si>
  <si>
    <t xml:space="preserve">Цена шпильки М20/М16х1000, шт</t>
  </si>
  <si>
    <t xml:space="preserve">толщина пластины</t>
  </si>
  <si>
    <t xml:space="preserve">Ду200</t>
  </si>
  <si>
    <t xml:space="preserve">материал корпуса</t>
  </si>
  <si>
    <t xml:space="preserve">К4-600</t>
  </si>
  <si>
    <t xml:space="preserve">Ду250</t>
  </si>
  <si>
    <t xml:space="preserve">ст3</t>
  </si>
  <si>
    <t xml:space="preserve">К4-600*300</t>
  </si>
  <si>
    <t xml:space="preserve">SMO 254</t>
  </si>
  <si>
    <t xml:space="preserve">ст20</t>
  </si>
  <si>
    <t xml:space="preserve">сумма</t>
  </si>
  <si>
    <t xml:space="preserve">К4-1000</t>
  </si>
  <si>
    <t xml:space="preserve">Ду350</t>
  </si>
  <si>
    <t xml:space="preserve">Hast-C276</t>
  </si>
  <si>
    <t xml:space="preserve">Прокладки панелей</t>
  </si>
  <si>
    <t xml:space="preserve">К4-1000*500</t>
  </si>
  <si>
    <t xml:space="preserve">Ду400</t>
  </si>
  <si>
    <t xml:space="preserve">Titanium</t>
  </si>
  <si>
    <t xml:space="preserve">12Х18Н10Т</t>
  </si>
  <si>
    <t xml:space="preserve">крепёж к фундаменту, анкерные болты</t>
  </si>
  <si>
    <t xml:space="preserve">К4-1200</t>
  </si>
  <si>
    <t xml:space="preserve">AISI 304</t>
  </si>
  <si>
    <t xml:space="preserve">ДРУГОЕ</t>
  </si>
  <si>
    <t xml:space="preserve">К4-1200*600</t>
  </si>
  <si>
    <t xml:space="preserve">Ду500</t>
  </si>
  <si>
    <t xml:space="preserve">AISI316Ti</t>
  </si>
  <si>
    <t xml:space="preserve">904L</t>
  </si>
  <si>
    <t xml:space="preserve">AISI 321</t>
  </si>
  <si>
    <t xml:space="preserve">Фланцевый крепёж</t>
  </si>
  <si>
    <t xml:space="preserve">Фланцевые прокладки</t>
  </si>
  <si>
    <t xml:space="preserve">Ду800</t>
  </si>
  <si>
    <t xml:space="preserve">AISI 316Ti</t>
  </si>
  <si>
    <t xml:space="preserve">Ду1000</t>
  </si>
  <si>
    <t xml:space="preserve">Плотность материалов</t>
  </si>
  <si>
    <t xml:space="preserve">кг/мм3</t>
  </si>
  <si>
    <t xml:space="preserve">06ХН28МДТ</t>
  </si>
  <si>
    <t xml:space="preserve">Titan</t>
  </si>
  <si>
    <t xml:space="preserve">ХН65МВУ (ЭП567) </t>
  </si>
  <si>
    <t xml:space="preserve">Расчетная масса</t>
  </si>
  <si>
    <t xml:space="preserve">Реинжиниринг</t>
  </si>
  <si>
    <t xml:space="preserve">Распорки</t>
  </si>
  <si>
    <t xml:space="preserve">Гайки</t>
  </si>
  <si>
    <t xml:space="preserve">Толщина плакировки панелей</t>
  </si>
  <si>
    <t xml:space="preserve">Толщина нержавейки</t>
  </si>
  <si>
    <t xml:space="preserve">Гребёнки, зеркала, плакировка крышек</t>
  </si>
  <si>
    <t xml:space="preserve">Масса пластин</t>
  </si>
  <si>
    <t xml:space="preserve">Масса листов плакирующих панели</t>
  </si>
  <si>
    <t xml:space="preserve">Длина резки плакировки панелей</t>
  </si>
  <si>
    <t xml:space="preserve">Длина резки нержавейки гребёнки, зеркала, плакировка крышек</t>
  </si>
  <si>
    <t xml:space="preserve">Длина резки нержавейки 1мм</t>
  </si>
  <si>
    <t xml:space="preserve">Длина резки нержавейки пакета пластин</t>
  </si>
  <si>
    <t xml:space="preserve">Кол-во 1 м шпилек, шт</t>
  </si>
  <si>
    <t xml:space="preserve">Кол-во 2 м шпилек, шт</t>
  </si>
  <si>
    <t xml:space="preserve">DIN 933</t>
  </si>
  <si>
    <t xml:space="preserve">DIN 6330</t>
  </si>
  <si>
    <t xml:space="preserve">большие</t>
  </si>
  <si>
    <t xml:space="preserve">остальные</t>
  </si>
  <si>
    <t xml:space="preserve">Наименование детали</t>
  </si>
  <si>
    <t xml:space="preserve">Масса, кг</t>
  </si>
  <si>
    <t xml:space="preserve">Плотность пакета, кг/мм3</t>
  </si>
  <si>
    <t xml:space="preserve">Гребенка 4шт</t>
  </si>
  <si>
    <t xml:space="preserve">Полоса гребенки 4шт</t>
  </si>
  <si>
    <t xml:space="preserve">Лист концевой 2шт</t>
  </si>
  <si>
    <t xml:space="preserve">плотность плакировки,кг/мм3</t>
  </si>
  <si>
    <t xml:space="preserve">Зеркало лист 8шт</t>
  </si>
  <si>
    <t xml:space="preserve">Зеркало А 4шт</t>
  </si>
  <si>
    <t xml:space="preserve">Зеркало Б 4шт</t>
  </si>
  <si>
    <t xml:space="preserve">Высота пластины</t>
  </si>
  <si>
    <t xml:space="preserve">Высота пакета пластин</t>
  </si>
  <si>
    <t xml:space="preserve">Лист плакирующий А 2шт</t>
  </si>
  <si>
    <t xml:space="preserve">Лист плакирующий Б 2шт </t>
  </si>
  <si>
    <t xml:space="preserve">Масса пластин, кг</t>
  </si>
  <si>
    <t xml:space="preserve">А</t>
  </si>
  <si>
    <t xml:space="preserve">Б</t>
  </si>
  <si>
    <t xml:space="preserve">3 столбца не трогать</t>
  </si>
  <si>
    <t xml:space="preserve">Количество ходов</t>
  </si>
  <si>
    <t xml:space="preserve">Не используется</t>
  </si>
  <si>
    <t xml:space="preserve">Таблица пластин</t>
  </si>
  <si>
    <t xml:space="preserve">Ширина</t>
  </si>
  <si>
    <t xml:space="preserve">Длина</t>
  </si>
  <si>
    <t xml:space="preserve">Масса 4шт</t>
  </si>
  <si>
    <t xml:space="preserve">Масса 2шт</t>
  </si>
  <si>
    <t xml:space="preserve">Масса</t>
  </si>
  <si>
    <t xml:space="preserve">Длина А</t>
  </si>
  <si>
    <t xml:space="preserve">Длина Б</t>
  </si>
  <si>
    <t xml:space="preserve">Длина (средний периметр)</t>
  </si>
  <si>
    <t xml:space="preserve">Не применимо</t>
  </si>
  <si>
    <t xml:space="preserve">Пластины</t>
  </si>
  <si>
    <t xml:space="preserve">Длина заготовки</t>
  </si>
  <si>
    <t xml:space="preserve">Ширина заготовки</t>
  </si>
  <si>
    <t xml:space="preserve">Высота</t>
  </si>
  <si>
    <t xml:space="preserve">масса заготовок</t>
  </si>
  <si>
    <t xml:space="preserve">Колонны</t>
  </si>
  <si>
    <t xml:space="preserve">Гребенка</t>
  </si>
  <si>
    <t xml:space="preserve">Полоса гребенки</t>
  </si>
  <si>
    <t xml:space="preserve">Лист концевой</t>
  </si>
  <si>
    <t xml:space="preserve">Зеркало лист без прибавки на резку</t>
  </si>
  <si>
    <t xml:space="preserve">Зеркало лист</t>
  </si>
  <si>
    <t xml:space="preserve">Зеркало 1шт без прибавки на резку</t>
  </si>
  <si>
    <t xml:space="preserve">Зеркало А 2шт</t>
  </si>
  <si>
    <t xml:space="preserve">Зеркало Б 2шт</t>
  </si>
  <si>
    <t xml:space="preserve">Лист плакирующий А</t>
  </si>
  <si>
    <t xml:space="preserve">Лист плакирующий Б</t>
  </si>
  <si>
    <t xml:space="preserve">Длина Гребенки</t>
  </si>
  <si>
    <t xml:space="preserve">Длина полосы гребенки</t>
  </si>
  <si>
    <t xml:space="preserve">Длина лист концевой</t>
  </si>
  <si>
    <t xml:space="preserve">Зеркало А</t>
  </si>
  <si>
    <t xml:space="preserve">Зеркало Б</t>
  </si>
  <si>
    <t xml:space="preserve">Дефлектор А</t>
  </si>
  <si>
    <t xml:space="preserve">Дефлектор Б</t>
  </si>
  <si>
    <t xml:space="preserve">Ласточка A</t>
  </si>
  <si>
    <t xml:space="preserve">Ласточка Б</t>
  </si>
  <si>
    <t xml:space="preserve">Пластина</t>
  </si>
  <si>
    <t xml:space="preserve">Лист Плакирующий Б</t>
  </si>
  <si>
    <t xml:space="preserve">отверстия листа плак А</t>
  </si>
  <si>
    <t xml:space="preserve">отверстия листа плак Б</t>
  </si>
  <si>
    <t xml:space="preserve">Сумма 3мм Теплоблок (пакет)</t>
  </si>
  <si>
    <t xml:space="preserve">Сумма 3мм Теплоблок (плакировка)</t>
  </si>
  <si>
    <t xml:space="preserve">Сумма 3мм реинж</t>
  </si>
  <si>
    <t xml:space="preserve">Сумма 1мм</t>
  </si>
  <si>
    <t xml:space="preserve">Рапорка горизонтальная А</t>
  </si>
  <si>
    <t xml:space="preserve">Распорка горизонтальная Б</t>
  </si>
  <si>
    <t xml:space="preserve">Длина горизонтальной А</t>
  </si>
  <si>
    <t xml:space="preserve">Длина горизонтальной Б</t>
  </si>
  <si>
    <t xml:space="preserve">Гайка DIN933</t>
  </si>
  <si>
    <t xml:space="preserve">1 строка</t>
  </si>
  <si>
    <t xml:space="preserve">Шаг установки распорок</t>
  </si>
  <si>
    <t xml:space="preserve">АА</t>
  </si>
  <si>
    <t xml:space="preserve">АБ</t>
  </si>
  <si>
    <t xml:space="preserve">БА</t>
  </si>
  <si>
    <t xml:space="preserve">ББ</t>
  </si>
  <si>
    <t xml:space="preserve">кол-во распорок на длину (предварит)</t>
  </si>
  <si>
    <t xml:space="preserve">кол-во горизонтальных распорок (без дефлект)</t>
  </si>
  <si>
    <t xml:space="preserve">кол-во дефлекторов</t>
  </si>
  <si>
    <t xml:space="preserve">кол-во распорок с дефлекторами</t>
  </si>
  <si>
    <t xml:space="preserve">кол-во горизонтальных распорок пакета пластин</t>
  </si>
  <si>
    <t xml:space="preserve">1 ход</t>
  </si>
  <si>
    <t xml:space="preserve">2хода</t>
  </si>
  <si>
    <t xml:space="preserve">четное</t>
  </si>
  <si>
    <t xml:space="preserve">нечетное</t>
  </si>
  <si>
    <t xml:space="preserve">1 строка таблицы</t>
  </si>
  <si>
    <t xml:space="preserve">Горизонтальные длина</t>
  </si>
  <si>
    <t xml:space="preserve">Вертикальные длина</t>
  </si>
  <si>
    <t xml:space="preserve">А сторона</t>
  </si>
  <si>
    <t xml:space="preserve">Б сторона</t>
  </si>
  <si>
    <t xml:space="preserve">Сторона А кол-во, шт</t>
  </si>
  <si>
    <t xml:space="preserve">Длина 1шт</t>
  </si>
  <si>
    <t xml:space="preserve">Сторона Б кол-во, шт</t>
  </si>
  <si>
    <t xml:space="preserve">Кол-во</t>
  </si>
  <si>
    <t xml:space="preserve">кол-во из 1м шпильки</t>
  </si>
  <si>
    <t xml:space="preserve">кол-во 1 м шпилек</t>
  </si>
  <si>
    <t xml:space="preserve">кол-во 1 м шпилек вертикальных</t>
  </si>
  <si>
    <t xml:space="preserve">шпилек на 2 метра</t>
  </si>
  <si>
    <t xml:space="preserve">ощее кол-во 1 м шпилек</t>
  </si>
  <si>
    <t xml:space="preserve">кол-во 2м шпилек для 1200</t>
  </si>
  <si>
    <t xml:space="preserve">кол-во 2м шпилек для 1200x600</t>
  </si>
  <si>
    <t xml:space="preserve">СВОДНЫЙ РЕЗУЛЬТАТ</t>
  </si>
  <si>
    <t xml:space="preserve">РАБОТЫ</t>
  </si>
  <si>
    <t xml:space="preserve">КОРПУС</t>
  </si>
  <si>
    <t xml:space="preserve">СОЕДИНЕНИЯ</t>
  </si>
  <si>
    <t xml:space="preserve">пакет пластин (материал + раскрой)</t>
  </si>
  <si>
    <t xml:space="preserve">зеркала, гребёнки, плакировка крышек, перегородки (материал + раскрой)</t>
  </si>
  <si>
    <t xml:space="preserve">внутренние распорки (шпильки+гайки)</t>
  </si>
  <si>
    <t xml:space="preserve">ПРОЧЕЕ</t>
  </si>
  <si>
    <r>
      <rPr>
        <b val="true"/>
        <sz val="11"/>
        <color rgb="FF000000"/>
        <rFont val="Calibri"/>
        <family val="2"/>
      </rPr>
      <t xml:space="preserve">панели </t>
    </r>
    <r>
      <rPr>
        <sz val="11"/>
        <color rgb="FF000000"/>
        <rFont val="Calibri"/>
        <family val="2"/>
      </rPr>
      <t xml:space="preserve">(материал+обработка, патрубки, фланцы)</t>
    </r>
  </si>
  <si>
    <r>
      <rPr>
        <b val="true"/>
        <sz val="11"/>
        <color rgb="FF000000"/>
        <rFont val="Calibri"/>
        <family val="2"/>
      </rPr>
      <t xml:space="preserve">плакировка панелей </t>
    </r>
    <r>
      <rPr>
        <sz val="11"/>
        <color rgb="FF000000"/>
        <rFont val="Calibri"/>
        <family val="2"/>
      </rPr>
      <t xml:space="preserve"> (материал + раскрой)</t>
    </r>
  </si>
  <si>
    <r>
      <rPr>
        <b val="true"/>
        <sz val="11"/>
        <color rgb="FF000000"/>
        <rFont val="Calibri"/>
        <family val="2"/>
      </rPr>
      <t xml:space="preserve">крышки </t>
    </r>
    <r>
      <rPr>
        <sz val="11"/>
        <color rgb="FF000000"/>
        <rFont val="Calibri"/>
        <family val="2"/>
      </rPr>
      <t xml:space="preserve">(материал + обработка)</t>
    </r>
  </si>
  <si>
    <r>
      <rPr>
        <b val="true"/>
        <sz val="11"/>
        <color rgb="FF000000"/>
        <rFont val="Calibri"/>
        <family val="2"/>
      </rPr>
      <t xml:space="preserve">стойки </t>
    </r>
    <r>
      <rPr>
        <sz val="11"/>
        <color rgb="FF000000"/>
        <rFont val="Calibri"/>
        <family val="2"/>
      </rPr>
      <t xml:space="preserve">(материал + обработка)</t>
    </r>
  </si>
  <si>
    <r>
      <rPr>
        <b val="true"/>
        <sz val="11"/>
        <color rgb="FF000000"/>
        <rFont val="Calibri"/>
        <family val="2"/>
      </rPr>
      <t xml:space="preserve">КРЕПЁЖ ПАНЕЛЕЙ шпильки и гайки </t>
    </r>
    <r>
      <rPr>
        <sz val="11"/>
        <color rgb="FF000000"/>
        <rFont val="Calibri"/>
        <family val="2"/>
      </rPr>
      <t xml:space="preserve">(для стяжки панелей)</t>
    </r>
  </si>
  <si>
    <t xml:space="preserve">прокладки панелей (1 комплект)</t>
  </si>
  <si>
    <t xml:space="preserve">резервных комплектов предусмотрено</t>
  </si>
  <si>
    <t xml:space="preserve">НЕУЧТЁНКА</t>
  </si>
  <si>
    <t xml:space="preserve">цена за 1 кг материала проточной части теплообменника</t>
  </si>
  <si>
    <t xml:space="preserve">раскосы</t>
  </si>
  <si>
    <t xml:space="preserve">СЕРДЕЧНИК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</si>
</sst>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"/>
    <numFmt numFmtId="167" formatCode="0.00"/>
    <numFmt numFmtId="168" formatCode="General"/>
    <numFmt numFmtId="169" formatCode="#,##0.00&quot;р.&quot;"/>
    <numFmt numFmtId="170" formatCode="#,##0.00"/>
    <numFmt numFmtId="171" formatCode="\ * #,##0.00&quot;р. &quot;;\-* #,##0.00&quot;р. &quot;;\ * \-#&quot;р. &quot;;\ @\ "/>
    <numFmt numFmtId="172" formatCode="#,##0"/>
    <numFmt numFmtId="173" formatCode="0.000"/>
    <numFmt numFmtId="174" formatCode="#,##0.0000"/>
    <numFmt numFmtId="175" formatCode="0"/>
    <numFmt numFmtId="176" formatCode="#,##0&quot; ₽&quot;"/>
  </numFmts>
  <fonts count="3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</font>
    <font>
      <sz val="10"/>
      <color rgb="FF000000"/>
      <name val="Calibri"/>
      <family val="2"/>
    </font>
    <font>
      <sz val="11"/>
      <color rgb="FFD9D9D9"/>
      <name val="Calibri"/>
      <family val="2"/>
    </font>
    <font>
      <sz val="16"/>
      <color rgb="FF000000"/>
      <name val="Calibri"/>
      <family val="2"/>
    </font>
    <font>
      <b val="true"/>
      <sz val="16"/>
      <name val="Calibri"/>
      <family val="2"/>
    </font>
    <font>
      <b val="true"/>
      <sz val="18"/>
      <color rgb="FF000000"/>
      <name val="Calibri"/>
      <family val="2"/>
    </font>
    <font>
      <b val="true"/>
      <sz val="26"/>
      <color rgb="FF000000"/>
      <name val="Calibri"/>
      <family val="2"/>
    </font>
    <font>
      <sz val="22"/>
      <color rgb="FFFF0000"/>
      <name val="Calibri"/>
      <family val="2"/>
    </font>
    <font>
      <i val="true"/>
      <sz val="11"/>
      <name val="Calibri"/>
      <family val="2"/>
    </font>
    <font>
      <b val="true"/>
      <sz val="11"/>
      <color rgb="FFFF0000"/>
      <name val="Calibri"/>
      <family val="2"/>
    </font>
    <font>
      <sz val="8"/>
      <color rgb="FF000000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20"/>
      <color rgb="FF000000"/>
      <name val="Calibri"/>
      <family val="2"/>
    </font>
    <font>
      <b val="true"/>
      <i val="true"/>
      <sz val="10"/>
      <color rgb="FFFF0000"/>
      <name val="Calibri"/>
      <family val="2"/>
    </font>
    <font>
      <i val="true"/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 val="true"/>
      <sz val="10"/>
      <color rgb="FF000000"/>
      <name val="Calibri"/>
      <family val="2"/>
    </font>
    <font>
      <b val="true"/>
      <i val="true"/>
      <sz val="10"/>
      <color rgb="FF000000"/>
      <name val="Calibri"/>
      <family val="2"/>
    </font>
    <font>
      <sz val="11"/>
      <color rgb="FFFF0000"/>
      <name val="Calibri"/>
      <family val="2"/>
    </font>
    <font>
      <sz val="48"/>
      <color rgb="FF000000"/>
      <name val="Calibri"/>
      <family val="2"/>
    </font>
    <font>
      <sz val="9"/>
      <color rgb="FF000000"/>
      <name val="Tahoma"/>
      <family val="0"/>
    </font>
    <font>
      <sz val="9"/>
      <color rgb="FF000000"/>
      <name val="Tahoma"/>
      <family val="2"/>
    </font>
    <font>
      <b val="true"/>
      <sz val="48"/>
      <color rgb="FF000000"/>
      <name val="Calibri"/>
      <family val="2"/>
    </font>
    <font>
      <b val="true"/>
      <sz val="2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C6D9F1"/>
        <bgColor rgb="FFB7DEE8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BFBFBF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FDEADA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DDD9C3"/>
      </patternFill>
    </fill>
  </fills>
  <borders count="1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medium"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/>
      <right style="thick"/>
      <top style="thin"/>
      <bottom style="medium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 style="medium"/>
      <right style="thick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 style="medium"/>
      <right/>
      <top/>
      <bottom style="thick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medium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3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2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11" borderId="2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2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3" fillId="8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12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4" fillId="12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1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11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3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11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16" fillId="6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6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5" fillId="8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3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11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0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4" fontId="21" fillId="5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5" borderId="1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20" fillId="3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3" borderId="4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21" fillId="5" borderId="4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3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3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2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5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5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3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0" fillId="3" borderId="4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6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6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6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6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6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11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3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7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6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7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4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11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5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7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6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4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9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9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5" fillId="11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6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2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2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10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10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10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11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11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9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9D9D9"/>
      <rgbColor rgb="FFFFFF99"/>
      <rgbColor rgb="FFB7DEE8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AL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12.86"/>
    <col collapsed="false" customWidth="true" hidden="false" outlineLevel="0" max="5" min="5" style="0" width="16.72"/>
    <col collapsed="false" customWidth="true" hidden="false" outlineLevel="0" max="6" min="6" style="0" width="16.29"/>
    <col collapsed="false" customWidth="true" hidden="false" outlineLevel="0" max="7" min="7" style="0" width="15"/>
    <col collapsed="false" customWidth="true" hidden="false" outlineLevel="0" max="8" min="8" style="0" width="16.43"/>
    <col collapsed="false" customWidth="true" hidden="false" outlineLevel="0" max="9" min="9" style="0" width="11.57"/>
    <col collapsed="false" customWidth="true" hidden="false" outlineLevel="0" max="10" min="10" style="0" width="12.57"/>
    <col collapsed="false" customWidth="true" hidden="false" outlineLevel="0" max="11" min="11" style="0" width="11.43"/>
    <col collapsed="false" customWidth="true" hidden="false" outlineLevel="0" max="12" min="12" style="0" width="12.72"/>
    <col collapsed="false" customWidth="true" hidden="false" outlineLevel="0" max="13" min="13" style="0" width="14.29"/>
    <col collapsed="false" customWidth="true" hidden="false" outlineLevel="0" max="16" min="16" style="0" width="10.71"/>
    <col collapsed="false" customWidth="true" hidden="false" outlineLevel="0" max="19" min="19" style="0" width="13.14"/>
    <col collapsed="false" customWidth="true" hidden="false" outlineLevel="0" max="21" min="21" style="0" width="10.71"/>
    <col collapsed="false" customWidth="true" hidden="false" outlineLevel="0" max="22" min="22" style="0" width="11.43"/>
    <col collapsed="false" customWidth="true" hidden="false" outlineLevel="0" max="26" min="26" style="0" width="16.14"/>
    <col collapsed="false" customWidth="true" hidden="false" outlineLevel="0" max="27" min="27" style="0" width="17"/>
    <col collapsed="false" customWidth="true" hidden="false" outlineLevel="0" max="32" min="32" style="0" width="17.71"/>
    <col collapsed="false" customWidth="true" hidden="false" outlineLevel="0" max="33" min="33" style="0" width="13.29"/>
    <col collapsed="false" customWidth="true" hidden="false" outlineLevel="0" max="34" min="34" style="0" width="13.86"/>
    <col collapsed="false" customWidth="true" hidden="false" outlineLevel="0" max="35" min="35" style="0" width="14.29"/>
    <col collapsed="false" customWidth="true" hidden="false" outlineLevel="0" max="36" min="36" style="0" width="19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>
      <c r="E4" s="1" t="s">
        <v>0</v>
      </c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E5" s="2" t="s">
        <v>1</v>
      </c>
      <c r="F5" s="2"/>
      <c r="G5" s="2"/>
      <c r="H5" s="2"/>
      <c r="I5" s="2"/>
      <c r="J5" s="2"/>
      <c r="K5" s="2"/>
    </row>
    <row r="6" customFormat="false" ht="42.75" hidden="false" customHeight="true" outlineLevel="0" collapsed="false">
      <c r="E6" s="3" t="s">
        <v>2</v>
      </c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E7" s="4" t="s">
        <v>3</v>
      </c>
      <c r="F7" s="4"/>
      <c r="G7" s="4"/>
      <c r="H7" s="4"/>
      <c r="I7" s="4"/>
      <c r="J7" s="4"/>
      <c r="K7" s="4"/>
    </row>
    <row r="8" customFormat="false" ht="15" hidden="false" customHeight="true" outlineLevel="0" collapsed="false">
      <c r="E8" s="5" t="s">
        <v>4</v>
      </c>
      <c r="F8" s="5"/>
      <c r="G8" s="5"/>
      <c r="H8" s="5"/>
      <c r="I8" s="5"/>
      <c r="J8" s="5"/>
      <c r="K8" s="5"/>
    </row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.75" hidden="false" customHeight="true" outlineLevel="0" collapsed="false">
      <c r="D24" s="6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75.75" hidden="false" customHeight="true" outlineLevel="0" collapsed="false">
      <c r="D26" s="7" t="s">
        <v>6</v>
      </c>
      <c r="E26" s="8" t="s">
        <v>7</v>
      </c>
      <c r="F26" s="8" t="s">
        <v>8</v>
      </c>
      <c r="G26" s="8" t="s">
        <v>9</v>
      </c>
      <c r="H26" s="9" t="s">
        <v>10</v>
      </c>
      <c r="I26" s="10" t="s">
        <v>11</v>
      </c>
      <c r="J26" s="11" t="s">
        <v>12</v>
      </c>
      <c r="K26" s="11" t="s">
        <v>13</v>
      </c>
      <c r="L26" s="11" t="s">
        <v>14</v>
      </c>
      <c r="M26" s="11" t="s">
        <v>15</v>
      </c>
      <c r="N26" s="9" t="s">
        <v>16</v>
      </c>
      <c r="O26" s="9" t="s">
        <v>17</v>
      </c>
      <c r="P26" s="8" t="s">
        <v>18</v>
      </c>
      <c r="Q26" s="8" t="s">
        <v>19</v>
      </c>
      <c r="R26" s="8" t="s">
        <v>20</v>
      </c>
      <c r="S26" s="8" t="s">
        <v>21</v>
      </c>
      <c r="T26" s="8" t="s">
        <v>22</v>
      </c>
      <c r="U26" s="12" t="s">
        <v>23</v>
      </c>
      <c r="V26" s="13" t="s">
        <v>24</v>
      </c>
    </row>
    <row r="27" customFormat="false" ht="13.8" hidden="false" customHeight="false" outlineLevel="0" collapsed="false">
      <c r="D27" s="14" t="n">
        <v>1</v>
      </c>
      <c r="E27" s="15" t="s">
        <v>25</v>
      </c>
      <c r="F27" s="16" t="s">
        <v>26</v>
      </c>
      <c r="G27" s="16" t="s">
        <v>27</v>
      </c>
      <c r="H27" s="17" t="s">
        <v>28</v>
      </c>
      <c r="I27" s="15" t="n">
        <v>400</v>
      </c>
      <c r="J27" s="18" t="n">
        <v>22</v>
      </c>
      <c r="K27" s="18" t="n">
        <v>22</v>
      </c>
      <c r="L27" s="18" t="n">
        <v>100</v>
      </c>
      <c r="M27" s="18" t="n">
        <v>100</v>
      </c>
      <c r="N27" s="19" t="n">
        <f aca="false">AI73</f>
        <v>31.46</v>
      </c>
      <c r="O27" s="19" t="n">
        <f aca="false">AJ73</f>
        <v>31.46</v>
      </c>
      <c r="P27" s="16" t="s">
        <v>29</v>
      </c>
      <c r="Q27" s="16" t="str">
        <f aca="false">P27</f>
        <v>AISI 316L</v>
      </c>
      <c r="R27" s="16" t="s">
        <v>30</v>
      </c>
      <c r="S27" s="16" t="s">
        <v>31</v>
      </c>
      <c r="T27" s="15" t="n">
        <v>5</v>
      </c>
      <c r="U27" s="20" t="n">
        <v>1</v>
      </c>
      <c r="V27" s="21" t="n">
        <v>3</v>
      </c>
    </row>
    <row r="28" customFormat="false" ht="15.75" hidden="false" customHeight="true" outlineLevel="0" collapsed="false">
      <c r="D28" s="22"/>
      <c r="E28" s="23"/>
      <c r="F28" s="23"/>
      <c r="G28" s="23"/>
      <c r="H28" s="23"/>
      <c r="I28" s="24"/>
      <c r="J28" s="25"/>
      <c r="K28" s="25"/>
      <c r="L28" s="25"/>
      <c r="M28" s="25"/>
      <c r="N28" s="23"/>
      <c r="O28" s="23"/>
      <c r="P28" s="23"/>
      <c r="Q28" s="23"/>
      <c r="R28" s="23"/>
      <c r="S28" s="23"/>
      <c r="T28" s="23"/>
      <c r="U28" s="26"/>
      <c r="V28" s="27"/>
    </row>
    <row r="29" customFormat="false" ht="15.75" hidden="false" customHeight="tru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5.75" hidden="false" customHeight="true" outlineLevel="0" collapsed="false"/>
    <row r="57" customFormat="false" ht="13.8" hidden="false" customHeight="false" outlineLevel="0" collapsed="false">
      <c r="Y57" s="28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30"/>
    </row>
    <row r="58" customFormat="false" ht="15.75" hidden="false" customHeight="true" outlineLevel="0" collapsed="false">
      <c r="Y58" s="31"/>
      <c r="AL58" s="32"/>
    </row>
    <row r="59" customFormat="false" ht="45" hidden="false" customHeight="true" outlineLevel="0" collapsed="false">
      <c r="Y59" s="31"/>
      <c r="Z59" s="33" t="s">
        <v>32</v>
      </c>
      <c r="AA59" s="34" t="s">
        <v>33</v>
      </c>
      <c r="AB59" s="35"/>
      <c r="AF59" s="36" t="s">
        <v>34</v>
      </c>
      <c r="AG59" s="37" t="s">
        <v>35</v>
      </c>
      <c r="AJ59" s="36" t="s">
        <v>34</v>
      </c>
      <c r="AK59" s="37" t="s">
        <v>35</v>
      </c>
      <c r="AL59" s="32"/>
    </row>
    <row r="60" customFormat="false" ht="13.8" hidden="false" customHeight="false" outlineLevel="0" collapsed="false">
      <c r="Y60" s="31" t="n">
        <v>1</v>
      </c>
      <c r="Z60" s="38" t="n">
        <v>20</v>
      </c>
      <c r="AA60" s="39" t="n">
        <v>183</v>
      </c>
      <c r="AB60" s="40"/>
      <c r="AE60" s="41" t="n">
        <f aca="false">MATCH(AF61,$Z$60:$Z$68)</f>
        <v>2</v>
      </c>
      <c r="AF60" s="42" t="n">
        <f aca="false">INDEX($Z$60:$Z$68,AE60,1)</f>
        <v>100</v>
      </c>
      <c r="AG60" s="43" t="n">
        <f aca="false">VLOOKUP(AF60,$Z$60:$AA$68,$AA$69)</f>
        <v>160</v>
      </c>
      <c r="AI60" s="41" t="n">
        <f aca="false">MATCH(AJ61,$Z$60:$Z$68)</f>
        <v>2</v>
      </c>
      <c r="AJ60" s="42" t="n">
        <f aca="false">INDEX($Z$60:$Z$68,AI60,1)</f>
        <v>100</v>
      </c>
      <c r="AK60" s="43" t="n">
        <f aca="false">VLOOKUP(AJ60,$Z$60:$AA$68,$AA$69)</f>
        <v>160</v>
      </c>
      <c r="AL60" s="32"/>
    </row>
    <row r="61" customFormat="false" ht="13.8" hidden="false" customHeight="false" outlineLevel="0" collapsed="false">
      <c r="Y61" s="31" t="n">
        <v>2</v>
      </c>
      <c r="Z61" s="38" t="n">
        <v>100</v>
      </c>
      <c r="AA61" s="39" t="n">
        <v>160</v>
      </c>
      <c r="AB61" s="40"/>
      <c r="AE61" s="41"/>
      <c r="AF61" s="42" t="n">
        <f aca="false">L27</f>
        <v>100</v>
      </c>
      <c r="AG61" s="44" t="n">
        <f aca="false">_xlfn.FLOOR.PRECISE((AG62-AG60)/(AF62-AF60)*(AF61-AF60)+AG60,1)</f>
        <v>160</v>
      </c>
      <c r="AI61" s="41"/>
      <c r="AJ61" s="42" t="n">
        <f aca="false">M27</f>
        <v>100</v>
      </c>
      <c r="AK61" s="44" t="n">
        <f aca="false">_xlfn.FLOOR.PRECISE((AK62-AK60)/(AJ62-AJ60)*(AJ61-AJ60)+AK60,1)</f>
        <v>160</v>
      </c>
      <c r="AL61" s="32"/>
    </row>
    <row r="62" customFormat="false" ht="15.75" hidden="false" customHeight="true" outlineLevel="0" collapsed="false">
      <c r="Y62" s="31" t="n">
        <v>3</v>
      </c>
      <c r="Z62" s="38" t="n">
        <v>150</v>
      </c>
      <c r="AA62" s="39" t="n">
        <v>154</v>
      </c>
      <c r="AB62" s="40"/>
      <c r="AE62" s="41" t="n">
        <f aca="false">AE60+1</f>
        <v>3</v>
      </c>
      <c r="AF62" s="45" t="n">
        <f aca="false">INDEX($Z$60:$Z$68,AE62,1)</f>
        <v>150</v>
      </c>
      <c r="AG62" s="46" t="n">
        <f aca="false">VLOOKUP(AF62,$Z$60:$AA$68,$AA$69)</f>
        <v>154</v>
      </c>
      <c r="AI62" s="41" t="n">
        <f aca="false">AI60+1</f>
        <v>3</v>
      </c>
      <c r="AJ62" s="45" t="n">
        <f aca="false">INDEX($Z$60:$Z$68,AI62,1)</f>
        <v>150</v>
      </c>
      <c r="AK62" s="46" t="n">
        <f aca="false">VLOOKUP(AJ62,$Z$60:$AA$68,$AA$69)</f>
        <v>154</v>
      </c>
      <c r="AL62" s="32"/>
    </row>
    <row r="63" customFormat="false" ht="13.8" hidden="false" customHeight="false" outlineLevel="0" collapsed="false">
      <c r="Y63" s="31" t="n">
        <v>4</v>
      </c>
      <c r="Z63" s="38" t="n">
        <v>200</v>
      </c>
      <c r="AA63" s="39" t="n">
        <v>148</v>
      </c>
      <c r="AB63" s="40"/>
      <c r="AL63" s="32"/>
    </row>
    <row r="64" customFormat="false" ht="13.8" hidden="false" customHeight="false" outlineLevel="0" collapsed="false">
      <c r="Y64" s="31" t="n">
        <v>5</v>
      </c>
      <c r="Z64" s="38" t="n">
        <v>250</v>
      </c>
      <c r="AA64" s="39" t="n">
        <v>145</v>
      </c>
      <c r="AB64" s="40"/>
      <c r="AL64" s="32"/>
    </row>
    <row r="65" customFormat="false" ht="13.8" hidden="false" customHeight="false" outlineLevel="0" collapsed="false">
      <c r="Y65" s="31" t="n">
        <v>6</v>
      </c>
      <c r="Z65" s="38" t="n">
        <v>300</v>
      </c>
      <c r="AA65" s="39" t="n">
        <v>134</v>
      </c>
      <c r="AB65" s="40"/>
      <c r="AL65" s="32"/>
    </row>
    <row r="66" customFormat="false" ht="13.8" hidden="false" customHeight="false" outlineLevel="0" collapsed="false">
      <c r="Y66" s="31" t="n">
        <v>7</v>
      </c>
      <c r="Z66" s="38" t="n">
        <v>350</v>
      </c>
      <c r="AA66" s="39" t="n">
        <v>123</v>
      </c>
      <c r="AB66" s="40"/>
      <c r="AL66" s="32"/>
    </row>
    <row r="67" customFormat="false" ht="13.8" hidden="false" customHeight="false" outlineLevel="0" collapsed="false">
      <c r="Y67" s="31" t="n">
        <v>8</v>
      </c>
      <c r="Z67" s="38" t="n">
        <v>375</v>
      </c>
      <c r="AA67" s="39" t="n">
        <v>116</v>
      </c>
      <c r="AB67" s="40"/>
      <c r="AL67" s="32"/>
    </row>
    <row r="68" customFormat="false" ht="15.75" hidden="false" customHeight="true" outlineLevel="0" collapsed="false">
      <c r="Y68" s="31" t="n">
        <v>9</v>
      </c>
      <c r="Z68" s="47" t="n">
        <v>400</v>
      </c>
      <c r="AA68" s="48" t="n">
        <v>105</v>
      </c>
      <c r="AB68" s="40"/>
      <c r="AL68" s="32"/>
    </row>
    <row r="69" customFormat="false" ht="13.8" hidden="false" customHeight="false" outlineLevel="0" collapsed="false">
      <c r="Y69" s="31"/>
      <c r="Z69" s="0" t="n">
        <v>1</v>
      </c>
      <c r="AA69" s="0" t="n">
        <v>2</v>
      </c>
      <c r="AL69" s="32"/>
    </row>
    <row r="70" customFormat="false" ht="14.9" hidden="false" customHeight="true" outlineLevel="0" collapsed="false">
      <c r="Y70" s="31"/>
      <c r="Z70" s="49" t="s">
        <v>36</v>
      </c>
      <c r="AA70" s="49"/>
      <c r="AB70" s="50"/>
      <c r="AC70" s="40" t="n">
        <v>1.2</v>
      </c>
      <c r="AL70" s="32"/>
    </row>
    <row r="71" customFormat="false" ht="14.9" hidden="false" customHeight="true" outlineLevel="0" collapsed="false">
      <c r="Y71" s="31"/>
      <c r="Z71" s="49" t="s">
        <v>37</v>
      </c>
      <c r="AA71" s="49"/>
      <c r="AB71" s="50"/>
      <c r="AC71" s="51" t="n">
        <f aca="false">_xlfn.CEILING.PRECISE(1.25*AC70*AA60/AF61,0.01)</f>
        <v>2.75</v>
      </c>
      <c r="AL71" s="32"/>
    </row>
    <row r="72" customFormat="false" ht="45" hidden="false" customHeight="true" outlineLevel="0" collapsed="false">
      <c r="Y72" s="31"/>
      <c r="AE72" s="35" t="s">
        <v>38</v>
      </c>
      <c r="AF72" s="35" t="s">
        <v>39</v>
      </c>
      <c r="AG72" s="35" t="s">
        <v>40</v>
      </c>
      <c r="AH72" s="35" t="s">
        <v>41</v>
      </c>
      <c r="AI72" s="35" t="s">
        <v>42</v>
      </c>
      <c r="AJ72" s="35" t="s">
        <v>43</v>
      </c>
      <c r="AL72" s="32"/>
    </row>
    <row r="73" customFormat="false" ht="13.8" hidden="false" customHeight="false" outlineLevel="0" collapsed="false">
      <c r="Y73" s="31"/>
      <c r="AE73" s="41" t="n">
        <f aca="false">AG61</f>
        <v>160</v>
      </c>
      <c r="AF73" s="41" t="n">
        <f aca="false">AK61</f>
        <v>160</v>
      </c>
      <c r="AG73" s="52" t="n">
        <f aca="false">J27</f>
        <v>22</v>
      </c>
      <c r="AH73" s="52" t="n">
        <f aca="false">K27</f>
        <v>22</v>
      </c>
      <c r="AI73" s="51" t="n">
        <f aca="false">_xlfn.CEILING.PRECISE(1.25*AG73*$AA$60/AE73,0.01)</f>
        <v>31.46</v>
      </c>
      <c r="AJ73" s="51" t="n">
        <f aca="false">_xlfn.CEILING.PRECISE(1.25*AH73*$AA$60/AF73,0.01)</f>
        <v>31.46</v>
      </c>
      <c r="AL73" s="32"/>
    </row>
    <row r="74" customFormat="false" ht="13.8" hidden="false" customHeight="false" outlineLevel="0" collapsed="false">
      <c r="Y74" s="31"/>
      <c r="AL74" s="32"/>
    </row>
    <row r="75" customFormat="false" ht="15.75" hidden="false" customHeight="true" outlineLevel="0" collapsed="false">
      <c r="Y75" s="53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5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allowBlank="true" errorStyle="stop" operator="equal" showDropDown="false" showErrorMessage="true" showInputMessage="true" sqref="F27" type="list">
      <formula1>тип_поставки</formula1>
      <formula2>0</formula2>
    </dataValidation>
    <dataValidation allowBlank="true" errorStyle="stop" operator="equal" promptTitle="материал пластин" showDropDown="false" showErrorMessage="true" showInputMessage="true" sqref="P27:Q27" type="list">
      <formula1>материал_пластин</formula1>
      <formula2>0</formula2>
    </dataValidation>
    <dataValidation allowBlank="true" errorStyle="stop" operator="equal" promptTitle="материал корпуса" showDropDown="false" showErrorMessage="true" showInputMessage="true" sqref="R27" type="list">
      <formula1>материал_корпуса</formula1>
      <formula2>0</formula2>
    </dataValidation>
    <dataValidation allowBlank="true" errorStyle="stop" operator="equal" showDropDown="false" showErrorMessage="true" showInputMessage="true" sqref="S27" type="list">
      <formula1>тип_поверхности</formula1>
      <formula2>0</formula2>
    </dataValidation>
    <dataValidation allowBlank="true" errorStyle="stop" operator="equal" showDropDown="false" showErrorMessage="true" showInputMessage="true" sqref="U27:V27" type="list">
      <formula1>толщина_пластины</formula1>
      <formula2>0</formula2>
    </dataValidation>
    <dataValidation allowBlank="true" error="Введите значение температуры от 20 до 400." errorStyle="stop" errorTitle="Внимание!" operator="between" showDropDown="false" showErrorMessage="true" showInputMessage="true" sqref="AF61" type="whole">
      <formula1>20</formula1>
      <formula2>400</formula2>
    </dataValidation>
    <dataValidation allowBlank="true" error="Введите значение температуры от 20 до 400." errorStyle="stop" errorTitle="Внимание!" operator="between" showDropDown="false" showErrorMessage="true" showInputMessage="true" sqref="AJ61" type="whole">
      <formula1>20</formula1>
      <formula2>400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5"/>
    <col collapsed="false" customWidth="true" hidden="false" outlineLevel="0" max="3" min="3" style="0" width="6.71"/>
    <col collapsed="false" customWidth="true" hidden="false" outlineLevel="0" max="4" min="4" style="0" width="21.71"/>
    <col collapsed="false" customWidth="true" hidden="false" outlineLevel="0" max="5" min="5" style="0" width="13"/>
    <col collapsed="false" customWidth="true" hidden="false" outlineLevel="0" max="6" min="6" style="0" width="12.14"/>
    <col collapsed="false" customWidth="true" hidden="false" outlineLevel="0" max="7" min="7" style="0" width="13.72"/>
    <col collapsed="false" customWidth="true" hidden="false" outlineLevel="0" max="8" min="8" style="0" width="12.14"/>
    <col collapsed="false" customWidth="true" hidden="false" outlineLevel="0" max="9" min="9" style="0" width="12.57"/>
    <col collapsed="false" customWidth="true" hidden="false" outlineLevel="0" max="10" min="10" style="0" width="12"/>
    <col collapsed="false" customWidth="true" hidden="false" outlineLevel="0" max="11" min="11" style="0" width="15.57"/>
    <col collapsed="false" customWidth="true" hidden="false" outlineLevel="0" max="12" min="12" style="0" width="12"/>
    <col collapsed="false" customWidth="true" hidden="false" outlineLevel="0" max="13" min="13" style="0" width="13.43"/>
    <col collapsed="false" customWidth="true" hidden="false" outlineLevel="0" max="14" min="14" style="0" width="10.71"/>
    <col collapsed="false" customWidth="true" hidden="false" outlineLevel="0" max="15" min="15" style="0" width="11.72"/>
    <col collapsed="false" customWidth="true" hidden="false" outlineLevel="0" max="16" min="16" style="0" width="14.14"/>
    <col collapsed="false" customWidth="true" hidden="false" outlineLevel="0" max="17" min="17" style="0" width="11.57"/>
    <col collapsed="false" customWidth="true" hidden="false" outlineLevel="0" max="18" min="18" style="0" width="10.71"/>
    <col collapsed="false" customWidth="true" hidden="false" outlineLevel="0" max="19" min="19" style="0" width="11.43"/>
    <col collapsed="false" customWidth="true" hidden="false" outlineLevel="0" max="20" min="20" style="0" width="15.29"/>
    <col collapsed="false" customWidth="true" hidden="false" outlineLevel="0" max="21" min="21" style="0" width="12.43"/>
    <col collapsed="false" customWidth="true" hidden="false" outlineLevel="0" max="22" min="22" style="0" width="14.57"/>
    <col collapsed="false" customWidth="true" hidden="false" outlineLevel="0" max="24" min="23" style="0" width="15.72"/>
    <col collapsed="false" customWidth="true" hidden="false" outlineLevel="0" max="25" min="25" style="0" width="19.71"/>
    <col collapsed="false" customWidth="true" hidden="false" outlineLevel="0" max="33" min="26" style="0" width="15.72"/>
    <col collapsed="false" customWidth="true" hidden="false" outlineLevel="0" max="34" min="34" style="0" width="17.29"/>
    <col collapsed="false" customWidth="true" hidden="false" outlineLevel="0" max="35" min="35" style="0" width="16.43"/>
    <col collapsed="false" customWidth="true" hidden="false" outlineLevel="0" max="36" min="36" style="0" width="16.14"/>
    <col collapsed="false" customWidth="true" hidden="false" outlineLevel="0" max="37" min="37" style="0" width="16"/>
    <col collapsed="false" customWidth="true" hidden="false" outlineLevel="0" max="38" min="38" style="0" width="13.43"/>
    <col collapsed="false" customWidth="true" hidden="false" outlineLevel="0" max="39" min="39" style="0" width="11.72"/>
    <col collapsed="false" customWidth="true" hidden="false" outlineLevel="0" max="40" min="40" style="0" width="12.72"/>
    <col collapsed="false" customWidth="true" hidden="false" outlineLevel="0" max="42" min="41" style="0" width="16.29"/>
    <col collapsed="false" customWidth="true" hidden="false" outlineLevel="0" max="43" min="43" style="0" width="13.86"/>
    <col collapsed="false" customWidth="true" hidden="false" outlineLevel="0" max="44" min="44" style="0" width="13.57"/>
    <col collapsed="false" customWidth="true" hidden="false" outlineLevel="0" max="45" min="45" style="0" width="17.86"/>
    <col collapsed="false" customWidth="true" hidden="false" outlineLevel="0" max="46" min="46" style="0" width="19.14"/>
    <col collapsed="false" customWidth="true" hidden="false" outlineLevel="0" max="47" min="47" style="0" width="13.57"/>
    <col collapsed="false" customWidth="true" hidden="false" outlineLevel="0" max="50" min="48" style="0" width="12.72"/>
    <col collapsed="false" customWidth="true" hidden="false" outlineLevel="0" max="51" min="51" style="0" width="12.86"/>
    <col collapsed="false" customWidth="true" hidden="false" outlineLevel="0" max="52" min="52" style="0" width="12.72"/>
    <col collapsed="false" customWidth="true" hidden="false" outlineLevel="0" max="54" min="53" style="0" width="13.86"/>
    <col collapsed="false" customWidth="true" hidden="false" outlineLevel="0" max="55" min="55" style="0" width="12.72"/>
    <col collapsed="false" customWidth="true" hidden="false" outlineLevel="0" max="56" min="56" style="0" width="13.57"/>
    <col collapsed="false" customWidth="true" hidden="false" outlineLevel="0" max="57" min="57" style="0" width="12.72"/>
    <col collapsed="false" customWidth="true" hidden="false" outlineLevel="0" max="58" min="58" style="0" width="13.57"/>
    <col collapsed="false" customWidth="true" hidden="false" outlineLevel="0" max="60" min="59" style="0" width="16"/>
    <col collapsed="false" customWidth="true" hidden="false" outlineLevel="0" max="61" min="61" style="0" width="12.72"/>
    <col collapsed="false" customWidth="true" hidden="false" outlineLevel="0" max="63" min="63" style="0" width="12.57"/>
  </cols>
  <sheetData>
    <row r="1" customFormat="false" ht="13.8" hidden="false" customHeight="false" outlineLevel="0" collapsed="false">
      <c r="A1" s="56" t="s">
        <v>44</v>
      </c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customFormat="false" ht="21" hidden="false" customHeight="true" outlineLevel="0" collapsed="false">
      <c r="A2" s="58"/>
      <c r="B2" s="61" t="s">
        <v>45</v>
      </c>
      <c r="C2" s="61"/>
      <c r="D2" s="61"/>
      <c r="E2" s="61"/>
      <c r="F2" s="62" t="s">
        <v>46</v>
      </c>
      <c r="G2" s="58"/>
      <c r="H2" s="58"/>
      <c r="I2" s="58"/>
      <c r="J2" s="58"/>
      <c r="K2" s="58"/>
      <c r="L2" s="58"/>
      <c r="M2" s="58"/>
      <c r="N2" s="1" t="s">
        <v>47</v>
      </c>
      <c r="O2" s="1"/>
      <c r="P2" s="1"/>
      <c r="Q2" s="1"/>
      <c r="R2" s="1"/>
      <c r="S2" s="1"/>
      <c r="T2" s="1"/>
      <c r="U2" s="59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customFormat="false" ht="13.8" hidden="false" customHeight="false" outlineLevel="0" collapsed="false">
      <c r="A3" s="58"/>
      <c r="B3" s="58"/>
      <c r="C3" s="58"/>
      <c r="D3" s="58"/>
      <c r="E3" s="58"/>
      <c r="F3" s="63"/>
      <c r="G3" s="58"/>
      <c r="H3" s="58"/>
      <c r="I3" s="58"/>
      <c r="J3" s="58"/>
      <c r="K3" s="58"/>
      <c r="L3" s="58"/>
      <c r="M3" s="58"/>
      <c r="N3" s="2" t="s">
        <v>48</v>
      </c>
      <c r="O3" s="2"/>
      <c r="P3" s="2"/>
      <c r="Q3" s="2"/>
      <c r="R3" s="2"/>
      <c r="S3" s="2"/>
      <c r="T3" s="2"/>
      <c r="U3" s="59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customFormat="false" ht="33.75" hidden="false" customHeight="true" outlineLevel="0" collapsed="false">
      <c r="A4" s="58"/>
      <c r="B4" s="64" t="s">
        <v>49</v>
      </c>
      <c r="C4" s="64"/>
      <c r="D4" s="64"/>
      <c r="E4" s="64"/>
      <c r="F4" s="65"/>
      <c r="G4" s="65"/>
      <c r="H4" s="65"/>
      <c r="I4" s="65"/>
      <c r="J4" s="58"/>
      <c r="K4" s="58"/>
      <c r="L4" s="58"/>
      <c r="M4" s="58"/>
      <c r="N4" s="3" t="s">
        <v>50</v>
      </c>
      <c r="O4" s="3"/>
      <c r="P4" s="3"/>
      <c r="Q4" s="3"/>
      <c r="R4" s="3"/>
      <c r="S4" s="3"/>
      <c r="T4" s="3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</row>
    <row r="5" customFormat="false" ht="15.75" hidden="false" customHeight="true" outlineLevel="0" collapsed="false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4" t="s">
        <v>3</v>
      </c>
      <c r="O5" s="4"/>
      <c r="P5" s="4"/>
      <c r="Q5" s="4"/>
      <c r="R5" s="4"/>
      <c r="S5" s="4"/>
      <c r="T5" s="4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</row>
    <row r="6" customFormat="false" ht="13.8" hidden="false" customHeight="false" outlineLevel="0" collapsed="false">
      <c r="A6" s="58"/>
      <c r="B6" s="58"/>
      <c r="C6" s="58"/>
      <c r="D6" s="66" t="s">
        <v>51</v>
      </c>
      <c r="E6" s="67" t="s">
        <v>52</v>
      </c>
      <c r="F6" s="58"/>
      <c r="G6" s="58"/>
      <c r="H6" s="58"/>
      <c r="I6" s="58"/>
      <c r="J6" s="58"/>
      <c r="K6" s="58"/>
      <c r="L6" s="58"/>
      <c r="M6" s="58"/>
      <c r="N6" s="5" t="s">
        <v>4</v>
      </c>
      <c r="O6" s="5"/>
      <c r="P6" s="5"/>
      <c r="Q6" s="5"/>
      <c r="R6" s="5"/>
      <c r="S6" s="5"/>
      <c r="T6" s="5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</row>
    <row r="7" customFormat="false" ht="29.25" hidden="false" customHeight="true" outlineLevel="0" collapsed="false">
      <c r="A7" s="58"/>
      <c r="B7" s="58"/>
      <c r="C7" s="58"/>
      <c r="D7" s="68" t="str">
        <f aca="false">технолог!P27</f>
        <v>AISI 316L</v>
      </c>
      <c r="E7" s="69" t="str">
        <f aca="false">технолог!Q27</f>
        <v>AISI 316L</v>
      </c>
      <c r="F7" s="58"/>
      <c r="G7" s="58"/>
      <c r="H7" s="58"/>
      <c r="I7" s="70" t="s">
        <v>53</v>
      </c>
      <c r="J7" s="70"/>
      <c r="K7" s="70"/>
      <c r="L7" s="70"/>
      <c r="M7" s="70"/>
      <c r="N7" s="70"/>
      <c r="O7" s="58"/>
      <c r="P7" s="58"/>
      <c r="Q7" s="58"/>
      <c r="R7" s="58"/>
      <c r="S7" s="58"/>
      <c r="T7" s="58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</row>
    <row r="8" customFormat="false" ht="44.25" hidden="false" customHeight="true" outlineLevel="0" collapsed="false">
      <c r="A8" s="71" t="s">
        <v>54</v>
      </c>
      <c r="B8" s="71"/>
      <c r="C8" s="71"/>
      <c r="D8" s="72" t="n">
        <v>700</v>
      </c>
      <c r="E8" s="73" t="n">
        <v>700</v>
      </c>
      <c r="F8" s="58"/>
      <c r="G8" s="58"/>
      <c r="H8" s="74"/>
      <c r="I8" s="74"/>
      <c r="J8" s="74"/>
      <c r="K8" s="74"/>
      <c r="L8" s="74"/>
      <c r="M8" s="74"/>
      <c r="N8" s="74"/>
      <c r="O8" s="74"/>
      <c r="P8" s="74"/>
      <c r="Q8" s="74"/>
      <c r="R8" s="58"/>
      <c r="S8" s="58"/>
      <c r="T8" s="58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</row>
    <row r="9" customFormat="false" ht="32.25" hidden="false" customHeight="true" outlineLevel="0" collapsed="false">
      <c r="A9" s="75" t="s">
        <v>55</v>
      </c>
      <c r="B9" s="75"/>
      <c r="C9" s="75"/>
      <c r="D9" s="76" t="s">
        <v>30</v>
      </c>
      <c r="E9" s="76"/>
      <c r="F9" s="77"/>
      <c r="G9" s="77"/>
      <c r="H9" s="78" t="s">
        <v>56</v>
      </c>
      <c r="I9" s="79" t="s">
        <v>57</v>
      </c>
      <c r="J9" s="79" t="s">
        <v>10</v>
      </c>
      <c r="K9" s="80" t="s">
        <v>58</v>
      </c>
      <c r="L9" s="80" t="s">
        <v>59</v>
      </c>
      <c r="M9" s="81" t="s">
        <v>60</v>
      </c>
      <c r="N9" s="80" t="s">
        <v>61</v>
      </c>
      <c r="O9" s="80" t="s">
        <v>62</v>
      </c>
      <c r="P9" s="82" t="s">
        <v>63</v>
      </c>
      <c r="Q9" s="83" t="s">
        <v>64</v>
      </c>
      <c r="R9" s="58"/>
      <c r="S9" s="58"/>
      <c r="T9" s="58"/>
      <c r="U9" s="59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customFormat="false" ht="46.5" hidden="false" customHeight="true" outlineLevel="0" collapsed="false">
      <c r="A10" s="71" t="s">
        <v>65</v>
      </c>
      <c r="B10" s="71"/>
      <c r="C10" s="71"/>
      <c r="D10" s="84"/>
      <c r="E10" s="84"/>
      <c r="F10" s="85"/>
      <c r="G10" s="85"/>
      <c r="H10" s="86" t="str">
        <f aca="false">технолог!E27</f>
        <v>Е-113</v>
      </c>
      <c r="I10" s="87" t="str">
        <f aca="false">технолог!G27</f>
        <v>К4-750</v>
      </c>
      <c r="J10" s="87" t="str">
        <f aca="false">технолог!H27</f>
        <v>1/6</v>
      </c>
      <c r="K10" s="88" t="n">
        <f aca="false">технолог!I27</f>
        <v>400</v>
      </c>
      <c r="L10" s="89" t="str">
        <f aca="false">технолог!S27</f>
        <v>гофра</v>
      </c>
      <c r="M10" s="90" t="str">
        <f aca="false">технолог!P27</f>
        <v>AISI 316L</v>
      </c>
      <c r="N10" s="91" t="n">
        <f aca="false">технолог!U27</f>
        <v>1</v>
      </c>
      <c r="O10" s="92" t="n">
        <f aca="false">технолог!T27</f>
        <v>5</v>
      </c>
      <c r="P10" s="93" t="str">
        <f aca="false">технолог!Q27</f>
        <v>AISI 316L</v>
      </c>
      <c r="Q10" s="94" t="n">
        <f aca="false">технолог!V27</f>
        <v>3</v>
      </c>
      <c r="R10" s="58"/>
      <c r="S10" s="58"/>
      <c r="T10" s="58"/>
      <c r="U10" s="59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customFormat="false" ht="39" hidden="false" customHeight="true" outlineLevel="0" collapsed="false">
      <c r="A11" s="71" t="s">
        <v>66</v>
      </c>
      <c r="B11" s="71"/>
      <c r="C11" s="71"/>
      <c r="D11" s="84"/>
      <c r="E11" s="84"/>
      <c r="F11" s="95"/>
      <c r="G11" s="95"/>
      <c r="H11" s="96"/>
      <c r="I11" s="96"/>
      <c r="J11" s="96"/>
      <c r="K11" s="97"/>
      <c r="L11" s="98"/>
      <c r="M11" s="99"/>
      <c r="N11" s="100"/>
      <c r="O11" s="100"/>
      <c r="P11" s="101"/>
      <c r="Q11" s="58"/>
      <c r="R11" s="58"/>
      <c r="S11" s="58"/>
      <c r="T11" s="58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customFormat="false" ht="30" hidden="false" customHeight="true" outlineLevel="0" collapsed="false">
      <c r="A12" s="71" t="s">
        <v>67</v>
      </c>
      <c r="B12" s="71"/>
      <c r="C12" s="71"/>
      <c r="D12" s="102"/>
      <c r="E12" s="102"/>
      <c r="F12" s="96"/>
      <c r="G12" s="96"/>
      <c r="H12" s="96"/>
      <c r="I12" s="96"/>
      <c r="J12" s="96"/>
      <c r="K12" s="96"/>
      <c r="L12" s="63"/>
      <c r="M12" s="99"/>
      <c r="N12" s="58"/>
      <c r="O12" s="58"/>
      <c r="P12" s="101"/>
      <c r="Q12" s="58"/>
      <c r="R12" s="58"/>
      <c r="S12" s="58"/>
      <c r="T12" s="58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</row>
    <row r="13" customFormat="false" ht="26.25" hidden="false" customHeight="true" outlineLevel="0" collapsed="false">
      <c r="A13" s="103" t="s">
        <v>68</v>
      </c>
      <c r="B13" s="103"/>
      <c r="C13" s="103"/>
      <c r="D13" s="104"/>
      <c r="E13" s="105"/>
      <c r="F13" s="105"/>
      <c r="G13" s="105"/>
      <c r="H13" s="58"/>
      <c r="I13" s="58"/>
      <c r="J13" s="106" t="s">
        <v>69</v>
      </c>
      <c r="K13" s="107" t="n">
        <v>1</v>
      </c>
      <c r="L13" s="108"/>
      <c r="M13" s="109"/>
      <c r="N13" s="109"/>
      <c r="O13" s="110" t="s">
        <v>70</v>
      </c>
      <c r="P13" s="111" t="n">
        <v>120000</v>
      </c>
      <c r="Q13" s="58"/>
      <c r="R13" s="58"/>
      <c r="S13" s="58"/>
      <c r="T13" s="58"/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</row>
    <row r="14" customFormat="false" ht="15" hidden="false" customHeight="true" outlineLevel="0" collapsed="false">
      <c r="A14" s="112" t="s">
        <v>71</v>
      </c>
      <c r="B14" s="112"/>
      <c r="C14" s="112"/>
      <c r="D14" s="113"/>
      <c r="E14" s="58"/>
      <c r="F14" s="58"/>
      <c r="G14" s="58"/>
      <c r="H14" s="58"/>
      <c r="I14" s="58"/>
      <c r="J14" s="114" t="s">
        <v>72</v>
      </c>
      <c r="K14" s="115" t="n">
        <f aca="false">K13*D12</f>
        <v>0</v>
      </c>
      <c r="L14" s="58"/>
      <c r="M14" s="58"/>
      <c r="N14" s="58"/>
      <c r="O14" s="116"/>
      <c r="P14" s="117"/>
      <c r="Q14" s="58"/>
      <c r="R14" s="58"/>
      <c r="S14" s="58"/>
      <c r="T14" s="58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</row>
    <row r="15" customFormat="false" ht="16.5" hidden="false" customHeight="true" outlineLevel="0" collapsed="false">
      <c r="A15" s="118" t="s">
        <v>73</v>
      </c>
      <c r="B15" s="118"/>
      <c r="C15" s="118"/>
      <c r="D15" s="11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9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</row>
    <row r="16" customFormat="false" ht="15.75" hidden="false" customHeight="true" outlineLevel="0" collapsed="false">
      <c r="A16" s="120" t="s">
        <v>74</v>
      </c>
      <c r="B16" s="120"/>
      <c r="C16" s="120"/>
      <c r="D16" s="11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9"/>
      <c r="V16" s="60"/>
      <c r="W16" s="121" t="s">
        <v>75</v>
      </c>
      <c r="X16" s="121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customFormat="false" ht="15.75" hidden="false" customHeight="true" outlineLevel="0" collapsed="false">
      <c r="A17" s="120" t="s">
        <v>76</v>
      </c>
      <c r="B17" s="120"/>
      <c r="C17" s="120"/>
      <c r="D17" s="122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 customFormat="false" ht="15" hidden="false" customHeight="true" outlineLevel="0" collapsed="false">
      <c r="A18" s="58"/>
      <c r="B18" s="123" t="s">
        <v>77</v>
      </c>
      <c r="C18" s="123"/>
      <c r="D18" s="123"/>
      <c r="E18" s="123"/>
      <c r="F18" s="123"/>
      <c r="G18" s="123"/>
      <c r="H18" s="123" t="s">
        <v>78</v>
      </c>
      <c r="I18" s="123"/>
      <c r="J18" s="123"/>
      <c r="K18" s="123"/>
      <c r="L18" s="123"/>
      <c r="M18" s="123"/>
      <c r="N18" s="58"/>
      <c r="O18" s="124" t="s">
        <v>79</v>
      </c>
      <c r="P18" s="124"/>
      <c r="Q18" s="124"/>
      <c r="R18" s="58"/>
      <c r="S18" s="58"/>
      <c r="T18" s="58"/>
      <c r="U18" s="59"/>
      <c r="V18" s="125" t="n">
        <f aca="false">'результат '!F26</f>
        <v>0</v>
      </c>
      <c r="W18" s="126" t="s">
        <v>80</v>
      </c>
      <c r="X18" s="126"/>
      <c r="Y18" s="126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</row>
    <row r="19" customFormat="false" ht="15.75" hidden="false" customHeight="true" outlineLevel="0" collapsed="false">
      <c r="A19" s="58"/>
      <c r="B19" s="127" t="s">
        <v>81</v>
      </c>
      <c r="C19" s="128" t="s">
        <v>82</v>
      </c>
      <c r="D19" s="128"/>
      <c r="E19" s="129"/>
      <c r="F19" s="128" t="s">
        <v>83</v>
      </c>
      <c r="G19" s="130" t="n">
        <v>7850</v>
      </c>
      <c r="H19" s="127" t="s">
        <v>81</v>
      </c>
      <c r="I19" s="128" t="s">
        <v>82</v>
      </c>
      <c r="J19" s="128"/>
      <c r="K19" s="129"/>
      <c r="L19" s="128" t="s">
        <v>83</v>
      </c>
      <c r="M19" s="130" t="n">
        <v>7850</v>
      </c>
      <c r="N19" s="58"/>
      <c r="O19" s="131" t="s">
        <v>84</v>
      </c>
      <c r="P19" s="132" t="n">
        <v>88</v>
      </c>
      <c r="Q19" s="133"/>
      <c r="R19" s="58"/>
      <c r="S19" s="58"/>
      <c r="T19" s="58"/>
      <c r="U19" s="59"/>
      <c r="V19" s="134" t="n">
        <f aca="false">'результат '!G26</f>
        <v>0</v>
      </c>
      <c r="W19" s="135" t="s">
        <v>85</v>
      </c>
      <c r="X19" s="135"/>
      <c r="Y19" s="135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customFormat="false" ht="13.8" hidden="false" customHeight="false" outlineLevel="0" collapsed="false">
      <c r="A20" s="58"/>
      <c r="B20" s="127"/>
      <c r="C20" s="136" t="s">
        <v>86</v>
      </c>
      <c r="D20" s="136"/>
      <c r="E20" s="137"/>
      <c r="F20" s="136" t="s">
        <v>87</v>
      </c>
      <c r="G20" s="138" t="n">
        <f aca="false"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  <v>0</v>
      </c>
      <c r="H20" s="127"/>
      <c r="I20" s="136" t="s">
        <v>86</v>
      </c>
      <c r="J20" s="136"/>
      <c r="K20" s="137"/>
      <c r="L20" s="136" t="s">
        <v>87</v>
      </c>
      <c r="M20" s="138" t="n">
        <f aca="false">M21*K19*K19*M19</f>
        <v>0</v>
      </c>
      <c r="N20" s="58"/>
      <c r="O20" s="131" t="s">
        <v>88</v>
      </c>
      <c r="P20" s="139" t="s">
        <v>89</v>
      </c>
      <c r="Q20" s="133"/>
      <c r="R20" s="58"/>
      <c r="S20" s="58"/>
      <c r="T20" s="58"/>
      <c r="U20" s="59"/>
      <c r="V20" s="134" t="n">
        <f aca="false">'результат '!H26</f>
        <v>0</v>
      </c>
      <c r="W20" s="135" t="s">
        <v>90</v>
      </c>
      <c r="X20" s="135"/>
      <c r="Y20" s="135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customFormat="false" ht="15.75" hidden="false" customHeight="true" outlineLevel="0" collapsed="false">
      <c r="A21" s="58"/>
      <c r="B21" s="140" t="s">
        <v>91</v>
      </c>
      <c r="C21" s="140"/>
      <c r="D21" s="140"/>
      <c r="E21" s="137"/>
      <c r="F21" s="136"/>
      <c r="G21" s="141"/>
      <c r="H21" s="140" t="s">
        <v>92</v>
      </c>
      <c r="I21" s="140"/>
      <c r="J21" s="140"/>
      <c r="K21" s="137"/>
      <c r="L21" s="136" t="s">
        <v>93</v>
      </c>
      <c r="M21" s="142" t="n">
        <f aca="false">(технолог!T27+технолог!U27)*0.001*технолог!I27+2*E19+2*технолог!V27*0.001</f>
        <v>2.406</v>
      </c>
      <c r="N21" s="58"/>
      <c r="O21" s="131" t="s">
        <v>94</v>
      </c>
      <c r="P21" s="139" t="s">
        <v>95</v>
      </c>
      <c r="Q21" s="133" t="s">
        <v>96</v>
      </c>
      <c r="R21" s="58"/>
      <c r="S21" s="58"/>
      <c r="T21" s="58"/>
      <c r="U21" s="59"/>
      <c r="V21" s="134" t="n">
        <f aca="false">'результат '!I26</f>
        <v>0</v>
      </c>
      <c r="W21" s="135" t="s">
        <v>97</v>
      </c>
      <c r="X21" s="135"/>
      <c r="Y21" s="135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</row>
    <row r="22" customFormat="false" ht="16.5" hidden="false" customHeight="true" outlineLevel="0" collapsed="false">
      <c r="A22" s="58"/>
      <c r="B22" s="143"/>
      <c r="C22" s="143"/>
      <c r="D22" s="143"/>
      <c r="E22" s="144"/>
      <c r="F22" s="145" t="s">
        <v>98</v>
      </c>
      <c r="G22" s="146" t="n">
        <f aca="false">IF(технолог!G27=снабжение!AM46,G20*D10+E20+E21,G20*D10*D16+E20+E21)</f>
        <v>0</v>
      </c>
      <c r="H22" s="143"/>
      <c r="I22" s="143"/>
      <c r="J22" s="143"/>
      <c r="K22" s="144"/>
      <c r="L22" s="145" t="s">
        <v>99</v>
      </c>
      <c r="M22" s="146" t="n">
        <f aca="false">IF(технолог!G27=снабжение!AM46,M20*D10*(D15+0.03)+K20+K21,M20*D10*D15+K20+K21)</f>
        <v>0</v>
      </c>
      <c r="N22" s="58"/>
      <c r="O22" s="131" t="s">
        <v>100</v>
      </c>
      <c r="P22" s="139" t="s">
        <v>101</v>
      </c>
      <c r="Q22" s="147"/>
      <c r="R22" s="58"/>
      <c r="S22" s="58"/>
      <c r="T22" s="58"/>
      <c r="U22" s="59"/>
      <c r="V22" s="134" t="n">
        <f aca="false">'результат '!J26</f>
        <v>0</v>
      </c>
      <c r="W22" s="135" t="s">
        <v>102</v>
      </c>
      <c r="X22" s="135"/>
      <c r="Y22" s="135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</row>
    <row r="23" customFormat="false" ht="16.5" hidden="false" customHeight="tru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131" t="s">
        <v>103</v>
      </c>
      <c r="P23" s="148" t="str">
        <f aca="false">P22</f>
        <v>М33</v>
      </c>
      <c r="Q23" s="147"/>
      <c r="R23" s="58"/>
      <c r="S23" s="58"/>
      <c r="T23" s="58"/>
      <c r="U23" s="59"/>
      <c r="V23" s="134" t="n">
        <f aca="false">'результат '!K26</f>
        <v>0</v>
      </c>
      <c r="W23" s="135" t="s">
        <v>104</v>
      </c>
      <c r="X23" s="135"/>
      <c r="Y23" s="135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</row>
    <row r="24" customFormat="false" ht="16.5" hidden="false" customHeight="true" outlineLevel="0" collapsed="false">
      <c r="A24" s="58"/>
      <c r="B24" s="123" t="s">
        <v>105</v>
      </c>
      <c r="C24" s="123"/>
      <c r="D24" s="123"/>
      <c r="E24" s="123"/>
      <c r="F24" s="123"/>
      <c r="G24" s="123"/>
      <c r="H24" s="123" t="s">
        <v>106</v>
      </c>
      <c r="I24" s="123"/>
      <c r="J24" s="123"/>
      <c r="K24" s="123"/>
      <c r="L24" s="123"/>
      <c r="M24" s="123"/>
      <c r="N24" s="58"/>
      <c r="O24" s="149" t="s">
        <v>107</v>
      </c>
      <c r="P24" s="148" t="str">
        <f aca="false">P22</f>
        <v>М33</v>
      </c>
      <c r="Q24" s="147"/>
      <c r="R24" s="58"/>
      <c r="S24" s="58"/>
      <c r="T24" s="58"/>
      <c r="U24" s="59"/>
      <c r="V24" s="134" t="n">
        <f aca="false">'результат '!L26</f>
        <v>0</v>
      </c>
      <c r="W24" s="135" t="s">
        <v>108</v>
      </c>
      <c r="X24" s="135"/>
      <c r="Y24" s="135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 customFormat="false" ht="16.5" hidden="false" customHeight="true" outlineLevel="0" collapsed="false">
      <c r="A25" s="58"/>
      <c r="B25" s="106" t="s">
        <v>109</v>
      </c>
      <c r="C25" s="150" t="s">
        <v>82</v>
      </c>
      <c r="D25" s="150"/>
      <c r="E25" s="151"/>
      <c r="F25" s="150" t="s">
        <v>83</v>
      </c>
      <c r="G25" s="152" t="n">
        <v>7850</v>
      </c>
      <c r="H25" s="106" t="s">
        <v>110</v>
      </c>
      <c r="I25" s="150" t="s">
        <v>82</v>
      </c>
      <c r="J25" s="150"/>
      <c r="K25" s="151"/>
      <c r="L25" s="150" t="s">
        <v>83</v>
      </c>
      <c r="M25" s="152" t="n">
        <v>7850</v>
      </c>
      <c r="N25" s="58"/>
      <c r="O25" s="58"/>
      <c r="P25" s="153" t="s">
        <v>72</v>
      </c>
      <c r="Q25" s="154" t="n">
        <f aca="false">(Q22+Q23+Q24)*P19</f>
        <v>0</v>
      </c>
      <c r="R25" s="58"/>
      <c r="S25" s="58"/>
      <c r="T25" s="58"/>
      <c r="U25" s="59"/>
      <c r="V25" s="134" t="n">
        <f aca="false">'результат '!M26</f>
        <v>0</v>
      </c>
      <c r="W25" s="135" t="s">
        <v>111</v>
      </c>
      <c r="X25" s="135"/>
      <c r="Y25" s="135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 customFormat="false" ht="16.5" hidden="false" customHeight="true" outlineLevel="0" collapsed="false">
      <c r="A26" s="58"/>
      <c r="B26" s="106"/>
      <c r="C26" s="136" t="s">
        <v>86</v>
      </c>
      <c r="D26" s="136"/>
      <c r="E26" s="137"/>
      <c r="F26" s="136" t="s">
        <v>87</v>
      </c>
      <c r="G26" s="138" t="n">
        <f aca="false">E25*G27*M21*G25</f>
        <v>0</v>
      </c>
      <c r="H26" s="106"/>
      <c r="I26" s="136" t="s">
        <v>86</v>
      </c>
      <c r="J26" s="136"/>
      <c r="K26" s="137"/>
      <c r="L26" s="136" t="s">
        <v>87</v>
      </c>
      <c r="M26" s="138" t="n">
        <f aca="false">K25*M27*M21*M25</f>
        <v>0</v>
      </c>
      <c r="N26" s="58"/>
      <c r="O26" s="58"/>
      <c r="P26" s="58"/>
      <c r="Q26" s="58"/>
      <c r="R26" s="58"/>
      <c r="S26" s="58"/>
      <c r="T26" s="58"/>
      <c r="U26" s="59"/>
      <c r="V26" s="134" t="n">
        <f aca="false">'результат '!N26</f>
        <v>1274416.64</v>
      </c>
      <c r="W26" s="135" t="s">
        <v>112</v>
      </c>
      <c r="X26" s="135"/>
      <c r="Y26" s="135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 customFormat="false" ht="16.5" hidden="false" customHeight="true" outlineLevel="0" collapsed="false">
      <c r="A27" s="58"/>
      <c r="B27" s="155" t="s">
        <v>113</v>
      </c>
      <c r="C27" s="155"/>
      <c r="D27" s="155"/>
      <c r="E27" s="156"/>
      <c r="F27" s="157" t="s">
        <v>114</v>
      </c>
      <c r="G27" s="158" t="n">
        <f aca="false"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  <v>0.95</v>
      </c>
      <c r="H27" s="155" t="s">
        <v>113</v>
      </c>
      <c r="I27" s="155"/>
      <c r="J27" s="155"/>
      <c r="K27" s="156"/>
      <c r="L27" s="157" t="s">
        <v>114</v>
      </c>
      <c r="M27" s="158" t="n">
        <f aca="false"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  <v>0.95</v>
      </c>
      <c r="N27" s="58"/>
      <c r="O27" s="124" t="s">
        <v>115</v>
      </c>
      <c r="P27" s="124"/>
      <c r="Q27" s="124"/>
      <c r="R27" s="124"/>
      <c r="S27" s="124"/>
      <c r="T27" s="124"/>
      <c r="U27" s="59"/>
      <c r="V27" s="134" t="n">
        <f aca="false">'результат '!O26</f>
        <v>0</v>
      </c>
      <c r="W27" s="135" t="s">
        <v>116</v>
      </c>
      <c r="X27" s="135"/>
      <c r="Y27" s="135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 customFormat="false" ht="15.75" hidden="false" customHeight="true" outlineLevel="0" collapsed="false">
      <c r="A28" s="58"/>
      <c r="B28" s="159" t="s">
        <v>117</v>
      </c>
      <c r="C28" s="160" t="s">
        <v>118</v>
      </c>
      <c r="D28" s="160" t="s">
        <v>119</v>
      </c>
      <c r="E28" s="161" t="s">
        <v>120</v>
      </c>
      <c r="F28" s="162"/>
      <c r="G28" s="163"/>
      <c r="H28" s="159" t="s">
        <v>121</v>
      </c>
      <c r="I28" s="160" t="s">
        <v>122</v>
      </c>
      <c r="J28" s="160" t="s">
        <v>123</v>
      </c>
      <c r="K28" s="161" t="s">
        <v>120</v>
      </c>
      <c r="L28" s="162"/>
      <c r="M28" s="163"/>
      <c r="N28" s="58"/>
      <c r="O28" s="164" t="s">
        <v>117</v>
      </c>
      <c r="P28" s="165" t="str">
        <f aca="false">D28</f>
        <v>Ду600</v>
      </c>
      <c r="Q28" s="165" t="str">
        <f aca="false">C28</f>
        <v>Ру10</v>
      </c>
      <c r="R28" s="165"/>
      <c r="S28" s="165" t="s">
        <v>124</v>
      </c>
      <c r="T28" s="166" t="n">
        <f aca="false">F28</f>
        <v>0</v>
      </c>
      <c r="U28" s="59"/>
      <c r="V28" s="134" t="n">
        <f aca="false">'результат '!P26</f>
        <v>81920</v>
      </c>
      <c r="W28" s="135" t="s">
        <v>125</v>
      </c>
      <c r="X28" s="135"/>
      <c r="Y28" s="135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 customFormat="false" ht="13.8" hidden="false" customHeight="false" outlineLevel="0" collapsed="false">
      <c r="A29" s="58"/>
      <c r="B29" s="167" t="s">
        <v>126</v>
      </c>
      <c r="C29" s="168" t="s">
        <v>127</v>
      </c>
      <c r="D29" s="168" t="s">
        <v>119</v>
      </c>
      <c r="E29" s="169" t="s">
        <v>120</v>
      </c>
      <c r="F29" s="137"/>
      <c r="G29" s="133"/>
      <c r="H29" s="167" t="s">
        <v>128</v>
      </c>
      <c r="I29" s="168" t="s">
        <v>129</v>
      </c>
      <c r="J29" s="168" t="s">
        <v>130</v>
      </c>
      <c r="K29" s="169" t="s">
        <v>120</v>
      </c>
      <c r="L29" s="137"/>
      <c r="M29" s="133"/>
      <c r="N29" s="58"/>
      <c r="O29" s="170" t="s">
        <v>131</v>
      </c>
      <c r="P29" s="139" t="s">
        <v>132</v>
      </c>
      <c r="Q29" s="139" t="s">
        <v>133</v>
      </c>
      <c r="R29" s="139" t="s">
        <v>95</v>
      </c>
      <c r="S29" s="171" t="s">
        <v>134</v>
      </c>
      <c r="T29" s="147"/>
      <c r="U29" s="59"/>
      <c r="V29" s="134" t="n">
        <f aca="false">'результат '!Q26</f>
        <v>0</v>
      </c>
      <c r="W29" s="135" t="s">
        <v>115</v>
      </c>
      <c r="X29" s="135"/>
      <c r="Y29" s="135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customFormat="false" ht="13.8" hidden="false" customHeight="false" outlineLevel="0" collapsed="false">
      <c r="A30" s="58"/>
      <c r="B30" s="167"/>
      <c r="C30" s="148"/>
      <c r="D30" s="148"/>
      <c r="E30" s="169" t="s">
        <v>135</v>
      </c>
      <c r="F30" s="137"/>
      <c r="G30" s="133"/>
      <c r="H30" s="167"/>
      <c r="I30" s="148"/>
      <c r="J30" s="148"/>
      <c r="K30" s="169" t="s">
        <v>136</v>
      </c>
      <c r="L30" s="137"/>
      <c r="M30" s="133"/>
      <c r="N30" s="58"/>
      <c r="O30" s="172"/>
      <c r="R30" s="171" t="s">
        <v>137</v>
      </c>
      <c r="S30" s="171" t="s">
        <v>138</v>
      </c>
      <c r="T30" s="147"/>
      <c r="U30" s="59"/>
      <c r="V30" s="134" t="n">
        <f aca="false">'результат '!R26</f>
        <v>2000</v>
      </c>
      <c r="W30" s="135" t="s">
        <v>139</v>
      </c>
      <c r="X30" s="135"/>
      <c r="Y30" s="135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</row>
    <row r="31" customFormat="false" ht="13.8" hidden="false" customHeight="false" outlineLevel="0" collapsed="false">
      <c r="A31" s="58"/>
      <c r="B31" s="167"/>
      <c r="C31" s="148"/>
      <c r="D31" s="148"/>
      <c r="E31" s="169" t="s">
        <v>140</v>
      </c>
      <c r="F31" s="137"/>
      <c r="G31" s="133"/>
      <c r="H31" s="167"/>
      <c r="I31" s="148"/>
      <c r="J31" s="148"/>
      <c r="K31" s="169" t="s">
        <v>141</v>
      </c>
      <c r="L31" s="137"/>
      <c r="M31" s="133"/>
      <c r="N31" s="58"/>
      <c r="O31" s="173"/>
      <c r="P31" s="174"/>
      <c r="Q31" s="174"/>
      <c r="R31" s="174"/>
      <c r="S31" s="175" t="s">
        <v>142</v>
      </c>
      <c r="T31" s="147"/>
      <c r="U31" s="59"/>
      <c r="V31" s="134" t="n">
        <f aca="false">'результат '!S26</f>
        <v>2700</v>
      </c>
      <c r="W31" s="135" t="s">
        <v>143</v>
      </c>
      <c r="X31" s="135"/>
      <c r="Y31" s="135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</row>
    <row r="32" customFormat="false" ht="13.8" hidden="false" customHeight="false" outlineLevel="0" collapsed="false">
      <c r="A32" s="58"/>
      <c r="B32" s="167"/>
      <c r="C32" s="148"/>
      <c r="D32" s="148"/>
      <c r="E32" s="169" t="s">
        <v>144</v>
      </c>
      <c r="F32" s="137"/>
      <c r="G32" s="133"/>
      <c r="H32" s="167"/>
      <c r="I32" s="148"/>
      <c r="J32" s="148"/>
      <c r="K32" s="169" t="s">
        <v>144</v>
      </c>
      <c r="L32" s="137"/>
      <c r="M32" s="133"/>
      <c r="N32" s="58"/>
      <c r="O32" s="164" t="s">
        <v>126</v>
      </c>
      <c r="P32" s="165" t="str">
        <f aca="false">D29</f>
        <v>Ду600</v>
      </c>
      <c r="Q32" s="165" t="str">
        <f aca="false">C29</f>
        <v>Ру40</v>
      </c>
      <c r="R32" s="165"/>
      <c r="S32" s="165" t="s">
        <v>124</v>
      </c>
      <c r="T32" s="166" t="n">
        <f aca="false">F29</f>
        <v>0</v>
      </c>
      <c r="U32" s="59"/>
      <c r="V32" s="134" t="n">
        <f aca="false">'результат '!T26</f>
        <v>50000</v>
      </c>
      <c r="W32" s="135" t="s">
        <v>145</v>
      </c>
      <c r="X32" s="135"/>
      <c r="Y32" s="135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</row>
    <row r="33" customFormat="false" ht="13.8" hidden="false" customHeight="false" outlineLevel="0" collapsed="false">
      <c r="A33" s="58"/>
      <c r="B33" s="167"/>
      <c r="C33" s="148"/>
      <c r="D33" s="148"/>
      <c r="E33" s="169" t="s">
        <v>146</v>
      </c>
      <c r="F33" s="137"/>
      <c r="G33" s="133"/>
      <c r="H33" s="167"/>
      <c r="I33" s="148"/>
      <c r="J33" s="148"/>
      <c r="K33" s="169" t="s">
        <v>146</v>
      </c>
      <c r="L33" s="137"/>
      <c r="M33" s="133"/>
      <c r="N33" s="58"/>
      <c r="O33" s="170" t="s">
        <v>131</v>
      </c>
      <c r="P33" s="139" t="s">
        <v>132</v>
      </c>
      <c r="Q33" s="139" t="s">
        <v>133</v>
      </c>
      <c r="R33" s="139" t="s">
        <v>95</v>
      </c>
      <c r="S33" s="171" t="s">
        <v>134</v>
      </c>
      <c r="T33" s="147"/>
      <c r="U33" s="59"/>
      <c r="V33" s="134" t="n">
        <f aca="false">'результат '!U26</f>
        <v>0</v>
      </c>
      <c r="W33" s="135" t="s">
        <v>147</v>
      </c>
      <c r="X33" s="135"/>
      <c r="Y33" s="135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</row>
    <row r="34" customFormat="false" ht="15.75" hidden="false" customHeight="true" outlineLevel="0" collapsed="false">
      <c r="A34" s="58"/>
      <c r="B34" s="176"/>
      <c r="C34" s="177" t="s">
        <v>148</v>
      </c>
      <c r="D34" s="178" t="n">
        <f aca="false">G26*D17*D11</f>
        <v>0</v>
      </c>
      <c r="E34" s="136" t="s">
        <v>149</v>
      </c>
      <c r="F34" s="178" t="n">
        <f aca="false">F28+F29+F30+F31+F32+F33</f>
        <v>0</v>
      </c>
      <c r="G34" s="179"/>
      <c r="H34" s="176"/>
      <c r="I34" s="177" t="s">
        <v>148</v>
      </c>
      <c r="J34" s="178" t="n">
        <f aca="false">M26*D17*D11</f>
        <v>0</v>
      </c>
      <c r="K34" s="136" t="s">
        <v>149</v>
      </c>
      <c r="L34" s="178" t="n">
        <f aca="false">L28+L29+L30+L31+L32+L33</f>
        <v>0</v>
      </c>
      <c r="M34" s="133"/>
      <c r="N34" s="58"/>
      <c r="O34" s="172"/>
      <c r="R34" s="171" t="s">
        <v>137</v>
      </c>
      <c r="S34" s="171" t="s">
        <v>138</v>
      </c>
      <c r="T34" s="147"/>
      <c r="U34" s="59"/>
      <c r="V34" s="134" t="n">
        <f aca="false">'результат '!V26</f>
        <v>20000</v>
      </c>
      <c r="W34" s="135" t="s">
        <v>150</v>
      </c>
      <c r="X34" s="135"/>
      <c r="Y34" s="135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</row>
    <row r="35" customFormat="false" ht="16.5" hidden="false" customHeight="true" outlineLevel="0" collapsed="false">
      <c r="A35" s="58"/>
      <c r="B35" s="180"/>
      <c r="C35" s="180"/>
      <c r="D35" s="176"/>
      <c r="E35" s="181"/>
      <c r="F35" s="182" t="s">
        <v>151</v>
      </c>
      <c r="G35" s="154" t="n">
        <f aca="false">D34*2+F34</f>
        <v>0</v>
      </c>
      <c r="H35" s="58"/>
      <c r="I35" s="58"/>
      <c r="J35" s="176"/>
      <c r="K35" s="181"/>
      <c r="L35" s="183" t="s">
        <v>151</v>
      </c>
      <c r="M35" s="154" t="n">
        <f aca="false">J34*2+L34</f>
        <v>0</v>
      </c>
      <c r="N35" s="58"/>
      <c r="O35" s="173"/>
      <c r="P35" s="174"/>
      <c r="Q35" s="174"/>
      <c r="R35" s="174"/>
      <c r="S35" s="175" t="s">
        <v>142</v>
      </c>
      <c r="T35" s="147"/>
      <c r="U35" s="59"/>
      <c r="V35" s="134" t="n">
        <f aca="false">'результат '!W26</f>
        <v>58100</v>
      </c>
      <c r="W35" s="135" t="s">
        <v>152</v>
      </c>
      <c r="X35" s="135"/>
      <c r="Y35" s="135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Q35" s="184" t="s">
        <v>153</v>
      </c>
      <c r="AR35" s="30"/>
      <c r="AS35" s="185" t="s">
        <v>154</v>
      </c>
      <c r="AT35" s="29"/>
      <c r="AU35" s="29"/>
      <c r="AV35" s="29"/>
      <c r="AW35" s="184" t="s">
        <v>155</v>
      </c>
      <c r="AX35" s="29"/>
      <c r="AY35" s="30"/>
      <c r="AZ35" s="184" t="s">
        <v>156</v>
      </c>
      <c r="BA35" s="30"/>
    </row>
    <row r="36" customFormat="false" ht="16.5" hidden="false" customHeight="true" outlineLevel="0" collapsed="false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164" t="s">
        <v>121</v>
      </c>
      <c r="P36" s="165" t="str">
        <f aca="false">J28</f>
        <v>Ду450</v>
      </c>
      <c r="Q36" s="165" t="str">
        <f aca="false">I28</f>
        <v>Ру25</v>
      </c>
      <c r="R36" s="165"/>
      <c r="S36" s="165" t="s">
        <v>124</v>
      </c>
      <c r="T36" s="166" t="n">
        <f aca="false">L28</f>
        <v>0</v>
      </c>
      <c r="U36" s="59"/>
      <c r="V36" s="186" t="n">
        <f aca="false">'результат '!X26</f>
        <v>120000</v>
      </c>
      <c r="W36" s="187" t="s">
        <v>157</v>
      </c>
      <c r="X36" s="187"/>
      <c r="Y36" s="187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Q36" s="31" t="s">
        <v>158</v>
      </c>
      <c r="AR36" s="32" t="s">
        <v>159</v>
      </c>
      <c r="AS36" s="0" t="s">
        <v>88</v>
      </c>
      <c r="AT36" s="0" t="s">
        <v>94</v>
      </c>
      <c r="AV36" s="0" t="s">
        <v>158</v>
      </c>
      <c r="AW36" s="31" t="s">
        <v>158</v>
      </c>
      <c r="AX36" s="0" t="s">
        <v>88</v>
      </c>
      <c r="AY36" s="32" t="s">
        <v>94</v>
      </c>
      <c r="AZ36" s="31" t="s">
        <v>31</v>
      </c>
      <c r="BA36" s="32"/>
    </row>
    <row r="37" customFormat="false" ht="16.5" hidden="false" customHeight="true" outlineLevel="0" collapsed="false">
      <c r="A37" s="58"/>
      <c r="B37" s="124" t="s">
        <v>160</v>
      </c>
      <c r="C37" s="124"/>
      <c r="D37" s="124"/>
      <c r="E37" s="124"/>
      <c r="F37" s="124"/>
      <c r="G37" s="58"/>
      <c r="H37" s="188" t="s">
        <v>161</v>
      </c>
      <c r="I37" s="188"/>
      <c r="J37" s="123" t="s">
        <v>162</v>
      </c>
      <c r="K37" s="123"/>
      <c r="L37" s="123" t="s">
        <v>163</v>
      </c>
      <c r="M37" s="123"/>
      <c r="N37" s="58"/>
      <c r="O37" s="170" t="s">
        <v>131</v>
      </c>
      <c r="P37" s="139" t="s">
        <v>132</v>
      </c>
      <c r="Q37" s="139" t="s">
        <v>133</v>
      </c>
      <c r="R37" s="139" t="s">
        <v>95</v>
      </c>
      <c r="S37" s="171" t="s">
        <v>134</v>
      </c>
      <c r="T37" s="147"/>
      <c r="U37" s="59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Q37" s="31" t="s">
        <v>164</v>
      </c>
      <c r="AR37" s="32" t="s">
        <v>165</v>
      </c>
      <c r="AS37" s="0" t="s">
        <v>89</v>
      </c>
      <c r="AT37" s="0" t="s">
        <v>95</v>
      </c>
      <c r="AV37" s="0" t="s">
        <v>166</v>
      </c>
      <c r="AW37" s="31" t="s">
        <v>167</v>
      </c>
      <c r="AX37" s="0" t="s">
        <v>168</v>
      </c>
      <c r="AY37" s="32" t="s">
        <v>95</v>
      </c>
      <c r="AZ37" s="31" t="s">
        <v>169</v>
      </c>
      <c r="BA37" s="32"/>
    </row>
    <row r="38" customFormat="false" ht="15" hidden="false" customHeight="true" outlineLevel="0" collapsed="false">
      <c r="A38" s="58"/>
      <c r="B38" s="167"/>
      <c r="C38" s="169" t="s">
        <v>170</v>
      </c>
      <c r="D38" s="189"/>
      <c r="E38" s="169" t="s">
        <v>171</v>
      </c>
      <c r="F38" s="190" t="n">
        <f aca="false">D38*4</f>
        <v>0</v>
      </c>
      <c r="G38" s="58"/>
      <c r="H38" s="159" t="s">
        <v>172</v>
      </c>
      <c r="I38" s="191" t="n">
        <v>1000</v>
      </c>
      <c r="J38" s="192" t="s">
        <v>172</v>
      </c>
      <c r="K38" s="193" t="n">
        <v>1500</v>
      </c>
      <c r="L38" s="192" t="s">
        <v>172</v>
      </c>
      <c r="M38" s="193" t="n">
        <v>0</v>
      </c>
      <c r="N38" s="58"/>
      <c r="O38" s="172"/>
      <c r="R38" s="171" t="s">
        <v>137</v>
      </c>
      <c r="S38" s="171" t="s">
        <v>138</v>
      </c>
      <c r="T38" s="147"/>
      <c r="U38" s="59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194" t="s">
        <v>8</v>
      </c>
      <c r="AM38" s="28"/>
      <c r="AN38" s="195" t="s">
        <v>173</v>
      </c>
      <c r="AO38" s="196" t="s">
        <v>174</v>
      </c>
      <c r="AP38" s="197" t="s">
        <v>175</v>
      </c>
      <c r="AQ38" s="31" t="s">
        <v>176</v>
      </c>
      <c r="AR38" s="32" t="s">
        <v>118</v>
      </c>
      <c r="AS38" s="0" t="s">
        <v>177</v>
      </c>
      <c r="AT38" s="0" t="s">
        <v>178</v>
      </c>
      <c r="AV38" s="0" t="s">
        <v>179</v>
      </c>
      <c r="AW38" s="31" t="s">
        <v>132</v>
      </c>
      <c r="AX38" s="0" t="s">
        <v>133</v>
      </c>
      <c r="AY38" s="32" t="s">
        <v>178</v>
      </c>
      <c r="AZ38" s="31" t="s">
        <v>180</v>
      </c>
      <c r="BA38" s="32"/>
    </row>
    <row r="39" customFormat="false" ht="15.75" hidden="false" customHeight="true" outlineLevel="0" collapsed="false">
      <c r="A39" s="58"/>
      <c r="B39" s="198" t="s">
        <v>181</v>
      </c>
      <c r="C39" s="198"/>
      <c r="D39" s="198"/>
      <c r="E39" s="198"/>
      <c r="F39" s="199" t="n">
        <v>2</v>
      </c>
      <c r="G39" s="58"/>
      <c r="H39" s="167" t="s">
        <v>182</v>
      </c>
      <c r="I39" s="200" t="n">
        <v>1000</v>
      </c>
      <c r="J39" s="167" t="s">
        <v>182</v>
      </c>
      <c r="K39" s="200" t="n">
        <v>1200</v>
      </c>
      <c r="L39" s="167" t="s">
        <v>182</v>
      </c>
      <c r="M39" s="200" t="n">
        <v>0</v>
      </c>
      <c r="N39" s="58"/>
      <c r="O39" s="173"/>
      <c r="P39" s="174"/>
      <c r="Q39" s="174"/>
      <c r="R39" s="174"/>
      <c r="S39" s="175" t="s">
        <v>142</v>
      </c>
      <c r="T39" s="147"/>
      <c r="U39" s="59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201" t="s">
        <v>26</v>
      </c>
      <c r="AM39" s="31"/>
      <c r="AN39" s="0" t="s">
        <v>183</v>
      </c>
      <c r="AO39" s="196"/>
      <c r="AP39" s="197"/>
      <c r="AQ39" s="31" t="s">
        <v>184</v>
      </c>
      <c r="AR39" s="32" t="s">
        <v>185</v>
      </c>
      <c r="AS39" s="0" t="s">
        <v>186</v>
      </c>
      <c r="AT39" s="0" t="s">
        <v>187</v>
      </c>
      <c r="AV39" s="0" t="s">
        <v>101</v>
      </c>
      <c r="AW39" s="31" t="s">
        <v>188</v>
      </c>
      <c r="AX39" s="0" t="s">
        <v>189</v>
      </c>
      <c r="AY39" s="32" t="s">
        <v>187</v>
      </c>
      <c r="AZ39" s="31" t="s">
        <v>100</v>
      </c>
      <c r="BA39" s="32"/>
    </row>
    <row r="40" customFormat="false" ht="16.5" hidden="false" customHeight="true" outlineLevel="0" collapsed="false">
      <c r="A40" s="58"/>
      <c r="B40" s="58"/>
      <c r="C40" s="58"/>
      <c r="D40" s="58"/>
      <c r="E40" s="153" t="s">
        <v>72</v>
      </c>
      <c r="F40" s="202" t="n">
        <f aca="false">F38+F39*F38</f>
        <v>0</v>
      </c>
      <c r="G40" s="58"/>
      <c r="H40" s="153" t="s">
        <v>72</v>
      </c>
      <c r="I40" s="203" t="n">
        <f aca="false">I38+I39</f>
        <v>2000</v>
      </c>
      <c r="J40" s="153" t="s">
        <v>72</v>
      </c>
      <c r="K40" s="203" t="n">
        <f aca="false">K38+K39</f>
        <v>2700</v>
      </c>
      <c r="L40" s="153" t="s">
        <v>72</v>
      </c>
      <c r="M40" s="203" t="n">
        <f aca="false">M38+M39</f>
        <v>0</v>
      </c>
      <c r="N40" s="58"/>
      <c r="O40" s="170" t="s">
        <v>128</v>
      </c>
      <c r="P40" s="0" t="str">
        <f aca="false">J29</f>
        <v>Ду300</v>
      </c>
      <c r="Q40" s="0" t="str">
        <f aca="false">I29</f>
        <v>Ру63</v>
      </c>
      <c r="S40" s="0" t="s">
        <v>124</v>
      </c>
      <c r="T40" s="204" t="n">
        <f aca="false">L29</f>
        <v>0</v>
      </c>
      <c r="U40" s="59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201" t="s">
        <v>190</v>
      </c>
      <c r="AM40" s="205" t="s">
        <v>191</v>
      </c>
      <c r="AN40" s="171" t="n">
        <v>0.068</v>
      </c>
      <c r="AO40" s="171" t="n">
        <v>0.225</v>
      </c>
      <c r="AP40" s="206" t="n">
        <v>0.225</v>
      </c>
      <c r="AQ40" s="31" t="s">
        <v>192</v>
      </c>
      <c r="AR40" s="32" t="s">
        <v>122</v>
      </c>
      <c r="AS40" s="0" t="s">
        <v>189</v>
      </c>
      <c r="AV40" s="0" t="s">
        <v>193</v>
      </c>
      <c r="AW40" s="31" t="s">
        <v>194</v>
      </c>
      <c r="AY40" s="32" t="s">
        <v>195</v>
      </c>
      <c r="AZ40" s="31" t="s">
        <v>196</v>
      </c>
      <c r="BA40" s="32"/>
    </row>
    <row r="41" customFormat="false" ht="16.5" hidden="false" customHeight="true" outlineLevel="0" collapsed="false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170" t="s">
        <v>131</v>
      </c>
      <c r="P41" s="139" t="s">
        <v>132</v>
      </c>
      <c r="Q41" s="139" t="s">
        <v>133</v>
      </c>
      <c r="R41" s="139" t="s">
        <v>95</v>
      </c>
      <c r="S41" s="171" t="s">
        <v>134</v>
      </c>
      <c r="T41" s="147"/>
      <c r="U41" s="59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201" t="s">
        <v>197</v>
      </c>
      <c r="AM41" s="205" t="s">
        <v>198</v>
      </c>
      <c r="AN41" s="171" t="n">
        <v>0.12</v>
      </c>
      <c r="AO41" s="171" t="n">
        <v>0.31</v>
      </c>
      <c r="AP41" s="206" t="n">
        <v>0.31</v>
      </c>
      <c r="AQ41" s="31" t="s">
        <v>199</v>
      </c>
      <c r="AR41" s="32" t="s">
        <v>127</v>
      </c>
      <c r="AV41" s="0" t="s">
        <v>200</v>
      </c>
      <c r="AW41" s="31" t="s">
        <v>166</v>
      </c>
      <c r="AY41" s="32"/>
      <c r="AZ41" s="31"/>
      <c r="BA41" s="32"/>
    </row>
    <row r="42" customFormat="false" ht="16.5" hidden="false" customHeight="true" outlineLevel="0" collapsed="false">
      <c r="A42" s="58"/>
      <c r="B42" s="123" t="s">
        <v>201</v>
      </c>
      <c r="C42" s="123"/>
      <c r="D42" s="123"/>
      <c r="E42" s="123"/>
      <c r="F42" s="123"/>
      <c r="G42" s="123"/>
      <c r="H42" s="58"/>
      <c r="I42" s="207" t="s">
        <v>202</v>
      </c>
      <c r="J42" s="207"/>
      <c r="K42" s="207"/>
      <c r="L42" s="207"/>
      <c r="M42" s="207"/>
      <c r="N42" s="58"/>
      <c r="O42" s="172"/>
      <c r="R42" s="171" t="s">
        <v>137</v>
      </c>
      <c r="S42" s="171" t="s">
        <v>138</v>
      </c>
      <c r="T42" s="147"/>
      <c r="U42" s="59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201"/>
      <c r="AM42" s="205" t="s">
        <v>203</v>
      </c>
      <c r="AN42" s="171" t="n">
        <v>0.19</v>
      </c>
      <c r="AO42" s="171" t="n">
        <v>0.402</v>
      </c>
      <c r="AP42" s="206" t="n">
        <v>0.402</v>
      </c>
      <c r="AQ42" s="31" t="s">
        <v>204</v>
      </c>
      <c r="AR42" s="32" t="s">
        <v>129</v>
      </c>
      <c r="AV42" s="0" t="s">
        <v>205</v>
      </c>
      <c r="AW42" s="31" t="s">
        <v>206</v>
      </c>
      <c r="AY42" s="32"/>
      <c r="AZ42" s="53"/>
      <c r="BA42" s="55"/>
    </row>
    <row r="43" customFormat="false" ht="16.5" hidden="false" customHeight="true" outlineLevel="0" collapsed="false">
      <c r="A43" s="58"/>
      <c r="B43" s="208" t="s">
        <v>207</v>
      </c>
      <c r="C43" s="208"/>
      <c r="D43" s="209" t="n">
        <v>3300</v>
      </c>
      <c r="E43" s="210" t="s">
        <v>208</v>
      </c>
      <c r="F43" s="210"/>
      <c r="G43" s="211" t="n">
        <v>600</v>
      </c>
      <c r="H43" s="58"/>
      <c r="I43" s="207"/>
      <c r="J43" s="207"/>
      <c r="K43" s="207"/>
      <c r="L43" s="207"/>
      <c r="M43" s="207"/>
      <c r="N43" s="58"/>
      <c r="O43" s="212"/>
      <c r="P43" s="213"/>
      <c r="Q43" s="213"/>
      <c r="R43" s="213"/>
      <c r="S43" s="171" t="s">
        <v>142</v>
      </c>
      <c r="T43" s="214"/>
      <c r="U43" s="59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201"/>
      <c r="AM43" s="205" t="s">
        <v>209</v>
      </c>
      <c r="AN43" s="171" t="n">
        <v>0.28</v>
      </c>
      <c r="AO43" s="171" t="n">
        <v>0.495</v>
      </c>
      <c r="AP43" s="206" t="n">
        <v>0.495</v>
      </c>
      <c r="AQ43" s="31" t="s">
        <v>210</v>
      </c>
      <c r="AR43" s="32" t="s">
        <v>211</v>
      </c>
      <c r="AS43" s="54"/>
      <c r="AT43" s="54"/>
      <c r="AU43" s="54"/>
      <c r="AV43" s="54" t="s">
        <v>212</v>
      </c>
      <c r="AW43" s="31" t="s">
        <v>179</v>
      </c>
      <c r="AY43" s="32"/>
    </row>
    <row r="44" customFormat="false" ht="16.5" hidden="false" customHeight="true" outlineLevel="0" collapsed="false">
      <c r="A44" s="58"/>
      <c r="B44" s="215" t="s">
        <v>213</v>
      </c>
      <c r="C44" s="215"/>
      <c r="D44" s="216" t="n">
        <v>1750</v>
      </c>
      <c r="E44" s="217" t="s">
        <v>214</v>
      </c>
      <c r="F44" s="217"/>
      <c r="G44" s="218" t="n">
        <v>87</v>
      </c>
      <c r="H44" s="58"/>
      <c r="I44" s="219" t="s">
        <v>215</v>
      </c>
      <c r="J44" s="219"/>
      <c r="K44" s="219"/>
      <c r="L44" s="219"/>
      <c r="M44" s="220" t="n">
        <v>50000</v>
      </c>
      <c r="N44" s="58"/>
      <c r="O44" s="58"/>
      <c r="P44" s="58"/>
      <c r="Q44" s="58"/>
      <c r="R44" s="58"/>
      <c r="S44" s="153" t="s">
        <v>72</v>
      </c>
      <c r="T44" s="202" t="n">
        <f aca="false">SUM(T28:T43)</f>
        <v>0</v>
      </c>
      <c r="U44" s="59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201"/>
      <c r="AM44" s="221" t="s">
        <v>216</v>
      </c>
      <c r="AN44" s="222" t="n">
        <v>0.27</v>
      </c>
      <c r="AO44" s="222" t="n">
        <v>0.61</v>
      </c>
      <c r="AP44" s="223" t="n">
        <v>0.385</v>
      </c>
      <c r="AQ44" s="31" t="s">
        <v>217</v>
      </c>
      <c r="AR44" s="32" t="s">
        <v>218</v>
      </c>
      <c r="AW44" s="31" t="s">
        <v>193</v>
      </c>
      <c r="AY44" s="32"/>
    </row>
    <row r="45" customFormat="false" ht="16.5" hidden="false" customHeight="true" outlineLevel="0" collapsed="false">
      <c r="A45" s="58"/>
      <c r="B45" s="215" t="s">
        <v>219</v>
      </c>
      <c r="C45" s="215"/>
      <c r="D45" s="216" t="n">
        <v>2800</v>
      </c>
      <c r="E45" s="217" t="s">
        <v>220</v>
      </c>
      <c r="F45" s="217"/>
      <c r="G45" s="218" t="n">
        <v>50</v>
      </c>
      <c r="H45" s="58"/>
      <c r="I45" s="219" t="s">
        <v>221</v>
      </c>
      <c r="J45" s="219"/>
      <c r="K45" s="219"/>
      <c r="L45" s="219"/>
      <c r="M45" s="220" t="n">
        <v>0</v>
      </c>
      <c r="N45" s="58"/>
      <c r="O45" s="224" t="s">
        <v>150</v>
      </c>
      <c r="P45" s="225" t="n">
        <v>20000</v>
      </c>
      <c r="Q45" s="58"/>
      <c r="R45" s="58"/>
      <c r="S45" s="58"/>
      <c r="T45" s="58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226"/>
      <c r="AM45" s="205" t="s">
        <v>222</v>
      </c>
      <c r="AN45" s="171" t="n">
        <v>0.4624</v>
      </c>
      <c r="AO45" s="171" t="n">
        <v>0.616</v>
      </c>
      <c r="AP45" s="206" t="n">
        <v>0.616</v>
      </c>
      <c r="AQ45" s="31" t="s">
        <v>223</v>
      </c>
      <c r="AR45" s="32"/>
      <c r="AW45" s="53" t="s">
        <v>205</v>
      </c>
      <c r="AX45" s="54"/>
      <c r="AY45" s="55"/>
    </row>
    <row r="46" customFormat="false" ht="16.5" hidden="false" customHeight="true" outlineLevel="0" collapsed="false">
      <c r="A46" s="58"/>
      <c r="B46" s="227" t="s">
        <v>224</v>
      </c>
      <c r="C46" s="227"/>
      <c r="D46" s="228" t="n">
        <v>1200</v>
      </c>
      <c r="E46" s="229"/>
      <c r="F46" s="229"/>
      <c r="G46" s="230"/>
      <c r="H46" s="58"/>
      <c r="I46" s="231" t="s">
        <v>221</v>
      </c>
      <c r="J46" s="231"/>
      <c r="K46" s="231"/>
      <c r="L46" s="231"/>
      <c r="M46" s="232" t="n">
        <v>0</v>
      </c>
      <c r="N46" s="58"/>
      <c r="O46" s="58"/>
      <c r="P46" s="58"/>
      <c r="Q46" s="58"/>
      <c r="R46" s="58"/>
      <c r="S46" s="58"/>
      <c r="T46" s="58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233" t="s">
        <v>225</v>
      </c>
      <c r="AM46" s="205" t="s">
        <v>27</v>
      </c>
      <c r="AN46" s="171" t="n">
        <v>1</v>
      </c>
      <c r="AO46" s="171" t="n">
        <v>0.95</v>
      </c>
      <c r="AP46" s="206" t="n">
        <v>0.95</v>
      </c>
      <c r="AQ46" s="31" t="s">
        <v>226</v>
      </c>
      <c r="AR46" s="32"/>
      <c r="AS46" s="185" t="s">
        <v>60</v>
      </c>
      <c r="AT46" s="234" t="s">
        <v>83</v>
      </c>
      <c r="AU46" s="184" t="s">
        <v>227</v>
      </c>
      <c r="AV46" s="30"/>
    </row>
    <row r="47" customFormat="false" ht="16.5" hidden="false" customHeight="true" outlineLevel="0" collapsed="false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235" t="n">
        <v>0.8</v>
      </c>
      <c r="AM47" s="205" t="s">
        <v>228</v>
      </c>
      <c r="AN47" s="171" t="n">
        <v>0.6</v>
      </c>
      <c r="AO47" s="171" t="n">
        <v>0.735</v>
      </c>
      <c r="AP47" s="206" t="n">
        <v>0.735</v>
      </c>
      <c r="AQ47" s="31" t="s">
        <v>229</v>
      </c>
      <c r="AR47" s="32"/>
      <c r="AS47" s="0" t="s">
        <v>29</v>
      </c>
      <c r="AT47" s="0" t="n">
        <f aca="false">7880/10^6</f>
        <v>0.00788</v>
      </c>
      <c r="AU47" s="31" t="s">
        <v>230</v>
      </c>
      <c r="AV47" s="32" t="n">
        <v>0.0078</v>
      </c>
    </row>
    <row r="48" customFormat="false" ht="16.5" hidden="false" customHeight="true" outlineLevel="0" collapsed="false">
      <c r="A48" s="58"/>
      <c r="B48" s="188" t="s">
        <v>152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58"/>
      <c r="Q48" s="58"/>
      <c r="R48" s="58"/>
      <c r="S48" s="58"/>
      <c r="T48" s="58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235" t="n">
        <v>1</v>
      </c>
      <c r="AM48" s="221" t="s">
        <v>231</v>
      </c>
      <c r="AN48" s="222" t="n">
        <v>0.37</v>
      </c>
      <c r="AO48" s="222" t="n">
        <v>0.754</v>
      </c>
      <c r="AP48" s="223" t="n">
        <v>0.435</v>
      </c>
      <c r="AQ48" s="31" t="s">
        <v>130</v>
      </c>
      <c r="AR48" s="32"/>
      <c r="AS48" s="0" t="s">
        <v>232</v>
      </c>
      <c r="AT48" s="0" t="n">
        <f aca="false">8080/10^6</f>
        <v>0.00808</v>
      </c>
      <c r="AU48" s="31" t="s">
        <v>233</v>
      </c>
      <c r="AV48" s="32" t="n">
        <v>0.0078</v>
      </c>
    </row>
    <row r="49" customFormat="false" ht="16.5" hidden="false" customHeight="true" outlineLevel="0" collapsed="false">
      <c r="A49" s="58"/>
      <c r="B49" s="236"/>
      <c r="C49" s="237"/>
      <c r="D49" s="237"/>
      <c r="E49" s="237"/>
      <c r="F49" s="237"/>
      <c r="G49" s="237"/>
      <c r="H49" s="238" t="s">
        <v>96</v>
      </c>
      <c r="I49" s="239" t="s">
        <v>84</v>
      </c>
      <c r="J49" s="240" t="s">
        <v>234</v>
      </c>
      <c r="K49" s="237"/>
      <c r="L49" s="237"/>
      <c r="M49" s="238" t="s">
        <v>96</v>
      </c>
      <c r="N49" s="239" t="s">
        <v>84</v>
      </c>
      <c r="O49" s="240" t="s">
        <v>234</v>
      </c>
      <c r="P49" s="58"/>
      <c r="Q49" s="58"/>
      <c r="R49" s="58"/>
      <c r="S49" s="58"/>
      <c r="T49" s="58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235" t="n">
        <v>1.2</v>
      </c>
      <c r="AM49" s="205" t="s">
        <v>235</v>
      </c>
      <c r="AN49" s="171" t="n">
        <v>1.63</v>
      </c>
      <c r="AO49" s="171" t="n">
        <v>1.24</v>
      </c>
      <c r="AP49" s="206" t="n">
        <v>1.24</v>
      </c>
      <c r="AQ49" s="241" t="s">
        <v>236</v>
      </c>
      <c r="AR49" s="32"/>
      <c r="AS49" s="0" t="s">
        <v>237</v>
      </c>
      <c r="AT49" s="0" t="n">
        <v>0.00889</v>
      </c>
      <c r="AU49" s="31" t="s">
        <v>30</v>
      </c>
      <c r="AV49" s="32" t="n">
        <v>0.00785</v>
      </c>
    </row>
    <row r="50" customFormat="false" ht="16.5" hidden="false" customHeight="true" outlineLevel="0" collapsed="false">
      <c r="A50" s="58"/>
      <c r="B50" s="242" t="s">
        <v>104</v>
      </c>
      <c r="C50" s="242"/>
      <c r="D50" s="243" t="str">
        <f aca="false">O22</f>
        <v>шпилька</v>
      </c>
      <c r="E50" s="243" t="str">
        <f aca="false">P22</f>
        <v>М33</v>
      </c>
      <c r="F50" s="243" t="str">
        <f aca="false">P20</f>
        <v>40Х</v>
      </c>
      <c r="G50" s="243" t="str">
        <f aca="false">P21</f>
        <v>Zn-Cr 9мкм</v>
      </c>
      <c r="H50" s="244" t="n">
        <f aca="false">Q22</f>
        <v>0</v>
      </c>
      <c r="I50" s="245" t="n">
        <v>10</v>
      </c>
      <c r="J50" s="246" t="n">
        <f aca="false">H50*I50</f>
        <v>0</v>
      </c>
      <c r="K50" s="247" t="s">
        <v>238</v>
      </c>
      <c r="L50" s="247"/>
      <c r="M50" s="248" t="n">
        <f aca="false">D38</f>
        <v>0</v>
      </c>
      <c r="N50" s="249" t="n">
        <v>0</v>
      </c>
      <c r="O50" s="250" t="n">
        <f aca="false">M50*N50</f>
        <v>0</v>
      </c>
      <c r="P50" s="58"/>
      <c r="Q50" s="58"/>
      <c r="R50" s="58"/>
      <c r="S50" s="58"/>
      <c r="T50" s="58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235" t="n">
        <v>1.5</v>
      </c>
      <c r="AM50" s="221" t="s">
        <v>239</v>
      </c>
      <c r="AN50" s="222" t="n">
        <v>1.01</v>
      </c>
      <c r="AO50" s="222" t="n">
        <v>1.24</v>
      </c>
      <c r="AP50" s="223" t="n">
        <v>0.75</v>
      </c>
      <c r="AQ50" s="31" t="s">
        <v>240</v>
      </c>
      <c r="AR50" s="32"/>
      <c r="AS50" s="0" t="s">
        <v>241</v>
      </c>
      <c r="AT50" s="0" t="n">
        <v>0.0045</v>
      </c>
      <c r="AU50" s="31" t="s">
        <v>242</v>
      </c>
      <c r="AV50" s="32" t="n">
        <v>0.0074</v>
      </c>
    </row>
    <row r="51" customFormat="false" ht="16.5" hidden="false" customHeight="true" outlineLevel="0" collapsed="false">
      <c r="A51" s="251"/>
      <c r="B51" s="242"/>
      <c r="C51" s="242"/>
      <c r="D51" s="252" t="str">
        <f aca="false">O23</f>
        <v>гайка</v>
      </c>
      <c r="E51" s="252" t="str">
        <f aca="false">P23</f>
        <v>М33</v>
      </c>
      <c r="F51" s="252" t="str">
        <f aca="false">P20</f>
        <v>40Х</v>
      </c>
      <c r="G51" s="252" t="str">
        <f aca="false">P21</f>
        <v>Zn-Cr 9мкм</v>
      </c>
      <c r="H51" s="253" t="n">
        <f aca="false">Q23</f>
        <v>0</v>
      </c>
      <c r="I51" s="254" t="n">
        <v>10</v>
      </c>
      <c r="J51" s="255" t="n">
        <f aca="false">H51*I51</f>
        <v>0</v>
      </c>
      <c r="K51" s="256" t="s">
        <v>243</v>
      </c>
      <c r="L51" s="256"/>
      <c r="M51" s="257" t="n">
        <v>5000</v>
      </c>
      <c r="N51" s="258" t="n">
        <v>1</v>
      </c>
      <c r="O51" s="259" t="n">
        <f aca="false">M51*N51</f>
        <v>5000</v>
      </c>
      <c r="P51" s="58"/>
      <c r="Q51" s="58"/>
      <c r="R51" s="58"/>
      <c r="S51" s="58"/>
      <c r="T51" s="58"/>
      <c r="U51" s="59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235" t="n">
        <v>2</v>
      </c>
      <c r="AM51" s="205" t="s">
        <v>244</v>
      </c>
      <c r="AN51" s="171" t="n">
        <v>2.43</v>
      </c>
      <c r="AO51" s="171" t="n">
        <v>1.514</v>
      </c>
      <c r="AP51" s="206" t="n">
        <v>1.514</v>
      </c>
      <c r="AQ51" s="31" t="s">
        <v>123</v>
      </c>
      <c r="AR51" s="32"/>
      <c r="AS51" s="0" t="s">
        <v>245</v>
      </c>
      <c r="AT51" s="0" t="n">
        <v>0.0074</v>
      </c>
      <c r="AU51" s="31" t="s">
        <v>245</v>
      </c>
      <c r="AV51" s="32" t="n">
        <v>0.0074</v>
      </c>
    </row>
    <row r="52" customFormat="false" ht="17.25" hidden="false" customHeight="true" outlineLevel="0" collapsed="false">
      <c r="A52" s="260"/>
      <c r="B52" s="242"/>
      <c r="C52" s="242"/>
      <c r="D52" s="261" t="str">
        <f aca="false">O24</f>
        <v>шайба</v>
      </c>
      <c r="E52" s="261" t="str">
        <f aca="false">P24</f>
        <v>М33</v>
      </c>
      <c r="F52" s="261" t="str">
        <f aca="false">P20</f>
        <v>40Х</v>
      </c>
      <c r="G52" s="261" t="str">
        <f aca="false">P21</f>
        <v>Zn-Cr 9мкм</v>
      </c>
      <c r="H52" s="262" t="n">
        <f aca="false">Q24</f>
        <v>0</v>
      </c>
      <c r="I52" s="254" t="n">
        <v>0</v>
      </c>
      <c r="J52" s="255" t="n">
        <f aca="false">H52*I52</f>
        <v>0</v>
      </c>
      <c r="K52" s="263" t="s">
        <v>246</v>
      </c>
      <c r="L52" s="263"/>
      <c r="M52" s="257" t="n">
        <v>7000</v>
      </c>
      <c r="N52" s="258" t="n">
        <v>1</v>
      </c>
      <c r="O52" s="259" t="n">
        <f aca="false">M52*N52</f>
        <v>7000</v>
      </c>
      <c r="P52" s="58"/>
      <c r="Q52" s="58"/>
      <c r="R52" s="58"/>
      <c r="S52" s="58"/>
      <c r="T52" s="58"/>
      <c r="U52" s="59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235" t="n">
        <v>3</v>
      </c>
      <c r="AM52" s="264" t="s">
        <v>247</v>
      </c>
      <c r="AN52" s="265" t="n">
        <v>1.53</v>
      </c>
      <c r="AO52" s="265" t="n">
        <v>1.514</v>
      </c>
      <c r="AP52" s="266" t="n">
        <v>0.94</v>
      </c>
      <c r="AQ52" s="31" t="s">
        <v>248</v>
      </c>
      <c r="AR52" s="32"/>
      <c r="AS52" s="0" t="s">
        <v>249</v>
      </c>
      <c r="AT52" s="0" t="n">
        <v>0.00786</v>
      </c>
      <c r="AU52" s="31" t="s">
        <v>29</v>
      </c>
      <c r="AV52" s="32" t="n">
        <v>0.00788</v>
      </c>
    </row>
    <row r="53" customFormat="false" ht="16.5" hidden="false" customHeight="true" outlineLevel="0" collapsed="false">
      <c r="A53" s="260"/>
      <c r="B53" s="267"/>
      <c r="C53" s="58"/>
      <c r="D53" s="58"/>
      <c r="E53" s="58"/>
      <c r="F53" s="58"/>
      <c r="G53" s="58"/>
      <c r="H53" s="58"/>
      <c r="I53" s="153" t="s">
        <v>72</v>
      </c>
      <c r="J53" s="154" t="n">
        <f aca="false">J50+J51+J52</f>
        <v>0</v>
      </c>
      <c r="K53" s="268"/>
      <c r="L53" s="269"/>
      <c r="M53" s="270"/>
      <c r="N53" s="153" t="s">
        <v>72</v>
      </c>
      <c r="O53" s="154" t="n">
        <f aca="false">O50+O51+O52</f>
        <v>12000</v>
      </c>
      <c r="P53" s="58"/>
      <c r="Q53" s="58"/>
      <c r="R53" s="58"/>
      <c r="S53" s="58"/>
      <c r="T53" s="58"/>
      <c r="U53" s="59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271" t="n">
        <v>5</v>
      </c>
      <c r="AQ53" s="31" t="s">
        <v>119</v>
      </c>
      <c r="AR53" s="32"/>
      <c r="AS53" s="0" t="s">
        <v>250</v>
      </c>
      <c r="AT53" s="0" t="n">
        <v>0.00806</v>
      </c>
      <c r="AU53" s="31" t="s">
        <v>251</v>
      </c>
      <c r="AV53" s="32" t="n">
        <v>0.0074</v>
      </c>
    </row>
    <row r="54" customFormat="false" ht="19.5" hidden="false" customHeight="true" outlineLevel="0" collapsed="false">
      <c r="A54" s="260"/>
      <c r="B54" s="272" t="s">
        <v>252</v>
      </c>
      <c r="C54" s="273" t="str">
        <f aca="false">P28</f>
        <v>Ду600</v>
      </c>
      <c r="D54" s="243" t="str">
        <f aca="false">O28</f>
        <v>Фланец №1</v>
      </c>
      <c r="E54" s="243" t="str">
        <f aca="false">P29</f>
        <v>М18</v>
      </c>
      <c r="F54" s="243" t="str">
        <f aca="false">Q29</f>
        <v>ст40Х</v>
      </c>
      <c r="G54" s="243" t="str">
        <f aca="false">R29</f>
        <v>Zn-Cr 9мкм</v>
      </c>
      <c r="H54" s="274" t="n">
        <v>100</v>
      </c>
      <c r="I54" s="275" t="n">
        <v>2</v>
      </c>
      <c r="J54" s="246" t="n">
        <f aca="false">H54*I54</f>
        <v>200</v>
      </c>
      <c r="K54" s="276" t="s">
        <v>253</v>
      </c>
      <c r="L54" s="276"/>
      <c r="M54" s="277" t="n">
        <f aca="false">T30</f>
        <v>0</v>
      </c>
      <c r="N54" s="245" t="n">
        <v>1</v>
      </c>
      <c r="O54" s="278" t="n">
        <f aca="false">M54*N54</f>
        <v>0</v>
      </c>
      <c r="P54" s="58"/>
      <c r="Q54" s="58"/>
      <c r="R54" s="58"/>
      <c r="S54" s="58"/>
      <c r="T54" s="58"/>
      <c r="U54" s="59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52"/>
      <c r="AQ54" s="31" t="s">
        <v>254</v>
      </c>
      <c r="AR54" s="32"/>
      <c r="AS54" s="54"/>
      <c r="AT54" s="55"/>
      <c r="AU54" s="53" t="s">
        <v>255</v>
      </c>
      <c r="AV54" s="55" t="n">
        <v>0.00786</v>
      </c>
    </row>
    <row r="55" customFormat="false" ht="18" hidden="false" customHeight="true" outlineLevel="0" collapsed="false">
      <c r="A55" s="260"/>
      <c r="B55" s="272"/>
      <c r="C55" s="279" t="str">
        <f aca="false">P32</f>
        <v>Ду600</v>
      </c>
      <c r="D55" s="252" t="str">
        <f aca="false">O32</f>
        <v>Фланец №2</v>
      </c>
      <c r="E55" s="252" t="str">
        <f aca="false">P33</f>
        <v>М18</v>
      </c>
      <c r="F55" s="252" t="str">
        <f aca="false">Q33</f>
        <v>ст40Х</v>
      </c>
      <c r="G55" s="252" t="str">
        <f aca="false">R33</f>
        <v>Zn-Cr 9мкм</v>
      </c>
      <c r="H55" s="280" t="n">
        <v>100</v>
      </c>
      <c r="I55" s="281" t="n">
        <v>2</v>
      </c>
      <c r="J55" s="255" t="n">
        <f aca="false">H55*I55</f>
        <v>200</v>
      </c>
      <c r="K55" s="276"/>
      <c r="L55" s="276"/>
      <c r="M55" s="282" t="n">
        <v>15000</v>
      </c>
      <c r="N55" s="254" t="n">
        <v>1</v>
      </c>
      <c r="O55" s="259" t="n">
        <f aca="false">M55*N55</f>
        <v>15000</v>
      </c>
      <c r="P55" s="58"/>
      <c r="Q55" s="58"/>
      <c r="R55" s="58"/>
      <c r="S55" s="58"/>
      <c r="T55" s="58"/>
      <c r="U55" s="59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Q55" s="283" t="s">
        <v>256</v>
      </c>
      <c r="AR55" s="55"/>
    </row>
    <row r="56" customFormat="false" ht="18" hidden="false" customHeight="true" outlineLevel="0" collapsed="false">
      <c r="A56" s="251"/>
      <c r="B56" s="272"/>
      <c r="C56" s="279" t="str">
        <f aca="false">P36</f>
        <v>Ду450</v>
      </c>
      <c r="D56" s="252" t="str">
        <f aca="false">O36</f>
        <v>Фланец №3</v>
      </c>
      <c r="E56" s="252" t="str">
        <f aca="false">P37</f>
        <v>М18</v>
      </c>
      <c r="F56" s="252" t="str">
        <f aca="false">Q37</f>
        <v>ст40Х</v>
      </c>
      <c r="G56" s="252" t="str">
        <f aca="false">R37</f>
        <v>Zn-Cr 9мкм</v>
      </c>
      <c r="H56" s="280" t="n">
        <v>200</v>
      </c>
      <c r="I56" s="281" t="n">
        <v>2</v>
      </c>
      <c r="J56" s="255" t="n">
        <f aca="false">H56*I56</f>
        <v>400</v>
      </c>
      <c r="K56" s="276"/>
      <c r="L56" s="276"/>
      <c r="M56" s="282" t="n">
        <f aca="false">T38</f>
        <v>0</v>
      </c>
      <c r="N56" s="254" t="n">
        <v>1</v>
      </c>
      <c r="O56" s="259" t="n">
        <f aca="false">M56*N56</f>
        <v>0</v>
      </c>
      <c r="P56" s="58"/>
      <c r="Q56" s="58"/>
      <c r="R56" s="58"/>
      <c r="S56" s="58"/>
      <c r="T56" s="58"/>
      <c r="U56" s="284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 s="40" customFormat="true" ht="27" hidden="false" customHeight="true" outlineLevel="0" collapsed="false">
      <c r="A57" s="285"/>
      <c r="B57" s="272"/>
      <c r="C57" s="286" t="str">
        <f aca="false">P40</f>
        <v>Ду300</v>
      </c>
      <c r="D57" s="261" t="str">
        <f aca="false">O40</f>
        <v>Фланец №4</v>
      </c>
      <c r="E57" s="261" t="str">
        <f aca="false">P41</f>
        <v>М18</v>
      </c>
      <c r="F57" s="261" t="str">
        <f aca="false">Q41</f>
        <v>ст40Х</v>
      </c>
      <c r="G57" s="261" t="str">
        <f aca="false">R41</f>
        <v>Zn-Cr 9мкм</v>
      </c>
      <c r="H57" s="287" t="n">
        <v>150</v>
      </c>
      <c r="I57" s="281" t="n">
        <v>2</v>
      </c>
      <c r="J57" s="255" t="n">
        <f aca="false">H57*I57</f>
        <v>300</v>
      </c>
      <c r="K57" s="276"/>
      <c r="L57" s="276"/>
      <c r="M57" s="288" t="n">
        <v>30000</v>
      </c>
      <c r="N57" s="254" t="n">
        <v>1</v>
      </c>
      <c r="O57" s="259" t="n">
        <f aca="false">M57*N57</f>
        <v>30000</v>
      </c>
      <c r="P57" s="63"/>
      <c r="Q57" s="63"/>
      <c r="R57" s="109"/>
      <c r="S57" s="109"/>
      <c r="T57" s="109"/>
      <c r="U57" s="59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289"/>
      <c r="AM57" s="290"/>
    </row>
    <row r="58" customFormat="false" ht="16.5" hidden="false" customHeight="true" outlineLevel="0" collapsed="false">
      <c r="A58" s="58"/>
      <c r="B58" s="58"/>
      <c r="C58" s="58"/>
      <c r="D58" s="58"/>
      <c r="E58" s="58"/>
      <c r="F58" s="58"/>
      <c r="G58" s="58"/>
      <c r="H58" s="58"/>
      <c r="I58" s="153" t="s">
        <v>72</v>
      </c>
      <c r="J58" s="154" t="n">
        <f aca="false">J54+J55+J56+J57</f>
        <v>1100</v>
      </c>
      <c r="K58" s="291"/>
      <c r="L58" s="291"/>
      <c r="M58" s="291"/>
      <c r="N58" s="153" t="s">
        <v>72</v>
      </c>
      <c r="O58" s="154" t="n">
        <f aca="false">O54+O55+O56+O57</f>
        <v>45000</v>
      </c>
      <c r="P58" s="58"/>
      <c r="Q58" s="58"/>
      <c r="R58" s="58"/>
      <c r="S58" s="58"/>
      <c r="T58" s="58"/>
      <c r="U58" s="59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</row>
    <row r="59" customFormat="false" ht="15.75" hidden="false" customHeight="true" outlineLevel="0" collapsed="false">
      <c r="A59" s="143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9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5.75" hidden="false" customHeight="true" outlineLevel="0" collapsed="false"/>
    <row r="63" customFormat="false" ht="13.8" hidden="false" customHeight="false" outlineLevel="0" collapsed="false">
      <c r="BE63" s="184" t="s">
        <v>257</v>
      </c>
      <c r="BF63" s="29"/>
      <c r="BG63" s="30"/>
    </row>
    <row r="64" customFormat="false" ht="13.8" hidden="false" customHeight="false" outlineLevel="0" collapsed="false">
      <c r="BE64" s="31" t="s">
        <v>245</v>
      </c>
      <c r="BF64" s="0" t="n">
        <v>0.0074</v>
      </c>
      <c r="BG64" s="32" t="s">
        <v>258</v>
      </c>
    </row>
    <row r="65" customFormat="false" ht="13.8" hidden="false" customHeight="false" outlineLevel="0" collapsed="false">
      <c r="BE65" s="31" t="s">
        <v>29</v>
      </c>
      <c r="BF65" s="0" t="n">
        <f aca="false">7880/10^6</f>
        <v>0.00788</v>
      </c>
      <c r="BG65" s="32" t="s">
        <v>258</v>
      </c>
    </row>
    <row r="66" customFormat="false" ht="13.8" hidden="false" customHeight="false" outlineLevel="0" collapsed="false">
      <c r="BE66" s="31" t="s">
        <v>255</v>
      </c>
      <c r="BF66" s="0" t="n">
        <v>0.00786</v>
      </c>
      <c r="BG66" s="32" t="s">
        <v>258</v>
      </c>
    </row>
    <row r="67" customFormat="false" ht="13.8" hidden="false" customHeight="false" outlineLevel="0" collapsed="false">
      <c r="BE67" s="31" t="s">
        <v>242</v>
      </c>
      <c r="BF67" s="0" t="n">
        <v>0.0079</v>
      </c>
      <c r="BG67" s="32" t="s">
        <v>258</v>
      </c>
    </row>
    <row r="68" customFormat="false" ht="13.8" hidden="false" customHeight="false" outlineLevel="0" collapsed="false">
      <c r="BE68" s="31" t="s">
        <v>250</v>
      </c>
      <c r="BF68" s="0" t="n">
        <v>0.00806</v>
      </c>
      <c r="BG68" s="32" t="s">
        <v>258</v>
      </c>
    </row>
    <row r="69" customFormat="false" ht="13.8" hidden="false" customHeight="false" outlineLevel="0" collapsed="false">
      <c r="BE69" s="31" t="s">
        <v>232</v>
      </c>
      <c r="BF69" s="0" t="n">
        <f aca="false">8080/10^6</f>
        <v>0.00808</v>
      </c>
      <c r="BG69" s="32" t="s">
        <v>258</v>
      </c>
    </row>
    <row r="70" customFormat="false" ht="13.8" hidden="false" customHeight="false" outlineLevel="0" collapsed="false">
      <c r="BE70" s="31" t="s">
        <v>259</v>
      </c>
      <c r="BF70" s="0" t="n">
        <v>0.00796</v>
      </c>
      <c r="BG70" s="32" t="s">
        <v>258</v>
      </c>
    </row>
    <row r="71" customFormat="false" ht="13.8" hidden="false" customHeight="false" outlineLevel="0" collapsed="false">
      <c r="BE71" s="31" t="s">
        <v>260</v>
      </c>
      <c r="BF71" s="0" t="n">
        <v>0.0045</v>
      </c>
      <c r="BG71" s="32" t="s">
        <v>258</v>
      </c>
    </row>
    <row r="72" customFormat="false" ht="13.8" hidden="false" customHeight="false" outlineLevel="0" collapsed="false">
      <c r="BE72" s="31" t="s">
        <v>237</v>
      </c>
      <c r="BF72" s="0" t="n">
        <v>0.00889</v>
      </c>
      <c r="BG72" s="32" t="s">
        <v>258</v>
      </c>
    </row>
    <row r="73" customFormat="false" ht="15.75" hidden="false" customHeight="true" outlineLevel="0" collapsed="false">
      <c r="BE73" s="53" t="s">
        <v>261</v>
      </c>
      <c r="BF73" s="54" t="n">
        <v>0.0083</v>
      </c>
      <c r="BG73" s="55" t="s">
        <v>258</v>
      </c>
    </row>
    <row r="74" customFormat="false" ht="15.75" hidden="false" customHeight="true" outlineLevel="0" collapsed="false"/>
    <row r="75" customFormat="false" ht="15" hidden="false" customHeight="true" outlineLevel="0" collapsed="false">
      <c r="C75" s="292" t="s">
        <v>262</v>
      </c>
      <c r="D75" s="292"/>
      <c r="E75" s="292"/>
      <c r="F75" s="292"/>
      <c r="G75" s="292"/>
      <c r="H75" s="293" t="s">
        <v>49</v>
      </c>
      <c r="I75" s="293"/>
      <c r="J75" s="293"/>
      <c r="K75" s="294" t="s">
        <v>263</v>
      </c>
      <c r="L75" s="294"/>
      <c r="M75" s="295" t="s">
        <v>264</v>
      </c>
      <c r="N75" s="295"/>
      <c r="O75" s="296" t="s">
        <v>265</v>
      </c>
      <c r="P75" s="296"/>
    </row>
    <row r="76" customFormat="false" ht="15.75" hidden="false" customHeight="true" outlineLevel="0" collapsed="false">
      <c r="C76" s="292"/>
      <c r="D76" s="292"/>
      <c r="E76" s="292"/>
      <c r="F76" s="292"/>
      <c r="G76" s="292"/>
      <c r="H76" s="293"/>
      <c r="I76" s="293"/>
      <c r="J76" s="293"/>
      <c r="K76" s="294"/>
      <c r="L76" s="294"/>
      <c r="M76" s="295"/>
      <c r="N76" s="295"/>
      <c r="O76" s="296"/>
      <c r="P76" s="296"/>
    </row>
    <row r="77" customFormat="false" ht="90.75" hidden="false" customHeight="true" outlineLevel="0" collapsed="false">
      <c r="C77" s="297" t="s">
        <v>266</v>
      </c>
      <c r="D77" s="298" t="s">
        <v>267</v>
      </c>
      <c r="E77" s="299" t="s">
        <v>268</v>
      </c>
      <c r="F77" s="300" t="s">
        <v>269</v>
      </c>
      <c r="G77" s="300" t="s">
        <v>270</v>
      </c>
      <c r="H77" s="297" t="s">
        <v>271</v>
      </c>
      <c r="I77" s="301" t="s">
        <v>272</v>
      </c>
      <c r="J77" s="302" t="s">
        <v>273</v>
      </c>
      <c r="K77" s="106" t="s">
        <v>274</v>
      </c>
      <c r="L77" s="303" t="s">
        <v>273</v>
      </c>
      <c r="M77" s="304" t="s">
        <v>275</v>
      </c>
      <c r="N77" s="305" t="s">
        <v>276</v>
      </c>
      <c r="O77" s="106" t="s">
        <v>277</v>
      </c>
      <c r="P77" s="306" t="s">
        <v>278</v>
      </c>
      <c r="Q77" s="0" t="s">
        <v>279</v>
      </c>
      <c r="R77" s="0" t="s">
        <v>280</v>
      </c>
    </row>
    <row r="78" customFormat="false" ht="15.75" hidden="false" customHeight="true" outlineLevel="0" collapsed="false">
      <c r="C78" s="307" t="n">
        <f aca="false">технолог!V27</f>
        <v>3</v>
      </c>
      <c r="D78" s="308" t="n">
        <v>3</v>
      </c>
      <c r="E78" s="309" t="n">
        <f aca="false">E101</f>
        <v>118.6841472</v>
      </c>
      <c r="F78" s="310" t="n">
        <f aca="false">E105</f>
        <v>1820.5952</v>
      </c>
      <c r="G78" s="310" t="n">
        <f aca="false">E99+E100</f>
        <v>184.22491248</v>
      </c>
      <c r="H78" s="311" t="n">
        <f aca="false">VLOOKUP(технолог!G27,B110:BB122,53,0)</f>
        <v>31.2384</v>
      </c>
      <c r="I78" s="312" t="n">
        <f aca="false">VLOOKUP(технолог!G27,B110:BA122,52,0)</f>
        <v>171.95</v>
      </c>
      <c r="J78" s="311" t="n">
        <f aca="false">VLOOKUP(технолог!G27,B110:BD122,55,0)</f>
        <v>1165.15</v>
      </c>
      <c r="K78" s="309" t="n">
        <f aca="false">VLOOKUP(технолог!G27,B110:BC122,54,0)</f>
        <v>171.95</v>
      </c>
      <c r="L78" s="311" t="n">
        <f aca="false">VLOOKUP(технолог!G27,B110:BD122,55,0)</f>
        <v>1165.15</v>
      </c>
      <c r="M78" s="309" t="n">
        <f aca="false">AX151</f>
        <v>26</v>
      </c>
      <c r="N78" s="311" t="n">
        <f aca="false">AX150+AX152+AY152+AX153</f>
        <v>8</v>
      </c>
      <c r="O78" s="309" t="n">
        <f aca="false">IF(VLOOKUP(D104,B110:BI122,60,0)&lt;0,0,VLOOKUP(D104,B110:BI122,60,0))+BG147*2</f>
        <v>60</v>
      </c>
      <c r="P78" s="313" t="n">
        <f aca="false">IF(BH147&gt;2000,8,0)</f>
        <v>8</v>
      </c>
      <c r="Q78" s="0" t="n">
        <f aca="false">M78*D44+N78*D43+O78*G44+P78*G43</f>
        <v>81920</v>
      </c>
      <c r="R78" s="0" t="n">
        <f aca="false">M78*D46+N78*D45+O78*G45</f>
        <v>56600</v>
      </c>
    </row>
    <row r="79" customFormat="false" ht="13.8" hidden="false" customHeight="false" outlineLevel="0" collapsed="false">
      <c r="D79" s="40"/>
      <c r="E79" s="40"/>
      <c r="F79" s="40"/>
      <c r="G79" s="40"/>
    </row>
    <row r="80" customFormat="false" ht="13.8" hidden="false" customHeight="false" outlineLevel="0" collapsed="false">
      <c r="D80" s="40"/>
      <c r="E80" s="40"/>
      <c r="F80" s="40"/>
      <c r="G80" s="40"/>
    </row>
    <row r="81" customFormat="false" ht="13.8" hidden="false" customHeight="false" outlineLevel="0" collapsed="false">
      <c r="D81" s="40"/>
      <c r="E81" s="40"/>
      <c r="F81" s="40"/>
      <c r="G81" s="40"/>
    </row>
    <row r="82" customFormat="false" ht="13.8" hidden="false" customHeight="false" outlineLevel="0" collapsed="false">
      <c r="D82" s="40"/>
      <c r="E82" s="40"/>
      <c r="F82" s="40"/>
      <c r="G82" s="40"/>
    </row>
    <row r="83" customFormat="false" ht="13.8" hidden="false" customHeight="false" outlineLevel="0" collapsed="false">
      <c r="D83" s="40"/>
      <c r="E83" s="40"/>
      <c r="F83" s="40"/>
      <c r="G83" s="40"/>
    </row>
    <row r="84" customFormat="false" ht="13.8" hidden="false" customHeight="false" outlineLevel="0" collapsed="false">
      <c r="D84" s="40"/>
      <c r="E84" s="40"/>
      <c r="F84" s="40"/>
      <c r="G84" s="40"/>
    </row>
    <row r="85" customFormat="false" ht="13.8" hidden="false" customHeight="false" outlineLevel="0" collapsed="false">
      <c r="D85" s="40"/>
      <c r="E85" s="40"/>
      <c r="F85" s="40"/>
      <c r="G85" s="40"/>
    </row>
    <row r="86" customFormat="false" ht="13.8" hidden="false" customHeight="false" outlineLevel="0" collapsed="false">
      <c r="D86" s="40"/>
      <c r="E86" s="40"/>
      <c r="F86" s="40"/>
      <c r="G86" s="40"/>
    </row>
    <row r="87" customFormat="false" ht="13.8" hidden="false" customHeight="false" outlineLevel="0" collapsed="false">
      <c r="D87" s="40"/>
      <c r="E87" s="40"/>
      <c r="F87" s="40"/>
      <c r="G87" s="40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5.75" hidden="false" customHeight="true" outlineLevel="0" collapsed="false"/>
    <row r="92" customFormat="false" ht="15.75" hidden="false" customHeight="true" outlineLevel="0" collapsed="false">
      <c r="D92" s="314" t="s">
        <v>281</v>
      </c>
      <c r="E92" s="315" t="s">
        <v>282</v>
      </c>
      <c r="G92" s="0" t="s">
        <v>283</v>
      </c>
    </row>
    <row r="93" customFormat="false" ht="15.75" hidden="false" customHeight="true" outlineLevel="0" collapsed="false">
      <c r="D93" s="314" t="s">
        <v>284</v>
      </c>
      <c r="E93" s="316" t="n">
        <f aca="false">VLOOKUP(D104,B110:L122,11,0)</f>
        <v>29.625648</v>
      </c>
      <c r="G93" s="317" t="n">
        <f aca="false">VLOOKUP(технолог!P27,AS47:AT53,2,)</f>
        <v>0.00788</v>
      </c>
    </row>
    <row r="94" customFormat="false" ht="15.75" hidden="false" customHeight="true" outlineLevel="0" collapsed="false">
      <c r="D94" s="314" t="s">
        <v>285</v>
      </c>
      <c r="E94" s="316" t="n">
        <f aca="false">VLOOKUP(D104,B110:O122,14,0)</f>
        <v>27.346752</v>
      </c>
    </row>
    <row r="95" customFormat="false" ht="15.75" hidden="false" customHeight="true" outlineLevel="0" collapsed="false">
      <c r="D95" s="314" t="s">
        <v>286</v>
      </c>
      <c r="E95" s="316" t="n">
        <f aca="false">VLOOKUP(D104,B110:R122,17,0)</f>
        <v>43.6640256</v>
      </c>
      <c r="G95" s="0" t="s">
        <v>287</v>
      </c>
    </row>
    <row r="96" customFormat="false" ht="15.75" hidden="false" customHeight="true" outlineLevel="0" collapsed="false">
      <c r="D96" s="314" t="s">
        <v>288</v>
      </c>
      <c r="E96" s="316"/>
      <c r="G96" s="317" t="n">
        <f aca="false">VLOOKUP(технолог!Q27,AS47:AT53,2,)</f>
        <v>0.00788</v>
      </c>
    </row>
    <row r="97" customFormat="false" ht="15.75" hidden="false" customHeight="true" outlineLevel="0" collapsed="false">
      <c r="D97" s="314" t="s">
        <v>289</v>
      </c>
      <c r="E97" s="316" t="n">
        <f aca="false">VLOOKUP(D104,B110:AB122,27,0)</f>
        <v>9.0266976</v>
      </c>
    </row>
    <row r="98" customFormat="false" ht="15.75" hidden="false" customHeight="true" outlineLevel="0" collapsed="false">
      <c r="D98" s="314" t="s">
        <v>290</v>
      </c>
      <c r="E98" s="316" t="n">
        <f aca="false">VLOOKUP(D104,B110:AE122,30,0)</f>
        <v>9.021024</v>
      </c>
      <c r="G98" s="314" t="s">
        <v>291</v>
      </c>
      <c r="H98" s="314" t="s">
        <v>292</v>
      </c>
      <c r="I98" s="314"/>
    </row>
    <row r="99" customFormat="false" ht="15.75" hidden="false" customHeight="true" outlineLevel="0" collapsed="false">
      <c r="D99" s="314" t="s">
        <v>293</v>
      </c>
      <c r="E99" s="316" t="n">
        <f aca="false">VLOOKUP(D104,B110:AH122,33,0)</f>
        <v>92.22890688</v>
      </c>
      <c r="G99" s="318" t="n">
        <f aca="false">технолог!T27+технолог!U27</f>
        <v>6</v>
      </c>
      <c r="H99" s="319" t="n">
        <f aca="false">G99*технолог!I27</f>
        <v>2400</v>
      </c>
      <c r="I99" s="319"/>
    </row>
    <row r="100" customFormat="false" ht="15.75" hidden="false" customHeight="true" outlineLevel="0" collapsed="false">
      <c r="D100" s="314" t="s">
        <v>294</v>
      </c>
      <c r="E100" s="316" t="n">
        <f aca="false">VLOOKUP(D104,B110:AK122,36,0)</f>
        <v>91.9960056</v>
      </c>
    </row>
    <row r="101" customFormat="false" ht="15.75" hidden="false" customHeight="true" outlineLevel="0" collapsed="false">
      <c r="D101" s="314" t="s">
        <v>72</v>
      </c>
      <c r="E101" s="320" t="n">
        <f aca="false">SUM(E93:E98)</f>
        <v>118.6841472</v>
      </c>
    </row>
    <row r="102" customFormat="false" ht="15.75" hidden="false" customHeight="true" outlineLevel="0" collapsed="false"/>
    <row r="103" customFormat="false" ht="15.75" hidden="false" customHeight="true" outlineLevel="0" collapsed="false">
      <c r="D103" s="314" t="s">
        <v>295</v>
      </c>
      <c r="E103" s="314"/>
      <c r="AM103" s="0" t="s">
        <v>296</v>
      </c>
      <c r="AQ103" s="0" t="s">
        <v>297</v>
      </c>
    </row>
    <row r="104" customFormat="false" ht="15.75" hidden="false" customHeight="true" outlineLevel="0" collapsed="false">
      <c r="D104" s="314" t="str">
        <f aca="false">технолог!G27</f>
        <v>К4-750</v>
      </c>
      <c r="E104" s="316" t="n">
        <f aca="false">VLOOKUP(D104,B110:H122,7,0)</f>
        <v>1820.5952</v>
      </c>
      <c r="AL104" s="28" t="s">
        <v>298</v>
      </c>
      <c r="AM104" s="29"/>
      <c r="AN104" s="30"/>
      <c r="AO104" s="321" t="s">
        <v>299</v>
      </c>
      <c r="AP104" s="28" t="s">
        <v>298</v>
      </c>
      <c r="AQ104" s="29"/>
      <c r="AR104" s="30"/>
      <c r="AS104" s="321" t="s">
        <v>299</v>
      </c>
    </row>
    <row r="105" customFormat="false" ht="15.75" hidden="false" customHeight="true" outlineLevel="0" collapsed="false">
      <c r="D105" s="314" t="s">
        <v>72</v>
      </c>
      <c r="E105" s="320" t="n">
        <f aca="false">E104</f>
        <v>1820.5952</v>
      </c>
      <c r="AL105" s="53" t="str">
        <f aca="false">LEFT(технолог!H27)</f>
        <v>1</v>
      </c>
      <c r="AM105" s="54" t="str">
        <f aca="false">MID(технолог!H27,2,1)</f>
        <v>/</v>
      </c>
      <c r="AN105" s="55" t="str">
        <f aca="false">IF(AM105="/","",AM105)</f>
        <v/>
      </c>
      <c r="AO105" s="226" t="n">
        <f aca="false">VALUE(CONCATENATE(AL105,AN105))</f>
        <v>1</v>
      </c>
      <c r="AP105" s="53" t="str">
        <f aca="false">RIGHT(технолог!H27,2)</f>
        <v>/6</v>
      </c>
      <c r="AQ105" s="54" t="str">
        <f aca="false">LEFT(AP105)</f>
        <v>/</v>
      </c>
      <c r="AR105" s="55" t="str">
        <f aca="false">RIGHT(AP105)</f>
        <v>6</v>
      </c>
      <c r="AS105" s="226" t="n">
        <f aca="false">VALUE(IF(LEFT(AP105)="/",AR105,AP105))</f>
        <v>6</v>
      </c>
    </row>
    <row r="106" customFormat="false" ht="13.8" hidden="false" customHeight="false" outlineLevel="0" collapsed="false">
      <c r="AO106" s="322" t="b">
        <f aca="false">ISEVEN(AO105)</f>
        <v>0</v>
      </c>
      <c r="AS106" s="322" t="b">
        <f aca="false">ISEVEN(AS105)</f>
        <v>1</v>
      </c>
    </row>
    <row r="107" customFormat="false" ht="15.75" hidden="false" customHeight="true" outlineLevel="0" collapsed="false">
      <c r="T107" s="323"/>
      <c r="U107" s="323"/>
      <c r="V107" s="323" t="s">
        <v>300</v>
      </c>
      <c r="W107" s="323"/>
      <c r="X107" s="323"/>
      <c r="Y107" s="323"/>
    </row>
    <row r="108" customFormat="false" ht="15.75" hidden="false" customHeight="true" outlineLevel="0" collapsed="false">
      <c r="B108" s="324" t="s">
        <v>301</v>
      </c>
      <c r="C108" s="325"/>
      <c r="D108" s="325"/>
      <c r="E108" s="325"/>
      <c r="F108" s="325"/>
      <c r="G108" s="325"/>
      <c r="H108" s="315"/>
      <c r="I108" s="314"/>
      <c r="J108" s="314" t="s">
        <v>302</v>
      </c>
      <c r="K108" s="314" t="s">
        <v>303</v>
      </c>
      <c r="L108" s="314" t="s">
        <v>304</v>
      </c>
      <c r="M108" s="314" t="s">
        <v>302</v>
      </c>
      <c r="N108" s="314" t="s">
        <v>303</v>
      </c>
      <c r="O108" s="314" t="s">
        <v>304</v>
      </c>
      <c r="P108" s="314" t="s">
        <v>303</v>
      </c>
      <c r="Q108" s="314" t="s">
        <v>302</v>
      </c>
      <c r="R108" s="314" t="s">
        <v>305</v>
      </c>
      <c r="S108" s="314" t="s">
        <v>302</v>
      </c>
      <c r="T108" s="326" t="s">
        <v>302</v>
      </c>
      <c r="U108" s="326" t="s">
        <v>303</v>
      </c>
      <c r="V108" s="326" t="s">
        <v>306</v>
      </c>
      <c r="W108" s="326" t="s">
        <v>302</v>
      </c>
      <c r="X108" s="326" t="s">
        <v>307</v>
      </c>
      <c r="Y108" s="326" t="s">
        <v>308</v>
      </c>
      <c r="Z108" s="314" t="s">
        <v>302</v>
      </c>
      <c r="AA108" s="314" t="s">
        <v>309</v>
      </c>
      <c r="AB108" s="314" t="s">
        <v>306</v>
      </c>
      <c r="AC108" s="314" t="s">
        <v>302</v>
      </c>
      <c r="AD108" s="314" t="s">
        <v>309</v>
      </c>
      <c r="AE108" s="314" t="s">
        <v>306</v>
      </c>
      <c r="AF108" s="324" t="s">
        <v>303</v>
      </c>
      <c r="AG108" s="325" t="s">
        <v>302</v>
      </c>
      <c r="AH108" s="325" t="s">
        <v>306</v>
      </c>
      <c r="AI108" s="325" t="s">
        <v>303</v>
      </c>
      <c r="AJ108" s="325" t="s">
        <v>302</v>
      </c>
      <c r="AK108" s="315" t="s">
        <v>306</v>
      </c>
      <c r="AO108" s="323" t="s">
        <v>310</v>
      </c>
    </row>
    <row r="109" customFormat="false" ht="75.75" hidden="false" customHeight="true" outlineLevel="0" collapsed="false">
      <c r="B109" s="28" t="s">
        <v>311</v>
      </c>
      <c r="C109" s="29" t="s">
        <v>303</v>
      </c>
      <c r="D109" s="29" t="s">
        <v>302</v>
      </c>
      <c r="E109" s="327" t="s">
        <v>312</v>
      </c>
      <c r="F109" s="327" t="s">
        <v>313</v>
      </c>
      <c r="G109" s="30" t="s">
        <v>314</v>
      </c>
      <c r="H109" s="314" t="s">
        <v>315</v>
      </c>
      <c r="I109" s="314" t="s">
        <v>316</v>
      </c>
      <c r="J109" s="328" t="s">
        <v>317</v>
      </c>
      <c r="K109" s="328"/>
      <c r="L109" s="328"/>
      <c r="M109" s="328" t="s">
        <v>318</v>
      </c>
      <c r="N109" s="328"/>
      <c r="O109" s="328"/>
      <c r="P109" s="329" t="s">
        <v>319</v>
      </c>
      <c r="Q109" s="329"/>
      <c r="R109" s="329"/>
      <c r="S109" s="330" t="s">
        <v>320</v>
      </c>
      <c r="T109" s="331" t="s">
        <v>321</v>
      </c>
      <c r="U109" s="331"/>
      <c r="V109" s="331"/>
      <c r="W109" s="331" t="s">
        <v>322</v>
      </c>
      <c r="X109" s="331"/>
      <c r="Y109" s="331"/>
      <c r="Z109" s="328" t="s">
        <v>323</v>
      </c>
      <c r="AA109" s="328"/>
      <c r="AB109" s="328"/>
      <c r="AC109" s="328" t="s">
        <v>324</v>
      </c>
      <c r="AD109" s="328"/>
      <c r="AE109" s="328"/>
      <c r="AF109" s="328" t="s">
        <v>325</v>
      </c>
      <c r="AG109" s="328"/>
      <c r="AH109" s="328"/>
      <c r="AI109" s="328" t="s">
        <v>326</v>
      </c>
      <c r="AJ109" s="328"/>
      <c r="AK109" s="328"/>
      <c r="AL109" s="28" t="s">
        <v>327</v>
      </c>
      <c r="AM109" s="29" t="s">
        <v>328</v>
      </c>
      <c r="AN109" s="29" t="s">
        <v>329</v>
      </c>
      <c r="AO109" s="332" t="s">
        <v>321</v>
      </c>
      <c r="AP109" s="29" t="s">
        <v>330</v>
      </c>
      <c r="AQ109" s="29" t="s">
        <v>331</v>
      </c>
      <c r="AR109" s="29" t="s">
        <v>332</v>
      </c>
      <c r="AS109" s="30" t="s">
        <v>333</v>
      </c>
      <c r="AT109" s="333" t="s">
        <v>334</v>
      </c>
      <c r="AU109" s="334" t="s">
        <v>335</v>
      </c>
      <c r="AV109" s="335" t="s">
        <v>336</v>
      </c>
      <c r="AW109" s="333" t="s">
        <v>325</v>
      </c>
      <c r="AX109" s="335" t="s">
        <v>337</v>
      </c>
      <c r="AY109" s="333" t="s">
        <v>338</v>
      </c>
      <c r="AZ109" s="335" t="s">
        <v>339</v>
      </c>
      <c r="BA109" s="336" t="s">
        <v>340</v>
      </c>
      <c r="BB109" s="327" t="s">
        <v>341</v>
      </c>
      <c r="BC109" s="337" t="s">
        <v>342</v>
      </c>
      <c r="BD109" s="338" t="s">
        <v>343</v>
      </c>
      <c r="BE109" s="336" t="s">
        <v>344</v>
      </c>
      <c r="BF109" s="337" t="s">
        <v>345</v>
      </c>
      <c r="BG109" s="324" t="s">
        <v>346</v>
      </c>
      <c r="BH109" s="315" t="s">
        <v>347</v>
      </c>
      <c r="BI109" s="321" t="s">
        <v>348</v>
      </c>
    </row>
    <row r="110" customFormat="false" ht="15.75" hidden="false" customHeight="true" outlineLevel="0" collapsed="false">
      <c r="B110" s="31" t="s">
        <v>191</v>
      </c>
      <c r="C110" s="339" t="n">
        <v>143</v>
      </c>
      <c r="D110" s="339" t="n">
        <v>128</v>
      </c>
      <c r="E110" s="339" t="n">
        <v>162</v>
      </c>
      <c r="F110" s="339" t="n">
        <v>147</v>
      </c>
      <c r="G110" s="340" t="n">
        <f aca="false">технолог!U27</f>
        <v>1</v>
      </c>
      <c r="H110" s="341" t="n">
        <f aca="false">(E110+15)*(F110+15)*G110*$G$93/1000*(технолог!$I$27)</f>
        <v>90.380448</v>
      </c>
      <c r="I110" s="324" t="n">
        <v>40</v>
      </c>
      <c r="J110" s="342" t="n">
        <f aca="false">I110+20</f>
        <v>60</v>
      </c>
      <c r="K110" s="343" t="n">
        <f aca="false">$H$99+10</f>
        <v>2410</v>
      </c>
      <c r="L110" s="343" t="n">
        <f aca="false">J110*K110*$D$78*$G$93/1000*4</f>
        <v>13.673376</v>
      </c>
      <c r="M110" s="342" t="n">
        <f aca="false">I110+10</f>
        <v>50</v>
      </c>
      <c r="N110" s="343" t="n">
        <f aca="false">$H$99+10</f>
        <v>2410</v>
      </c>
      <c r="O110" s="30" t="n">
        <f aca="false">M110*N110*$D$78*$G$93/1000*4</f>
        <v>11.39448</v>
      </c>
      <c r="P110" s="342" t="n">
        <f aca="false">C110+2*I110+10</f>
        <v>233</v>
      </c>
      <c r="Q110" s="343" t="n">
        <f aca="false">D110+15+2*I110+10</f>
        <v>233</v>
      </c>
      <c r="R110" s="343" t="n">
        <f aca="false">P110*Q110*$D$78*$G$93/1000*2</f>
        <v>2.56678392</v>
      </c>
      <c r="S110" s="330" t="n">
        <v>11</v>
      </c>
      <c r="T110" s="344" t="n">
        <f aca="false">S110+5</f>
        <v>16</v>
      </c>
      <c r="U110" s="332" t="n">
        <f aca="false">E125-49-49+6</f>
        <v>-92</v>
      </c>
      <c r="V110" s="345" t="e">
        <f aca="false">T110*U110*#REF!*D141/1000*8</f>
        <v>#REF!</v>
      </c>
      <c r="W110" s="332" t="n">
        <f aca="false">49+S110</f>
        <v>60</v>
      </c>
      <c r="X110" s="332" t="n">
        <f aca="false">C110+S110*2</f>
        <v>165</v>
      </c>
      <c r="Y110" s="345" t="n">
        <f aca="false">D110+S110*2</f>
        <v>150</v>
      </c>
      <c r="Z110" s="28" t="n">
        <f aca="false">S110+5</f>
        <v>16</v>
      </c>
      <c r="AA110" s="29" t="n">
        <f aca="false">($H$99+S110)*2+(C110+S110)*2</f>
        <v>5130</v>
      </c>
      <c r="AB110" s="30" t="n">
        <f aca="false">Z110*AA110*$D$78*$G$93/1000*2</f>
        <v>3.8807424</v>
      </c>
      <c r="AC110" s="28" t="n">
        <f aca="false">S110+5</f>
        <v>16</v>
      </c>
      <c r="AD110" s="29" t="n">
        <f aca="false">($H$99+S110)*2+(D110+15+S110)*2</f>
        <v>5130</v>
      </c>
      <c r="AE110" s="30" t="n">
        <f aca="false">AC110*AD110*$D$78*$G$93/1000*2</f>
        <v>3.8807424</v>
      </c>
      <c r="AF110" s="28" t="n">
        <f aca="false">$H$99+S110+S110+3+10</f>
        <v>2435</v>
      </c>
      <c r="AG110" s="29" t="n">
        <f aca="false">C110+2*S110+10</f>
        <v>175</v>
      </c>
      <c r="AH110" s="30" t="n">
        <f aca="false">AF110*AG110*$C$78*$G$96/1000*2</f>
        <v>20.14719</v>
      </c>
      <c r="AI110" s="28" t="n">
        <f aca="false">$H$99+S110+S110+3+10</f>
        <v>2435</v>
      </c>
      <c r="AJ110" s="29" t="n">
        <f aca="false">D110+15+2*S110+10</f>
        <v>175</v>
      </c>
      <c r="AK110" s="30" t="n">
        <f aca="false">AI110*AJ110*$C$78*$G$96/1000*2</f>
        <v>20.14719</v>
      </c>
      <c r="AL110" s="346" t="n">
        <f aca="false">(технолог!$I$27/2*((5+6)*2+технолог!$T$27-0.5)+J110*2+K110)/1000*4</f>
        <v>31.32</v>
      </c>
      <c r="AM110" s="346" t="n">
        <f aca="false">(M110*2+N110*2)/1000*4</f>
        <v>19.68</v>
      </c>
      <c r="AN110" s="346" t="n">
        <f aca="false">(P110*2+Q110*2)/1000*2</f>
        <v>1.864</v>
      </c>
      <c r="AO110" s="347" t="n">
        <f aca="false">(S110*2+T110*2)/1000*8</f>
        <v>0.432</v>
      </c>
      <c r="AP110" s="346" t="n">
        <f aca="false">(AA110*2+S110*8)/1000*4</f>
        <v>41.392</v>
      </c>
      <c r="AQ110" s="346" t="n">
        <f aca="false">(AD110*2+S110*8)/1000*4</f>
        <v>41.392</v>
      </c>
      <c r="AR110" s="346" t="n">
        <f aca="false">((C110+20)*2+(50+I110)*2)/1000*($AO$105-1)</f>
        <v>0</v>
      </c>
      <c r="AS110" s="348" t="n">
        <f aca="false">((D110)*2+(50+I110)*2)/1000*($AS$105-1)</f>
        <v>2.18</v>
      </c>
      <c r="AT110" s="349" t="n">
        <f aca="false">(40*2+(C110+20)*2)/1000*($AO$105-1)</f>
        <v>0</v>
      </c>
      <c r="AU110" s="346" t="n">
        <f aca="false">(40*2+(D110*2))/1000*($AS$105-1)</f>
        <v>1.68</v>
      </c>
      <c r="AV110" s="348" t="n">
        <f aca="false">(C110*2+D110*2)*технолог!$I$27/1000</f>
        <v>216.8</v>
      </c>
      <c r="AW110" s="349" t="n">
        <f aca="false">(AF110*2+AG110*2)*2/1000+AY110</f>
        <v>11.484</v>
      </c>
      <c r="AX110" s="348" t="n">
        <f aca="false">(AI110*2+AJ110*2)*2/1000+AZ110</f>
        <v>11.484</v>
      </c>
      <c r="AY110" s="349" t="n">
        <f aca="false">(AF110/100+AG110/100)*20/1000*2</f>
        <v>1.044</v>
      </c>
      <c r="AZ110" s="346" t="n">
        <f aca="false">((AI110/100+AJ110/100)*20)/1000*2</f>
        <v>1.044</v>
      </c>
      <c r="BA110" s="349" t="n">
        <f aca="false">SUM(AL110:AN110,AP110:AS110)</f>
        <v>137.828</v>
      </c>
      <c r="BB110" s="346" t="n">
        <f aca="false">SUM(AW110:AZ110)</f>
        <v>25.056</v>
      </c>
      <c r="BC110" s="348" t="n">
        <f aca="false">SUM(AL110:AN110,AP110:AS110)</f>
        <v>137.828</v>
      </c>
      <c r="BD110" s="349" t="n">
        <f aca="false">SUM(AT110:AV110)</f>
        <v>218.48</v>
      </c>
      <c r="BE110" s="350" t="n">
        <f aca="false">$AZ$134+$BA$134</f>
        <v>14</v>
      </c>
      <c r="BF110" s="351" t="n">
        <f aca="false">$BC$134+$BD$134</f>
        <v>8</v>
      </c>
      <c r="BG110" s="352" t="n">
        <f aca="false">C110</f>
        <v>143</v>
      </c>
      <c r="BH110" s="352" t="n">
        <f aca="false">D110+15</f>
        <v>143</v>
      </c>
      <c r="BI110" s="353" t="n">
        <f aca="false">($AZ$134+$BA$134+$BC$134+$BD$134)*2</f>
        <v>44</v>
      </c>
    </row>
    <row r="111" customFormat="false" ht="15.75" hidden="false" customHeight="true" outlineLevel="0" collapsed="false">
      <c r="B111" s="205" t="s">
        <v>198</v>
      </c>
      <c r="C111" s="339" t="n">
        <v>227</v>
      </c>
      <c r="D111" s="339" t="n">
        <v>212</v>
      </c>
      <c r="E111" s="339" t="n">
        <v>245</v>
      </c>
      <c r="F111" s="339" t="n">
        <v>235</v>
      </c>
      <c r="G111" s="340" t="n">
        <f aca="false">технолог!U27</f>
        <v>1</v>
      </c>
      <c r="H111" s="354" t="n">
        <f aca="false">(E111+15)*(F111+15)*G111*$G$93/1000*(технолог!$I$27)</f>
        <v>204.88</v>
      </c>
      <c r="I111" s="324" t="n">
        <v>40</v>
      </c>
      <c r="J111" s="355" t="n">
        <f aca="false">I111+20</f>
        <v>60</v>
      </c>
      <c r="K111" s="339" t="n">
        <f aca="false">$H$99+10</f>
        <v>2410</v>
      </c>
      <c r="L111" s="339" t="n">
        <f aca="false">J111*K111*$D$78*$G$93/1000*4</f>
        <v>13.673376</v>
      </c>
      <c r="M111" s="355" t="n">
        <f aca="false">I111+10</f>
        <v>50</v>
      </c>
      <c r="N111" s="339" t="n">
        <f aca="false">$H$99+10</f>
        <v>2410</v>
      </c>
      <c r="O111" s="32" t="n">
        <f aca="false">M111*N111*$D$78*$G$93/1000*4</f>
        <v>11.39448</v>
      </c>
      <c r="P111" s="355" t="n">
        <f aca="false">C111+2*I111+10</f>
        <v>317</v>
      </c>
      <c r="Q111" s="339" t="n">
        <f aca="false">D111+15+2*I111+10</f>
        <v>317</v>
      </c>
      <c r="R111" s="339" t="n">
        <f aca="false">P111*Q111*$D$78*$G$93/1000*2</f>
        <v>4.75111992</v>
      </c>
      <c r="S111" s="31" t="n">
        <v>11</v>
      </c>
      <c r="T111" s="356" t="n">
        <f aca="false">S111+10</f>
        <v>21</v>
      </c>
      <c r="U111" s="323" t="n">
        <f aca="false">E125-49-49+6</f>
        <v>-92</v>
      </c>
      <c r="V111" s="357" t="e">
        <f aca="false">T111*U111*#REF!*D141/1000*8</f>
        <v>#REF!</v>
      </c>
      <c r="W111" s="323" t="n">
        <f aca="false">49+S111</f>
        <v>60</v>
      </c>
      <c r="X111" s="323" t="n">
        <f aca="false">C111+S111*2</f>
        <v>249</v>
      </c>
      <c r="Y111" s="357" t="n">
        <f aca="false">D111+S111*2</f>
        <v>234</v>
      </c>
      <c r="Z111" s="31" t="n">
        <f aca="false">S111+5</f>
        <v>16</v>
      </c>
      <c r="AA111" s="0" t="n">
        <f aca="false">($H$99+S111)*2+(C111+S111)*2</f>
        <v>5298</v>
      </c>
      <c r="AB111" s="32" t="n">
        <f aca="false">Z111*AA111*$D$78*$G$93/1000*2</f>
        <v>4.00783104</v>
      </c>
      <c r="AC111" s="31" t="n">
        <f aca="false">S111+5</f>
        <v>16</v>
      </c>
      <c r="AD111" s="0" t="n">
        <f aca="false">($H$99+S111)*2+(D111+15+S111)*2</f>
        <v>5298</v>
      </c>
      <c r="AE111" s="32" t="n">
        <f aca="false">AC111*AD111*$D$78*$G$93/1000*2</f>
        <v>4.00783104</v>
      </c>
      <c r="AF111" s="31" t="n">
        <f aca="false">$H$99+S111+S111+3+10</f>
        <v>2435</v>
      </c>
      <c r="AG111" s="0" t="n">
        <f aca="false">C111+2*S111+10</f>
        <v>259</v>
      </c>
      <c r="AH111" s="32" t="n">
        <f aca="false">AF111*AG111*$C$78*$G$96/1000*2</f>
        <v>29.8178412</v>
      </c>
      <c r="AI111" s="31" t="n">
        <f aca="false">$H$99+S111+S111+3+10</f>
        <v>2435</v>
      </c>
      <c r="AJ111" s="0" t="n">
        <f aca="false">D111+15+2*S111+10</f>
        <v>259</v>
      </c>
      <c r="AK111" s="32" t="n">
        <f aca="false">AI111*AJ111*$C$78*$G$96/1000*2</f>
        <v>29.8178412</v>
      </c>
      <c r="AL111" s="352" t="n">
        <f aca="false">(технолог!$I$27/2*((5+6)*2+технолог!$T$27-0.5)+J111*2+K111)/1000*4</f>
        <v>31.32</v>
      </c>
      <c r="AM111" s="352" t="n">
        <f aca="false">(M111*2+N111*2)/1000*4</f>
        <v>19.68</v>
      </c>
      <c r="AN111" s="352" t="n">
        <f aca="false">(P111*2+Q111*2)/1000*2</f>
        <v>2.536</v>
      </c>
      <c r="AO111" s="358" t="n">
        <f aca="false">(S111*2+T111*2)/1000*8</f>
        <v>0.512</v>
      </c>
      <c r="AP111" s="352" t="n">
        <f aca="false">(AA111*2+S111*8)/1000*4</f>
        <v>42.736</v>
      </c>
      <c r="AQ111" s="352" t="n">
        <f aca="false">(AD111*2+S111*8)/1000*4</f>
        <v>42.736</v>
      </c>
      <c r="AR111" s="352" t="n">
        <f aca="false">((C111+20)*2+(50+I111)*2)/1000*($AO$105-1)</f>
        <v>0</v>
      </c>
      <c r="AS111" s="359" t="n">
        <f aca="false">((D111)*2+(50+I111)*2)/1000*($AS$105-1)</f>
        <v>3.02</v>
      </c>
      <c r="AT111" s="360" t="n">
        <f aca="false">(40*2+(C111+20)*2)/1000*($AO$105-1)</f>
        <v>0</v>
      </c>
      <c r="AU111" s="352" t="n">
        <f aca="false">(40*2+(D111*2))/1000*($AS$105-1)</f>
        <v>2.52</v>
      </c>
      <c r="AV111" s="359" t="n">
        <f aca="false">(C111*2+D111*2)*технолог!$I$27/1000</f>
        <v>351.2</v>
      </c>
      <c r="AW111" s="360" t="n">
        <f aca="false">(AF111*2+AG111*2)*2/1000+AY111</f>
        <v>11.8536</v>
      </c>
      <c r="AX111" s="359" t="n">
        <f aca="false">(AI111*2+AJ111*2)*2/1000+AZ111</f>
        <v>11.8536</v>
      </c>
      <c r="AY111" s="360" t="n">
        <f aca="false">(AF111/100+AG111/100)*20/1000*2</f>
        <v>1.0776</v>
      </c>
      <c r="AZ111" s="352" t="n">
        <f aca="false">((AI111/100+AJ111/100)*20)/1000*2</f>
        <v>1.0776</v>
      </c>
      <c r="BA111" s="360" t="n">
        <f aca="false">SUM(AL111:AN111,AP111:AS111)</f>
        <v>142.028</v>
      </c>
      <c r="BB111" s="352" t="n">
        <f aca="false">SUM(AW111:AZ111)</f>
        <v>25.8624</v>
      </c>
      <c r="BC111" s="359" t="n">
        <f aca="false">SUM(AL111:AN111,AP111:AS111)</f>
        <v>142.028</v>
      </c>
      <c r="BD111" s="360" t="n">
        <f aca="false">SUM(AT111:AV111)</f>
        <v>353.72</v>
      </c>
      <c r="BE111" s="235" t="n">
        <f aca="false">$AZ$134+$BA$134</f>
        <v>14</v>
      </c>
      <c r="BF111" s="361" t="n">
        <f aca="false">$BC$134+$BD$134</f>
        <v>8</v>
      </c>
      <c r="BG111" s="352" t="n">
        <f aca="false">C111</f>
        <v>227</v>
      </c>
      <c r="BH111" s="352" t="n">
        <f aca="false">D111+15</f>
        <v>227</v>
      </c>
      <c r="BI111" s="362" t="n">
        <f aca="false">($AZ$134+$BA$134+$BC$134+$BD$134)*2</f>
        <v>44</v>
      </c>
    </row>
    <row r="112" customFormat="false" ht="15.75" hidden="false" customHeight="true" outlineLevel="0" collapsed="false">
      <c r="B112" s="205" t="s">
        <v>203</v>
      </c>
      <c r="C112" s="339" t="n">
        <v>302</v>
      </c>
      <c r="D112" s="339" t="n">
        <v>287</v>
      </c>
      <c r="E112" s="339" t="n">
        <v>320</v>
      </c>
      <c r="F112" s="339" t="n">
        <v>300</v>
      </c>
      <c r="G112" s="340" t="n">
        <f aca="false">технолог!U27</f>
        <v>1</v>
      </c>
      <c r="H112" s="354" t="n">
        <f aca="false">(E112+15)*(F112+15)*G112*$G$93/1000*(технолог!$I$27)</f>
        <v>332.6148</v>
      </c>
      <c r="I112" s="324" t="n">
        <v>50</v>
      </c>
      <c r="J112" s="355" t="n">
        <f aca="false">I112+20</f>
        <v>70</v>
      </c>
      <c r="K112" s="339" t="n">
        <f aca="false">$H$99+10</f>
        <v>2410</v>
      </c>
      <c r="L112" s="339" t="n">
        <f aca="false">J112*K112*$D$78*$G$93/1000*4</f>
        <v>15.952272</v>
      </c>
      <c r="M112" s="355" t="n">
        <f aca="false">I112+10</f>
        <v>60</v>
      </c>
      <c r="N112" s="339" t="n">
        <f aca="false">$H$99+10</f>
        <v>2410</v>
      </c>
      <c r="O112" s="32" t="n">
        <f aca="false">M112*N112*$D$78*$G$93/1000*4</f>
        <v>13.673376</v>
      </c>
      <c r="P112" s="355" t="n">
        <f aca="false">C112+2*I112+10</f>
        <v>412</v>
      </c>
      <c r="Q112" s="339" t="n">
        <f aca="false">D112+15+2*I112+10</f>
        <v>412</v>
      </c>
      <c r="R112" s="339" t="n">
        <f aca="false">P112*Q112*$D$78*$G$93/1000*2</f>
        <v>8.02549632</v>
      </c>
      <c r="S112" s="31" t="n">
        <v>11</v>
      </c>
      <c r="T112" s="356" t="n">
        <f aca="false">S112+10</f>
        <v>21</v>
      </c>
      <c r="U112" s="323" t="n">
        <f aca="false">E125-49-49+6</f>
        <v>-92</v>
      </c>
      <c r="V112" s="357" t="e">
        <f aca="false">T112*U112*#REF!*D141/1000*8</f>
        <v>#REF!</v>
      </c>
      <c r="W112" s="323" t="n">
        <f aca="false">49+S112</f>
        <v>60</v>
      </c>
      <c r="X112" s="323" t="n">
        <f aca="false">C112+S112*2</f>
        <v>324</v>
      </c>
      <c r="Y112" s="357" t="n">
        <f aca="false">D112+S112*2</f>
        <v>309</v>
      </c>
      <c r="Z112" s="31" t="n">
        <f aca="false">S112+5</f>
        <v>16</v>
      </c>
      <c r="AA112" s="0" t="n">
        <f aca="false">($H$99+S112)*2+(C112+S112)*2</f>
        <v>5448</v>
      </c>
      <c r="AB112" s="32" t="n">
        <f aca="false">Z112*AA112*$D$78*$G$93/1000*2</f>
        <v>4.12130304</v>
      </c>
      <c r="AC112" s="31" t="n">
        <f aca="false">S112+5</f>
        <v>16</v>
      </c>
      <c r="AD112" s="0" t="n">
        <f aca="false">($H$99+S112)*2+(D112+15+S112)*2</f>
        <v>5448</v>
      </c>
      <c r="AE112" s="32" t="n">
        <f aca="false">AC112*AD112*$D$78*$G$93/1000*2</f>
        <v>4.12130304</v>
      </c>
      <c r="AF112" s="31" t="n">
        <f aca="false">$H$99+S112+S112+3+10</f>
        <v>2435</v>
      </c>
      <c r="AG112" s="0" t="n">
        <f aca="false">C112+2*S112+10</f>
        <v>334</v>
      </c>
      <c r="AH112" s="32" t="n">
        <f aca="false">AF112*AG112*$C$78*$G$96/1000*2</f>
        <v>38.4523512</v>
      </c>
      <c r="AI112" s="31" t="n">
        <f aca="false">$H$99+S112+S112+3+10</f>
        <v>2435</v>
      </c>
      <c r="AJ112" s="0" t="n">
        <f aca="false">D112+15+2*S112+10</f>
        <v>334</v>
      </c>
      <c r="AK112" s="32" t="n">
        <f aca="false">AI112*AJ112*$C$78*$G$96/1000*2</f>
        <v>38.4523512</v>
      </c>
      <c r="AL112" s="352" t="n">
        <f aca="false">(технолог!$I$27/2*((5+6)*2+технолог!$T$27-0.5)+J112*2+K112)/1000*4</f>
        <v>31.4</v>
      </c>
      <c r="AM112" s="352" t="n">
        <f aca="false">(M112*2+N112*2)/1000*4</f>
        <v>19.76</v>
      </c>
      <c r="AN112" s="352" t="n">
        <f aca="false">(P112*2+Q112*2)/1000*2</f>
        <v>3.296</v>
      </c>
      <c r="AO112" s="358" t="n">
        <f aca="false">(S112*2+T112*2)/1000*8</f>
        <v>0.512</v>
      </c>
      <c r="AP112" s="352" t="n">
        <f aca="false">(AA112*2+S112*8)/1000*4</f>
        <v>43.936</v>
      </c>
      <c r="AQ112" s="352" t="n">
        <f aca="false">(AD112*2+S112*8)/1000*4</f>
        <v>43.936</v>
      </c>
      <c r="AR112" s="352" t="n">
        <f aca="false">((C112+20)*2+(50+I112)*2)/1000*($AO$105-1)</f>
        <v>0</v>
      </c>
      <c r="AS112" s="359" t="n">
        <f aca="false">((D112)*2+(50+I112)*2)/1000*($AS$105-1)</f>
        <v>3.87</v>
      </c>
      <c r="AT112" s="360" t="n">
        <f aca="false">(40*2+(C112+20)*2)/1000*($AO$105-1)</f>
        <v>0</v>
      </c>
      <c r="AU112" s="352" t="n">
        <f aca="false">(40*2+(D112*2))/1000*($AS$105-1)</f>
        <v>3.27</v>
      </c>
      <c r="AV112" s="359" t="n">
        <f aca="false">(C112*2+D112*2)*технолог!$I$27/1000</f>
        <v>471.2</v>
      </c>
      <c r="AW112" s="360" t="n">
        <f aca="false">(AF112*2+AG112*2)*2/1000+AY112</f>
        <v>12.1836</v>
      </c>
      <c r="AX112" s="359" t="n">
        <f aca="false">(AI112*2+AJ112*2)*2/1000+AZ112</f>
        <v>12.1836</v>
      </c>
      <c r="AY112" s="360" t="n">
        <f aca="false">(AF112/100+AG112/100)*20/1000*2</f>
        <v>1.1076</v>
      </c>
      <c r="AZ112" s="352" t="n">
        <f aca="false">((AI112/100+AJ112/100)*20)/1000*2</f>
        <v>1.1076</v>
      </c>
      <c r="BA112" s="360" t="n">
        <f aca="false">SUM(AL112:AN112,AP112:AS112)</f>
        <v>146.198</v>
      </c>
      <c r="BB112" s="352" t="n">
        <f aca="false">SUM(AW112:AZ112)</f>
        <v>26.5824</v>
      </c>
      <c r="BC112" s="359" t="n">
        <f aca="false">SUM(AL112:AN112,AP112:AS112)</f>
        <v>146.198</v>
      </c>
      <c r="BD112" s="360" t="n">
        <f aca="false">SUM(AT112:AV112)</f>
        <v>474.47</v>
      </c>
      <c r="BE112" s="235" t="n">
        <f aca="false">$AZ$134+$BA$134</f>
        <v>14</v>
      </c>
      <c r="BF112" s="361" t="n">
        <f aca="false">$BC$134+$BD$134</f>
        <v>8</v>
      </c>
      <c r="BG112" s="352" t="n">
        <f aca="false">C112</f>
        <v>302</v>
      </c>
      <c r="BH112" s="352" t="n">
        <f aca="false">D112+15</f>
        <v>302</v>
      </c>
      <c r="BI112" s="362" t="n">
        <f aca="false">($AZ$134+$BA$134+$BC$134+$BD$134)*2</f>
        <v>44</v>
      </c>
    </row>
    <row r="113" customFormat="false" ht="15.75" hidden="false" customHeight="true" outlineLevel="0" collapsed="false">
      <c r="B113" s="205" t="s">
        <v>209</v>
      </c>
      <c r="C113" s="339" t="n">
        <v>373</v>
      </c>
      <c r="D113" s="339" t="n">
        <v>360</v>
      </c>
      <c r="E113" s="339" t="n">
        <v>395</v>
      </c>
      <c r="F113" s="339" t="n">
        <v>380</v>
      </c>
      <c r="G113" s="340" t="n">
        <f aca="false">технолог!U27</f>
        <v>1</v>
      </c>
      <c r="H113" s="354" t="n">
        <f aca="false">(E113+15)*(F113+15)*G113*$G$93/1000*(технолог!$I$27)</f>
        <v>510.4664</v>
      </c>
      <c r="I113" s="324" t="n">
        <v>60</v>
      </c>
      <c r="J113" s="355" t="n">
        <f aca="false">I113+20</f>
        <v>80</v>
      </c>
      <c r="K113" s="339" t="n">
        <f aca="false">$H$99+10</f>
        <v>2410</v>
      </c>
      <c r="L113" s="339" t="n">
        <f aca="false">J113*K113*$D$78*$G$93/1000*4</f>
        <v>18.231168</v>
      </c>
      <c r="M113" s="355" t="n">
        <f aca="false">I113+10</f>
        <v>70</v>
      </c>
      <c r="N113" s="339" t="n">
        <f aca="false">$H$99+10</f>
        <v>2410</v>
      </c>
      <c r="O113" s="32" t="n">
        <f aca="false">M113*N113*$D$78*$G$93/1000*4</f>
        <v>15.952272</v>
      </c>
      <c r="P113" s="355" t="n">
        <f aca="false">C113+2*I113+10</f>
        <v>503</v>
      </c>
      <c r="Q113" s="339" t="n">
        <f aca="false">D113+15+2*I113+10</f>
        <v>505</v>
      </c>
      <c r="R113" s="339" t="n">
        <f aca="false">P113*Q113*$D$78*$G$93/1000*2</f>
        <v>12.0098292</v>
      </c>
      <c r="S113" s="31" t="n">
        <v>14</v>
      </c>
      <c r="T113" s="356" t="n">
        <f aca="false">S113+10</f>
        <v>24</v>
      </c>
      <c r="U113" s="323" t="n">
        <f aca="false">E125-49-49+6</f>
        <v>-92</v>
      </c>
      <c r="V113" s="357" t="e">
        <f aca="false">T113*U113*#REF!*D141/1000*8</f>
        <v>#REF!</v>
      </c>
      <c r="W113" s="323" t="n">
        <f aca="false">49+S113</f>
        <v>63</v>
      </c>
      <c r="X113" s="323" t="n">
        <f aca="false">C113+S113*2</f>
        <v>401</v>
      </c>
      <c r="Y113" s="357" t="n">
        <f aca="false">D113+S113*2</f>
        <v>388</v>
      </c>
      <c r="Z113" s="31" t="n">
        <f aca="false">S113+5</f>
        <v>19</v>
      </c>
      <c r="AA113" s="0" t="n">
        <f aca="false">($H$99+S113)*2+(C113+S113)*2</f>
        <v>5602</v>
      </c>
      <c r="AB113" s="32" t="n">
        <f aca="false">Z113*AA113*$D$78*$G$93/1000*2</f>
        <v>5.03238864</v>
      </c>
      <c r="AC113" s="31" t="n">
        <f aca="false">S113+5</f>
        <v>19</v>
      </c>
      <c r="AD113" s="0" t="n">
        <f aca="false">($H$99+S113)*2+(D113+15+S113)*2</f>
        <v>5606</v>
      </c>
      <c r="AE113" s="32" t="n">
        <f aca="false">AC113*AD113*$D$78*$G$93/1000*2</f>
        <v>5.03598192</v>
      </c>
      <c r="AF113" s="31" t="n">
        <f aca="false">$H$99+S113+S113+3+10</f>
        <v>2441</v>
      </c>
      <c r="AG113" s="0" t="n">
        <f aca="false">C113+2*S113+10</f>
        <v>411</v>
      </c>
      <c r="AH113" s="32" t="n">
        <f aca="false">AF113*AG113*$C$78*$G$96/1000*2</f>
        <v>47.43370728</v>
      </c>
      <c r="AI113" s="31" t="n">
        <f aca="false">$H$99+S113+S113+3+10</f>
        <v>2441</v>
      </c>
      <c r="AJ113" s="0" t="n">
        <f aca="false">D113+15+2*S113+10</f>
        <v>413</v>
      </c>
      <c r="AK113" s="32" t="n">
        <f aca="false">AI113*AJ113*$C$78*$G$96/1000*2</f>
        <v>47.66452824</v>
      </c>
      <c r="AL113" s="352" t="n">
        <f aca="false">(технолог!$I$27/2*((5+6)*2+технолог!$T$27-0.5)+J113*2+K113)/1000*4</f>
        <v>31.48</v>
      </c>
      <c r="AM113" s="352" t="n">
        <f aca="false">(M113*2+N113*2)/1000*4</f>
        <v>19.84</v>
      </c>
      <c r="AN113" s="352" t="n">
        <f aca="false">(P113*2+Q113*2)/1000*2</f>
        <v>4.032</v>
      </c>
      <c r="AO113" s="358" t="n">
        <f aca="false">(S113*2+T113*2)/1000*8</f>
        <v>0.608</v>
      </c>
      <c r="AP113" s="352" t="n">
        <f aca="false">(AA113*2+S113*8)/1000*4</f>
        <v>45.264</v>
      </c>
      <c r="AQ113" s="352" t="n">
        <f aca="false">(AD113*2+S113*8)/1000*4</f>
        <v>45.296</v>
      </c>
      <c r="AR113" s="352" t="n">
        <f aca="false">((C113+20)*2+(50+I113)*2)/1000*($AO$105-1)</f>
        <v>0</v>
      </c>
      <c r="AS113" s="359" t="n">
        <f aca="false">((D113)*2+(50+I113)*2)/1000*($AS$105-1)</f>
        <v>4.7</v>
      </c>
      <c r="AT113" s="360" t="n">
        <f aca="false">(40*2+(C113+20)*2)/1000*($AO$105-1)</f>
        <v>0</v>
      </c>
      <c r="AU113" s="352" t="n">
        <f aca="false">(40*2+(D113*2))/1000*($AS$105-1)</f>
        <v>4</v>
      </c>
      <c r="AV113" s="359" t="n">
        <f aca="false">(C113*2+D113*2)*технолог!$I$27/1000</f>
        <v>586.4</v>
      </c>
      <c r="AW113" s="360" t="n">
        <f aca="false">(AF113*2+AG113*2)*2/1000+AY113</f>
        <v>12.5488</v>
      </c>
      <c r="AX113" s="359" t="n">
        <f aca="false">(AI113*2+AJ113*2)*2/1000+AZ113</f>
        <v>12.5576</v>
      </c>
      <c r="AY113" s="360" t="n">
        <f aca="false">(AF113/100+AG113/100)*20/1000*2</f>
        <v>1.1408</v>
      </c>
      <c r="AZ113" s="352" t="n">
        <f aca="false">((AI113/100+AJ113/100)*20)/1000*2</f>
        <v>1.1416</v>
      </c>
      <c r="BA113" s="360" t="n">
        <f aca="false">SUM(AL113:AN113,AP113:AS113)</f>
        <v>150.612</v>
      </c>
      <c r="BB113" s="352" t="n">
        <f aca="false">SUM(AW113:AZ113)</f>
        <v>27.3888</v>
      </c>
      <c r="BC113" s="359" t="n">
        <f aca="false">SUM(AL113:AN113,AP113:AS113)</f>
        <v>150.612</v>
      </c>
      <c r="BD113" s="360" t="n">
        <f aca="false">SUM(AT113:AV113)</f>
        <v>590.4</v>
      </c>
      <c r="BE113" s="235" t="n">
        <f aca="false">$AZ$134+$BA$134</f>
        <v>14</v>
      </c>
      <c r="BF113" s="361" t="n">
        <f aca="false">$BC$134+$BD$134</f>
        <v>8</v>
      </c>
      <c r="BG113" s="352" t="n">
        <f aca="false">C113</f>
        <v>373</v>
      </c>
      <c r="BH113" s="352" t="n">
        <f aca="false">D113+15</f>
        <v>375</v>
      </c>
      <c r="BI113" s="362" t="n">
        <f aca="false">($AZ$134+$BA$134+$BC$134+$BD$134)*2</f>
        <v>44</v>
      </c>
    </row>
    <row r="114" customFormat="false" ht="15.75" hidden="false" customHeight="true" outlineLevel="0" collapsed="false">
      <c r="B114" s="205" t="s">
        <v>222</v>
      </c>
      <c r="C114" s="339" t="n">
        <v>476</v>
      </c>
      <c r="D114" s="339" t="n">
        <v>455</v>
      </c>
      <c r="E114" s="339" t="n">
        <v>495</v>
      </c>
      <c r="F114" s="339" t="n">
        <v>495</v>
      </c>
      <c r="G114" s="340" t="n">
        <f aca="false">технолог!U27</f>
        <v>1</v>
      </c>
      <c r="H114" s="354" t="n">
        <f aca="false">(E114+15)*(F114+15)*G114*$G$93/1000*(технолог!$I$27)</f>
        <v>819.8352</v>
      </c>
      <c r="I114" s="324" t="n">
        <v>70</v>
      </c>
      <c r="J114" s="355" t="n">
        <f aca="false">I114+20</f>
        <v>90</v>
      </c>
      <c r="K114" s="339" t="n">
        <f aca="false">$H$99+10</f>
        <v>2410</v>
      </c>
      <c r="L114" s="339" t="n">
        <f aca="false">J114*K114*$D$78*$G$93/1000*4</f>
        <v>20.510064</v>
      </c>
      <c r="M114" s="355" t="n">
        <f aca="false">I114+10</f>
        <v>80</v>
      </c>
      <c r="N114" s="339" t="n">
        <f aca="false">$H$99+10</f>
        <v>2410</v>
      </c>
      <c r="O114" s="32" t="n">
        <f aca="false">M114*N114*$D$78*$G$93/1000*4</f>
        <v>18.231168</v>
      </c>
      <c r="P114" s="355" t="n">
        <f aca="false">C114+2*I114+10</f>
        <v>626</v>
      </c>
      <c r="Q114" s="339" t="n">
        <f aca="false">D114+15+2*I114+10</f>
        <v>620</v>
      </c>
      <c r="R114" s="339" t="n">
        <f aca="false">P114*Q114*$D$78*$G$93/1000*2</f>
        <v>18.3503136</v>
      </c>
      <c r="S114" s="31" t="n">
        <v>16</v>
      </c>
      <c r="T114" s="356" t="n">
        <f aca="false">S114+10</f>
        <v>26</v>
      </c>
      <c r="U114" s="323" t="n">
        <f aca="false">E125-49-49+6</f>
        <v>-92</v>
      </c>
      <c r="V114" s="357" t="e">
        <f aca="false">T114*U114*#REF!*D141/1000*8</f>
        <v>#REF!</v>
      </c>
      <c r="W114" s="323" t="n">
        <f aca="false">49+S114</f>
        <v>65</v>
      </c>
      <c r="X114" s="323" t="n">
        <f aca="false">C114+S114*2</f>
        <v>508</v>
      </c>
      <c r="Y114" s="357" t="n">
        <f aca="false">D114+S114*2</f>
        <v>487</v>
      </c>
      <c r="Z114" s="31" t="n">
        <f aca="false">S114+5</f>
        <v>21</v>
      </c>
      <c r="AA114" s="0" t="n">
        <f aca="false">($H$99+S114)*2+(C114+S114)*2</f>
        <v>5816</v>
      </c>
      <c r="AB114" s="32" t="n">
        <f aca="false">Z114*AA114*$D$78*$G$93/1000*2</f>
        <v>5.77459008</v>
      </c>
      <c r="AC114" s="31" t="n">
        <f aca="false">S114+5</f>
        <v>21</v>
      </c>
      <c r="AD114" s="0" t="n">
        <f aca="false">($H$99+S114)*2+(D114+15+S114)*2</f>
        <v>5804</v>
      </c>
      <c r="AE114" s="32" t="n">
        <f aca="false">AC114*AD114*$D$78*$G$93/1000*2</f>
        <v>5.76267552</v>
      </c>
      <c r="AF114" s="31" t="n">
        <f aca="false">$H$99+S114+S114+3+10</f>
        <v>2445</v>
      </c>
      <c r="AG114" s="0" t="n">
        <f aca="false">C114+2*S114+10</f>
        <v>518</v>
      </c>
      <c r="AH114" s="32" t="n">
        <f aca="false">AF114*AG114*$C$78*$G$96/1000*2</f>
        <v>59.8805928</v>
      </c>
      <c r="AI114" s="31" t="n">
        <f aca="false">$H$99+S114+S114+3+10</f>
        <v>2445</v>
      </c>
      <c r="AJ114" s="0" t="n">
        <f aca="false">D114+15+2*S114+10</f>
        <v>512</v>
      </c>
      <c r="AK114" s="32" t="n">
        <f aca="false">AI114*AJ114*$C$78*$G$96/1000*2</f>
        <v>59.1869952</v>
      </c>
      <c r="AL114" s="352" t="n">
        <f aca="false">(технолог!$I$27/2*((5+6)*2+технолог!$T$27-0.5)+J114*2+K114)/1000*4</f>
        <v>31.56</v>
      </c>
      <c r="AM114" s="352" t="n">
        <f aca="false">(M114*2+N114*2)/1000*4</f>
        <v>19.92</v>
      </c>
      <c r="AN114" s="352" t="n">
        <f aca="false">(P114*2+Q114*2)/1000*2</f>
        <v>4.984</v>
      </c>
      <c r="AO114" s="358" t="n">
        <f aca="false">(S114*2+T114*2)/1000*8</f>
        <v>0.672</v>
      </c>
      <c r="AP114" s="352" t="n">
        <f aca="false">(AA114*2+S114*8)/1000*4</f>
        <v>47.04</v>
      </c>
      <c r="AQ114" s="352" t="n">
        <f aca="false">(AD114*2+S114*8)/1000*4</f>
        <v>46.944</v>
      </c>
      <c r="AR114" s="352" t="n">
        <f aca="false">((C114+20)*2+(50+I114)*2)/1000*($AO$105-1)</f>
        <v>0</v>
      </c>
      <c r="AS114" s="359" t="n">
        <f aca="false">((D114)*2+(50+I114)*2)/1000*($AS$105-1)</f>
        <v>5.75</v>
      </c>
      <c r="AT114" s="360" t="n">
        <f aca="false">(40*2+(C114+20)*2)/1000*($AO$105-1)</f>
        <v>0</v>
      </c>
      <c r="AU114" s="352" t="n">
        <f aca="false">(40*2+(D114*2))/1000*($AS$105-1)</f>
        <v>4.95</v>
      </c>
      <c r="AV114" s="359" t="n">
        <f aca="false">(C114*2+D114*2)*технолог!$I$27/1000</f>
        <v>744.8</v>
      </c>
      <c r="AW114" s="360" t="n">
        <f aca="false">(AF114*2+AG114*2)*2/1000+AY114</f>
        <v>13.0372</v>
      </c>
      <c r="AX114" s="359" t="n">
        <f aca="false">(AI114*2+AJ114*2)*2/1000+AZ114</f>
        <v>13.0108</v>
      </c>
      <c r="AY114" s="360" t="n">
        <f aca="false">(AF114/100+AG114/100)*20/1000*2</f>
        <v>1.1852</v>
      </c>
      <c r="AZ114" s="352" t="n">
        <f aca="false">((AI114/100+AJ114/100)*20)/1000*2</f>
        <v>1.1828</v>
      </c>
      <c r="BA114" s="360" t="n">
        <f aca="false">SUM(AL114:AN114,AP114:AS114)</f>
        <v>156.198</v>
      </c>
      <c r="BB114" s="352" t="n">
        <f aca="false">SUM(AW114:AZ114)</f>
        <v>28.416</v>
      </c>
      <c r="BC114" s="359" t="n">
        <f aca="false">SUM(AL114:AN114,AP114:AS114)</f>
        <v>156.198</v>
      </c>
      <c r="BD114" s="360" t="n">
        <f aca="false">SUM(AT114:AV114)</f>
        <v>749.75</v>
      </c>
      <c r="BE114" s="235" t="n">
        <f aca="false">$AZ$134+$BA$134</f>
        <v>14</v>
      </c>
      <c r="BF114" s="361" t="n">
        <f aca="false">$BC$134+$BD$134</f>
        <v>8</v>
      </c>
      <c r="BG114" s="352" t="n">
        <f aca="false">C114</f>
        <v>476</v>
      </c>
      <c r="BH114" s="352" t="n">
        <f aca="false">D114+15</f>
        <v>470</v>
      </c>
      <c r="BI114" s="362" t="n">
        <f aca="false">($AZ$134+$BA$134+$BC$134+$BD$134)*2</f>
        <v>44</v>
      </c>
    </row>
    <row r="115" customFormat="false" ht="15.75" hidden="false" customHeight="true" outlineLevel="0" collapsed="false">
      <c r="B115" s="205" t="s">
        <v>216</v>
      </c>
      <c r="C115" s="339" t="n">
        <v>476</v>
      </c>
      <c r="D115" s="339" t="n">
        <v>240</v>
      </c>
      <c r="E115" s="339" t="n">
        <v>495</v>
      </c>
      <c r="F115" s="339" t="n">
        <v>246</v>
      </c>
      <c r="G115" s="340" t="n">
        <f aca="false">технолог!U27</f>
        <v>1</v>
      </c>
      <c r="H115" s="354" t="n">
        <f aca="false">(E115+15)*(F115+15)*G115*$G$93/1000*(технолог!$I$27)</f>
        <v>419.56272</v>
      </c>
      <c r="I115" s="324" t="n">
        <v>70</v>
      </c>
      <c r="J115" s="355" t="n">
        <f aca="false">I115+20</f>
        <v>90</v>
      </c>
      <c r="K115" s="339" t="n">
        <f aca="false">$H$99+10</f>
        <v>2410</v>
      </c>
      <c r="L115" s="339" t="n">
        <f aca="false">J115*K115*$D$78*$G$93/1000*4</f>
        <v>20.510064</v>
      </c>
      <c r="M115" s="355" t="n">
        <f aca="false">I115+10</f>
        <v>80</v>
      </c>
      <c r="N115" s="339" t="n">
        <f aca="false">$H$99+10</f>
        <v>2410</v>
      </c>
      <c r="O115" s="32" t="n">
        <f aca="false">M115*N115*$D$78*$G$93/1000*4</f>
        <v>18.231168</v>
      </c>
      <c r="P115" s="355" t="n">
        <f aca="false">C115+2*I115+10</f>
        <v>626</v>
      </c>
      <c r="Q115" s="339" t="n">
        <f aca="false">D115+15+2*I115+10</f>
        <v>405</v>
      </c>
      <c r="R115" s="339" t="n">
        <f aca="false">P115*Q115*$D$78*$G$93/1000*2</f>
        <v>11.9868984</v>
      </c>
      <c r="S115" s="31" t="n">
        <v>16</v>
      </c>
      <c r="T115" s="356" t="n">
        <f aca="false">S115+10</f>
        <v>26</v>
      </c>
      <c r="U115" s="323" t="n">
        <f aca="false">E125-49-49+6</f>
        <v>-92</v>
      </c>
      <c r="V115" s="357" t="e">
        <f aca="false">T115*U115*#REF!*D141/1000*8</f>
        <v>#REF!</v>
      </c>
      <c r="W115" s="323" t="n">
        <f aca="false">49+S115</f>
        <v>65</v>
      </c>
      <c r="X115" s="323" t="n">
        <f aca="false">C115+S115*2</f>
        <v>508</v>
      </c>
      <c r="Y115" s="357" t="n">
        <f aca="false">D115+S115*2</f>
        <v>272</v>
      </c>
      <c r="Z115" s="31" t="n">
        <f aca="false">S115+5</f>
        <v>21</v>
      </c>
      <c r="AA115" s="0" t="n">
        <f aca="false">($H$99+S115)*2+(C115+S115)*2</f>
        <v>5816</v>
      </c>
      <c r="AB115" s="32" t="n">
        <f aca="false">Z115*AA115*$D$78*$G$93/1000*2</f>
        <v>5.77459008</v>
      </c>
      <c r="AC115" s="31" t="n">
        <f aca="false">S115+5</f>
        <v>21</v>
      </c>
      <c r="AD115" s="0" t="n">
        <f aca="false">($H$99+S115)*2+(D115+15+S115)*2</f>
        <v>5374</v>
      </c>
      <c r="AE115" s="32" t="n">
        <f aca="false">AC115*AD115*$D$78*$G$93/1000*2</f>
        <v>5.33573712</v>
      </c>
      <c r="AF115" s="31" t="n">
        <f aca="false">$H$99+S115+S115+3+10</f>
        <v>2445</v>
      </c>
      <c r="AG115" s="0" t="n">
        <f aca="false">C115+2*S115+10</f>
        <v>518</v>
      </c>
      <c r="AH115" s="32" t="n">
        <f aca="false">AF115*AG115*$C$78*$G$96/1000*2</f>
        <v>59.8805928</v>
      </c>
      <c r="AI115" s="31" t="n">
        <f aca="false">$H$99+S115+S115+3+10</f>
        <v>2445</v>
      </c>
      <c r="AJ115" s="0" t="n">
        <f aca="false">D115+15+2*S115+10</f>
        <v>297</v>
      </c>
      <c r="AK115" s="32" t="n">
        <f aca="false">AI115*AJ115*$C$78*$G$96/1000*2</f>
        <v>34.3330812</v>
      </c>
      <c r="AL115" s="352" t="n">
        <f aca="false">(технолог!$I$27/2*((5+6)*2+технолог!$T$27-0.5)+J115*2+K115)/1000*4</f>
        <v>31.56</v>
      </c>
      <c r="AM115" s="352" t="n">
        <f aca="false">(M115*2+N115*2)/1000*4</f>
        <v>19.92</v>
      </c>
      <c r="AN115" s="352" t="n">
        <f aca="false">(P115*2+Q115*2)/1000*2</f>
        <v>4.124</v>
      </c>
      <c r="AO115" s="358" t="n">
        <f aca="false">(S115*2+T115*2)/1000*8</f>
        <v>0.672</v>
      </c>
      <c r="AP115" s="352" t="n">
        <f aca="false">(AA115*2+S115*8)/1000*4</f>
        <v>47.04</v>
      </c>
      <c r="AQ115" s="352" t="n">
        <f aca="false">(AD115*2+S115*8)/1000*4</f>
        <v>43.504</v>
      </c>
      <c r="AR115" s="352" t="n">
        <f aca="false">((C115+20)*2+(50+I115)*2)/1000*($AO$105-1)</f>
        <v>0</v>
      </c>
      <c r="AS115" s="359" t="n">
        <f aca="false">((D115)*2+(50+I115)*2)/1000*($AS$105-1)</f>
        <v>3.6</v>
      </c>
      <c r="AT115" s="360" t="n">
        <f aca="false">(40*2+(C115+20)*2)/1000*($AO$105-1)</f>
        <v>0</v>
      </c>
      <c r="AU115" s="352" t="n">
        <f aca="false">(40*2+(D115*2))/1000*($AS$105-1)</f>
        <v>2.8</v>
      </c>
      <c r="AV115" s="359" t="n">
        <f aca="false">(C115*2+D115*2)*технолог!$I$27/1000</f>
        <v>572.8</v>
      </c>
      <c r="AW115" s="360" t="n">
        <f aca="false">(AF115*2+AG115*2)*2/1000+AY115</f>
        <v>13.0372</v>
      </c>
      <c r="AX115" s="359" t="n">
        <f aca="false">(AI115*2+AJ115*2)*2/1000+AZ115</f>
        <v>12.0648</v>
      </c>
      <c r="AY115" s="360" t="n">
        <f aca="false">(AF115/100+AG115/100)*20/1000*2</f>
        <v>1.1852</v>
      </c>
      <c r="AZ115" s="352" t="n">
        <f aca="false">((AI115/100+AJ115/100)*20)/1000*2</f>
        <v>1.0968</v>
      </c>
      <c r="BA115" s="360" t="n">
        <f aca="false">SUM(AL115:AN115,AP115:AS115)</f>
        <v>149.748</v>
      </c>
      <c r="BB115" s="352" t="n">
        <f aca="false">SUM(AW115:AZ115)</f>
        <v>27.384</v>
      </c>
      <c r="BC115" s="359" t="n">
        <f aca="false">SUM(AL115:AN115,AP115:AS115)</f>
        <v>149.748</v>
      </c>
      <c r="BD115" s="360" t="n">
        <f aca="false">SUM(AT115:AV115)</f>
        <v>575.6</v>
      </c>
      <c r="BE115" s="235" t="n">
        <f aca="false">$AZ$134+$BA$134</f>
        <v>14</v>
      </c>
      <c r="BF115" s="361" t="n">
        <f aca="false">$BC$134+$BD$134</f>
        <v>8</v>
      </c>
      <c r="BG115" s="352" t="n">
        <f aca="false">C115</f>
        <v>476</v>
      </c>
      <c r="BH115" s="352" t="n">
        <f aca="false">D115+15</f>
        <v>255</v>
      </c>
      <c r="BI115" s="362" t="n">
        <f aca="false">($AZ$134+$BA$134+$BC$134+$BD$134)*2</f>
        <v>44</v>
      </c>
    </row>
    <row r="116" customFormat="false" ht="15.75" hidden="false" customHeight="true" outlineLevel="0" collapsed="false">
      <c r="B116" s="205" t="s">
        <v>228</v>
      </c>
      <c r="C116" s="339" t="n">
        <v>595</v>
      </c>
      <c r="D116" s="339" t="n">
        <v>595</v>
      </c>
      <c r="E116" s="339" t="n">
        <v>615</v>
      </c>
      <c r="F116" s="339" t="n">
        <v>615</v>
      </c>
      <c r="G116" s="340" t="n">
        <f aca="false">технолог!U27</f>
        <v>1</v>
      </c>
      <c r="H116" s="354" t="n">
        <f aca="false">(E116+15)*(F116+15)*G116*$G$93/1000*(технолог!$I$27)</f>
        <v>1251.0288</v>
      </c>
      <c r="I116" s="324" t="n">
        <v>70</v>
      </c>
      <c r="J116" s="355" t="n">
        <f aca="false">I116+20</f>
        <v>90</v>
      </c>
      <c r="K116" s="339" t="n">
        <f aca="false">$H$99+10</f>
        <v>2410</v>
      </c>
      <c r="L116" s="339" t="n">
        <f aca="false">J116*K116*$D$78*$G$93/1000*4</f>
        <v>20.510064</v>
      </c>
      <c r="M116" s="355" t="n">
        <f aca="false">I116+10</f>
        <v>80</v>
      </c>
      <c r="N116" s="339" t="n">
        <f aca="false">$H$99+10</f>
        <v>2410</v>
      </c>
      <c r="O116" s="32" t="n">
        <f aca="false">M116*N116*$D$78*$G$93/1000*4</f>
        <v>18.231168</v>
      </c>
      <c r="P116" s="355" t="n">
        <f aca="false">C116+2*I116+10</f>
        <v>745</v>
      </c>
      <c r="Q116" s="339" t="n">
        <f aca="false">D116+15+2*I116+10</f>
        <v>760</v>
      </c>
      <c r="R116" s="339" t="n">
        <f aca="false">P116*Q116*$D$78*$G$93/1000*2</f>
        <v>26.769936</v>
      </c>
      <c r="S116" s="31" t="n">
        <v>16</v>
      </c>
      <c r="T116" s="356" t="n">
        <f aca="false">S116+10</f>
        <v>26</v>
      </c>
      <c r="U116" s="323" t="n">
        <f aca="false">E125-49-49+6</f>
        <v>-92</v>
      </c>
      <c r="V116" s="357" t="e">
        <f aca="false">T116*U116*#REF!*D141/1000*8</f>
        <v>#REF!</v>
      </c>
      <c r="W116" s="323" t="n">
        <f aca="false">49+S116</f>
        <v>65</v>
      </c>
      <c r="X116" s="323" t="n">
        <f aca="false">C116+S116*2</f>
        <v>627</v>
      </c>
      <c r="Y116" s="357" t="n">
        <f aca="false">D116+S116*2</f>
        <v>627</v>
      </c>
      <c r="Z116" s="31" t="n">
        <f aca="false">S116+5</f>
        <v>21</v>
      </c>
      <c r="AA116" s="0" t="n">
        <f aca="false">($H$99+S116)*2+(C116+S116)*2</f>
        <v>6054</v>
      </c>
      <c r="AB116" s="32" t="n">
        <f aca="false">Z116*AA116*$D$78*$G$93/1000*2</f>
        <v>6.01089552</v>
      </c>
      <c r="AC116" s="31" t="n">
        <f aca="false">S116+5</f>
        <v>21</v>
      </c>
      <c r="AD116" s="0" t="n">
        <f aca="false">($H$99+S116)*2+(D116+15+S116)*2</f>
        <v>6084</v>
      </c>
      <c r="AE116" s="32" t="n">
        <f aca="false">AC116*AD116*$D$78*$G$93/1000*2</f>
        <v>6.04068192</v>
      </c>
      <c r="AF116" s="31" t="n">
        <f aca="false">$H$99+S116+S116+3+10</f>
        <v>2445</v>
      </c>
      <c r="AG116" s="0" t="n">
        <f aca="false">C116+2*S116+10</f>
        <v>637</v>
      </c>
      <c r="AH116" s="32" t="n">
        <f aca="false">AF116*AG116*$C$78*$G$96/1000*2</f>
        <v>73.6369452</v>
      </c>
      <c r="AI116" s="31" t="n">
        <f aca="false">$H$99+S116+S116+3+10</f>
        <v>2445</v>
      </c>
      <c r="AJ116" s="0" t="n">
        <f aca="false">D116+15+2*S116+10</f>
        <v>652</v>
      </c>
      <c r="AK116" s="32" t="n">
        <f aca="false">AI116*AJ116*$C$78*$G$96/1000*2</f>
        <v>75.3709392</v>
      </c>
      <c r="AL116" s="352" t="n">
        <f aca="false">(технолог!$I$27/2*((5+6)*2+технолог!$T$27-0.5)+J116*2+K116)/1000*4</f>
        <v>31.56</v>
      </c>
      <c r="AM116" s="352" t="n">
        <f aca="false">(M116*2+N116*2)/1000*4</f>
        <v>19.92</v>
      </c>
      <c r="AN116" s="352" t="n">
        <f aca="false">(P116*2+Q116*2)/1000*2</f>
        <v>6.02</v>
      </c>
      <c r="AO116" s="358" t="n">
        <f aca="false">(S116*2+T116*2)/1000*8</f>
        <v>0.672</v>
      </c>
      <c r="AP116" s="352" t="n">
        <f aca="false">(AA116*2+S116*8)/1000*4</f>
        <v>48.944</v>
      </c>
      <c r="AQ116" s="352" t="n">
        <f aca="false">(AD116*2+S116*8)/1000*4</f>
        <v>49.184</v>
      </c>
      <c r="AR116" s="352" t="n">
        <f aca="false">((C116+20)*2+(50+I116)*2)/1000*($AO$105-1)</f>
        <v>0</v>
      </c>
      <c r="AS116" s="359" t="n">
        <f aca="false">((D116)*2+(50+I116)*2)/1000*($AS$105-1)</f>
        <v>7.15</v>
      </c>
      <c r="AT116" s="360" t="n">
        <f aca="false">(40*2+(C116+20)*2)/1000*($AO$105-1)</f>
        <v>0</v>
      </c>
      <c r="AU116" s="352" t="n">
        <f aca="false">(40*2+(D116*2))/1000*($AS$105-1)</f>
        <v>6.35</v>
      </c>
      <c r="AV116" s="359" t="n">
        <f aca="false">(C116*2+D116*2)*технолог!$I$27/1000</f>
        <v>952</v>
      </c>
      <c r="AW116" s="360" t="n">
        <f aca="false">(AF116*2+AG116*2)*2/1000+AY116</f>
        <v>13.5608</v>
      </c>
      <c r="AX116" s="359" t="n">
        <f aca="false">(AI116*2+AJ116*2)*2/1000+AZ116</f>
        <v>13.6268</v>
      </c>
      <c r="AY116" s="360" t="n">
        <f aca="false">(AF116/100+AG116/100)*20/1000*2</f>
        <v>1.2328</v>
      </c>
      <c r="AZ116" s="352" t="n">
        <f aca="false">((AI116/100+AJ116/100)*20)/1000*2</f>
        <v>1.2388</v>
      </c>
      <c r="BA116" s="360" t="n">
        <f aca="false">SUM(AL116:AN116,AP116:AS116)</f>
        <v>162.778</v>
      </c>
      <c r="BB116" s="352" t="n">
        <f aca="false">SUM(AW116:AZ116)</f>
        <v>29.6592</v>
      </c>
      <c r="BC116" s="359" t="n">
        <f aca="false">SUM(AL116:AN116,AP116:AS116)</f>
        <v>162.778</v>
      </c>
      <c r="BD116" s="360" t="n">
        <f aca="false">SUM(AT116:AV116)</f>
        <v>958.35</v>
      </c>
      <c r="BE116" s="235" t="n">
        <f aca="false">$AZ$134+$BA$134</f>
        <v>14</v>
      </c>
      <c r="BF116" s="361" t="n">
        <f aca="false">$BC$134+$BD$134</f>
        <v>8</v>
      </c>
      <c r="BG116" s="352" t="n">
        <f aca="false">C116</f>
        <v>595</v>
      </c>
      <c r="BH116" s="352" t="n">
        <f aca="false">D116+15</f>
        <v>610</v>
      </c>
      <c r="BI116" s="362" t="n">
        <f aca="false">($AZ$134+$BA$134+$BC$134+$BD$134)*2</f>
        <v>44</v>
      </c>
    </row>
    <row r="117" customFormat="false" ht="15.75" hidden="false" customHeight="true" outlineLevel="0" collapsed="false">
      <c r="B117" s="205" t="s">
        <v>231</v>
      </c>
      <c r="C117" s="339" t="n">
        <v>595</v>
      </c>
      <c r="D117" s="339" t="n">
        <v>295</v>
      </c>
      <c r="E117" s="339" t="n">
        <v>615</v>
      </c>
      <c r="F117" s="339" t="n">
        <v>303</v>
      </c>
      <c r="G117" s="340" t="n">
        <f aca="false">технолог!U27</f>
        <v>1</v>
      </c>
      <c r="H117" s="354" t="n">
        <f aca="false">(E117+15)*(F117+15)*G117*$G$93/1000*(технолог!$I$27)</f>
        <v>631.47168</v>
      </c>
      <c r="I117" s="324" t="n">
        <v>70</v>
      </c>
      <c r="J117" s="355" t="n">
        <f aca="false">I117+20</f>
        <v>90</v>
      </c>
      <c r="K117" s="339" t="n">
        <f aca="false">$H$99+10</f>
        <v>2410</v>
      </c>
      <c r="L117" s="339" t="n">
        <f aca="false">J117*K117*$D$78*$G$93/1000*4</f>
        <v>20.510064</v>
      </c>
      <c r="M117" s="355" t="n">
        <f aca="false">I117+10</f>
        <v>80</v>
      </c>
      <c r="N117" s="339" t="n">
        <f aca="false">$H$99+10</f>
        <v>2410</v>
      </c>
      <c r="O117" s="32" t="n">
        <f aca="false">M117*N117*$D$78*$G$93/1000*4</f>
        <v>18.231168</v>
      </c>
      <c r="P117" s="355" t="n">
        <f aca="false">C117+2*I117+10</f>
        <v>745</v>
      </c>
      <c r="Q117" s="339" t="n">
        <f aca="false">D117+15+2*I117+10</f>
        <v>460</v>
      </c>
      <c r="R117" s="339" t="n">
        <f aca="false">P117*Q117*$D$78*$G$93/1000*2</f>
        <v>16.202856</v>
      </c>
      <c r="S117" s="31" t="n">
        <v>16</v>
      </c>
      <c r="T117" s="356" t="n">
        <f aca="false">S117+10</f>
        <v>26</v>
      </c>
      <c r="U117" s="323" t="n">
        <f aca="false">E125-49-49+6</f>
        <v>-92</v>
      </c>
      <c r="V117" s="357" t="e">
        <f aca="false">T117*U117*#REF!*D141/1000*8</f>
        <v>#REF!</v>
      </c>
      <c r="W117" s="323" t="n">
        <f aca="false">49+S117</f>
        <v>65</v>
      </c>
      <c r="X117" s="323" t="n">
        <f aca="false">C117+S117*2</f>
        <v>627</v>
      </c>
      <c r="Y117" s="357" t="n">
        <f aca="false">D117+S117*2</f>
        <v>327</v>
      </c>
      <c r="Z117" s="31" t="n">
        <f aca="false">S117+5</f>
        <v>21</v>
      </c>
      <c r="AA117" s="0" t="n">
        <f aca="false">($H$99+S117)*2+(C117+S117)*2</f>
        <v>6054</v>
      </c>
      <c r="AB117" s="32" t="n">
        <f aca="false">Z117*AA117*$D$78*$G$93/1000*2</f>
        <v>6.01089552</v>
      </c>
      <c r="AC117" s="31" t="n">
        <f aca="false">S117+5</f>
        <v>21</v>
      </c>
      <c r="AD117" s="0" t="n">
        <f aca="false">($H$99+S117)*2+(D117+15+S117)*2</f>
        <v>5484</v>
      </c>
      <c r="AE117" s="32" t="n">
        <f aca="false">AC117*AD117*$D$78*$G$93/1000*2</f>
        <v>5.44495392</v>
      </c>
      <c r="AF117" s="31" t="n">
        <f aca="false">$H$99+S117+S117+3+10</f>
        <v>2445</v>
      </c>
      <c r="AG117" s="0" t="n">
        <f aca="false">C117+2*S117+10</f>
        <v>637</v>
      </c>
      <c r="AH117" s="32" t="n">
        <f aca="false">AF117*AG117*$C$78*$G$96/1000*2</f>
        <v>73.6369452</v>
      </c>
      <c r="AI117" s="31" t="n">
        <f aca="false">$H$99+S117+S117+3+10</f>
        <v>2445</v>
      </c>
      <c r="AJ117" s="0" t="n">
        <f aca="false">D117+15+2*S117+10</f>
        <v>352</v>
      </c>
      <c r="AK117" s="32" t="n">
        <f aca="false">AI117*AJ117*$C$78*$G$96/1000*2</f>
        <v>40.6910592</v>
      </c>
      <c r="AL117" s="352" t="n">
        <f aca="false">(технолог!$I$27/2*((5+6)*2+технолог!$T$27-0.5)+J117*2+K117)/1000*4</f>
        <v>31.56</v>
      </c>
      <c r="AM117" s="352" t="n">
        <f aca="false">(M117*2+N117*2)/1000*4</f>
        <v>19.92</v>
      </c>
      <c r="AN117" s="352" t="n">
        <f aca="false">(P117*2+Q117*2)/1000*2</f>
        <v>4.82</v>
      </c>
      <c r="AO117" s="358" t="n">
        <f aca="false">(S117*2+T117*2)/1000*8</f>
        <v>0.672</v>
      </c>
      <c r="AP117" s="352" t="n">
        <f aca="false">(AA117*2+S117*8)/1000*4</f>
        <v>48.944</v>
      </c>
      <c r="AQ117" s="352" t="n">
        <f aca="false">(AD117*2+S117*8)/1000*4</f>
        <v>44.384</v>
      </c>
      <c r="AR117" s="352" t="n">
        <f aca="false">((C117+20)*2+(50+I117)*2)/1000*($AO$105-1)</f>
        <v>0</v>
      </c>
      <c r="AS117" s="359" t="n">
        <f aca="false">((D117)*2+(50+I117)*2)/1000*($AS$105-1)</f>
        <v>4.15</v>
      </c>
      <c r="AT117" s="360" t="n">
        <f aca="false">(40*2+(C117+20)*2)/1000*($AO$105-1)</f>
        <v>0</v>
      </c>
      <c r="AU117" s="352" t="n">
        <f aca="false">(40*2+(D117*2))/1000*($AS$105-1)</f>
        <v>3.35</v>
      </c>
      <c r="AV117" s="359" t="n">
        <f aca="false">(C117*2+D117*2)*технолог!$I$27/1000</f>
        <v>712</v>
      </c>
      <c r="AW117" s="360" t="n">
        <f aca="false">(AF117*2+AG117*2)*2/1000+AY117</f>
        <v>13.5608</v>
      </c>
      <c r="AX117" s="359" t="n">
        <f aca="false">(AI117*2+AJ117*2)*2/1000+AZ117</f>
        <v>12.3068</v>
      </c>
      <c r="AY117" s="360" t="n">
        <f aca="false">(AF117/100+AG117/100)*20/1000*2</f>
        <v>1.2328</v>
      </c>
      <c r="AZ117" s="352" t="n">
        <f aca="false">((AI117/100+AJ117/100)*20)/1000*2</f>
        <v>1.1188</v>
      </c>
      <c r="BA117" s="360" t="n">
        <f aca="false">SUM(AL117:AN117,AP117:AS117)</f>
        <v>153.778</v>
      </c>
      <c r="BB117" s="352" t="n">
        <f aca="false">SUM(AW117:AZ117)</f>
        <v>28.2192</v>
      </c>
      <c r="BC117" s="359" t="n">
        <f aca="false">SUM(AL117:AN117,AP117:AS117)</f>
        <v>153.778</v>
      </c>
      <c r="BD117" s="360" t="n">
        <f aca="false">SUM(AT117:AV117)</f>
        <v>715.35</v>
      </c>
      <c r="BE117" s="235" t="n">
        <f aca="false">$AZ$134+$BA$134</f>
        <v>14</v>
      </c>
      <c r="BF117" s="361" t="n">
        <f aca="false">$BC$134+$BD$134</f>
        <v>8</v>
      </c>
      <c r="BG117" s="352" t="n">
        <f aca="false">C117</f>
        <v>595</v>
      </c>
      <c r="BH117" s="352" t="n">
        <f aca="false">D117+15</f>
        <v>310</v>
      </c>
      <c r="BI117" s="362" t="n">
        <f aca="false">($AZ$134+$BA$134+$BC$134+$BD$134)*2</f>
        <v>44</v>
      </c>
    </row>
    <row r="118" customFormat="false" ht="15.75" hidden="false" customHeight="true" outlineLevel="0" collapsed="false">
      <c r="B118" s="205" t="s">
        <v>27</v>
      </c>
      <c r="C118" s="339" t="n">
        <v>732</v>
      </c>
      <c r="D118" s="339" t="n">
        <v>715</v>
      </c>
      <c r="E118" s="339" t="n">
        <v>745</v>
      </c>
      <c r="F118" s="339" t="n">
        <v>745</v>
      </c>
      <c r="G118" s="340" t="n">
        <f aca="false">технолог!U27</f>
        <v>1</v>
      </c>
      <c r="H118" s="354" t="n">
        <f aca="false">(E118+15)*(F118+15)*G118*$G$93/1000*(технолог!$I$27)</f>
        <v>1820.5952</v>
      </c>
      <c r="I118" s="324" t="n">
        <v>110</v>
      </c>
      <c r="J118" s="355" t="n">
        <f aca="false">I118+20</f>
        <v>130</v>
      </c>
      <c r="K118" s="339" t="n">
        <f aca="false">$H$99+10</f>
        <v>2410</v>
      </c>
      <c r="L118" s="339" t="n">
        <f aca="false">J118*K118*$D$78*$G$93/1000*4</f>
        <v>29.625648</v>
      </c>
      <c r="M118" s="355" t="n">
        <f aca="false">I118+10</f>
        <v>120</v>
      </c>
      <c r="N118" s="339" t="n">
        <f aca="false">$H$99+10</f>
        <v>2410</v>
      </c>
      <c r="O118" s="32" t="n">
        <f aca="false">M118*N118*$D$78*$G$93/1000*4</f>
        <v>27.346752</v>
      </c>
      <c r="P118" s="355" t="n">
        <f aca="false">C118+2*I118+10</f>
        <v>962</v>
      </c>
      <c r="Q118" s="339" t="n">
        <f aca="false">D118+15+2*I118+10</f>
        <v>960</v>
      </c>
      <c r="R118" s="339" t="n">
        <f aca="false">P118*Q118*$D$78*$G$93/1000*2</f>
        <v>43.6640256</v>
      </c>
      <c r="S118" s="31" t="n">
        <v>25</v>
      </c>
      <c r="T118" s="356" t="n">
        <f aca="false">S118+10</f>
        <v>35</v>
      </c>
      <c r="U118" s="323" t="n">
        <f aca="false">E125-49-49+6</f>
        <v>-92</v>
      </c>
      <c r="V118" s="357" t="e">
        <f aca="false">T118*U118*#REF!*D141/1000*8</f>
        <v>#REF!</v>
      </c>
      <c r="W118" s="323" t="n">
        <f aca="false">49+S118</f>
        <v>74</v>
      </c>
      <c r="X118" s="323" t="n">
        <f aca="false">C118+S118*2</f>
        <v>782</v>
      </c>
      <c r="Y118" s="357" t="n">
        <f aca="false">D118+S118*2</f>
        <v>765</v>
      </c>
      <c r="Z118" s="31" t="n">
        <f aca="false">S118+5</f>
        <v>30</v>
      </c>
      <c r="AA118" s="0" t="n">
        <f aca="false">($H$99+S118)*2+(C118+S118)*2</f>
        <v>6364</v>
      </c>
      <c r="AB118" s="32" t="n">
        <f aca="false">Z118*AA118*$D$78*$G$93/1000*2</f>
        <v>9.0266976</v>
      </c>
      <c r="AC118" s="31" t="n">
        <f aca="false">S118+5</f>
        <v>30</v>
      </c>
      <c r="AD118" s="0" t="n">
        <f aca="false">($H$99+S118)*2+(D118+15+S118)*2</f>
        <v>6360</v>
      </c>
      <c r="AE118" s="32" t="n">
        <f aca="false">AC118*AD118*$D$78*$G$93/1000*2</f>
        <v>9.021024</v>
      </c>
      <c r="AF118" s="31" t="n">
        <f aca="false">$H$99+S118+S118+3+10</f>
        <v>2463</v>
      </c>
      <c r="AG118" s="0" t="n">
        <f aca="false">C118+2*S118+10</f>
        <v>792</v>
      </c>
      <c r="AH118" s="32" t="n">
        <f aca="false">AF118*AG118*$C$78*$G$96/1000*2</f>
        <v>92.22890688</v>
      </c>
      <c r="AI118" s="31" t="n">
        <f aca="false">$H$99+S118+S118+3+10</f>
        <v>2463</v>
      </c>
      <c r="AJ118" s="0" t="n">
        <f aca="false">D118+15+2*S118+10</f>
        <v>790</v>
      </c>
      <c r="AK118" s="32" t="n">
        <f aca="false">AI118*AJ118*$C$78*$G$96/1000*2</f>
        <v>91.9960056</v>
      </c>
      <c r="AL118" s="352" t="n">
        <f aca="false">(технолог!$I$27/2*((5+6)*2+технолог!$T$27-0.5)+J118*2+K118)/1000*4</f>
        <v>31.88</v>
      </c>
      <c r="AM118" s="352" t="n">
        <f aca="false">(M118*2+N118*2)/1000*4</f>
        <v>20.24</v>
      </c>
      <c r="AN118" s="352" t="n">
        <f aca="false">(P118*2+Q118*2)/1000*2</f>
        <v>7.688</v>
      </c>
      <c r="AO118" s="358" t="n">
        <f aca="false">(S118*2+T118*2)/1000*8</f>
        <v>0.96</v>
      </c>
      <c r="AP118" s="352" t="n">
        <f aca="false">(AA118*2+S118*8)/1000*4</f>
        <v>51.712</v>
      </c>
      <c r="AQ118" s="352" t="n">
        <f aca="false">(AD118*2+S118*8)/1000*4</f>
        <v>51.68</v>
      </c>
      <c r="AR118" s="352" t="n">
        <f aca="false">((C118+20)*2+(50+I118)*2)/1000*($AO$105-1)</f>
        <v>0</v>
      </c>
      <c r="AS118" s="359" t="n">
        <f aca="false">((D118)*2+(50+I118)*2)/1000*($AS$105-1)</f>
        <v>8.75</v>
      </c>
      <c r="AT118" s="360" t="n">
        <f aca="false">(40*2+(C118+20)*2)/1000*($AO$105-1)</f>
        <v>0</v>
      </c>
      <c r="AU118" s="352" t="n">
        <f aca="false">(40*2+(D118*2))/1000*($AS$105-1)</f>
        <v>7.55</v>
      </c>
      <c r="AV118" s="359" t="n">
        <f aca="false">(C118*2+D118*2)*технолог!$I$27/1000</f>
        <v>1157.6</v>
      </c>
      <c r="AW118" s="360" t="n">
        <f aca="false">(AF118*2+AG118*2)*2/1000+AY118</f>
        <v>14.322</v>
      </c>
      <c r="AX118" s="359" t="n">
        <f aca="false">(AI118*2+AJ118*2)*2/1000+AZ118</f>
        <v>14.3132</v>
      </c>
      <c r="AY118" s="360" t="n">
        <f aca="false">(AF118/100+AG118/100)*20/1000*2</f>
        <v>1.302</v>
      </c>
      <c r="AZ118" s="352" t="n">
        <f aca="false">((AI118/100+AJ118/100)*20)/1000*2</f>
        <v>1.3012</v>
      </c>
      <c r="BA118" s="360" t="n">
        <f aca="false">SUM(AL118:AN118,AP118:AS118)</f>
        <v>171.95</v>
      </c>
      <c r="BB118" s="352" t="n">
        <f aca="false">SUM(AW118:AZ118)</f>
        <v>31.2384</v>
      </c>
      <c r="BC118" s="359" t="n">
        <f aca="false">SUM(AL118:AN118,AP118:AS118)</f>
        <v>171.95</v>
      </c>
      <c r="BD118" s="360" t="n">
        <f aca="false">SUM(AT118:AV118)</f>
        <v>1165.15</v>
      </c>
      <c r="BE118" s="235" t="n">
        <f aca="false">$AZ$134+$BA$134</f>
        <v>14</v>
      </c>
      <c r="BF118" s="361" t="n">
        <f aca="false">$BC$134+$BD$134</f>
        <v>8</v>
      </c>
      <c r="BG118" s="352" t="n">
        <f aca="false">C118</f>
        <v>732</v>
      </c>
      <c r="BH118" s="352" t="n">
        <f aca="false">D118+15</f>
        <v>730</v>
      </c>
      <c r="BI118" s="362" t="n">
        <f aca="false">($AZ$134+$BA$134+$BC$134+$BD$134)*2</f>
        <v>44</v>
      </c>
    </row>
    <row r="119" customFormat="false" ht="15.75" hidden="false" customHeight="true" outlineLevel="0" collapsed="false">
      <c r="B119" s="205" t="s">
        <v>239</v>
      </c>
      <c r="C119" s="339" t="n">
        <v>980</v>
      </c>
      <c r="D119" s="339" t="n">
        <v>480</v>
      </c>
      <c r="E119" s="339" t="n">
        <v>1000</v>
      </c>
      <c r="F119" s="339" t="n">
        <v>500</v>
      </c>
      <c r="G119" s="340" t="n">
        <f aca="false">технолог!U27</f>
        <v>1</v>
      </c>
      <c r="H119" s="354" t="n">
        <f aca="false">(E119+15)*(F119+15)*G119*$G$93/1000*(технолог!$I$27)</f>
        <v>1647.6292</v>
      </c>
      <c r="I119" s="324" t="n">
        <v>70</v>
      </c>
      <c r="J119" s="355" t="n">
        <f aca="false">I119+20</f>
        <v>90</v>
      </c>
      <c r="K119" s="339" t="n">
        <f aca="false">$H$99+10</f>
        <v>2410</v>
      </c>
      <c r="L119" s="339" t="n">
        <f aca="false">J119*K119*$D$78*$G$93/1000*4</f>
        <v>20.510064</v>
      </c>
      <c r="M119" s="355" t="n">
        <f aca="false">I119+10</f>
        <v>80</v>
      </c>
      <c r="N119" s="339" t="n">
        <f aca="false">$H$99+10</f>
        <v>2410</v>
      </c>
      <c r="O119" s="32" t="n">
        <f aca="false">M119*N119*$D$78*$G$93/1000*4</f>
        <v>18.231168</v>
      </c>
      <c r="P119" s="355" t="n">
        <f aca="false">C119+2*I119+10</f>
        <v>1130</v>
      </c>
      <c r="Q119" s="339" t="n">
        <f aca="false">D119+15+2*I119+10</f>
        <v>645</v>
      </c>
      <c r="R119" s="339" t="n">
        <f aca="false">P119*Q119*$D$78*$G$93/1000*2</f>
        <v>34.460028</v>
      </c>
      <c r="S119" s="31" t="n">
        <v>16</v>
      </c>
      <c r="T119" s="356" t="n">
        <f aca="false">S119+10</f>
        <v>26</v>
      </c>
      <c r="U119" s="323" t="n">
        <f aca="false">E125-49-49+6</f>
        <v>-92</v>
      </c>
      <c r="V119" s="357" t="e">
        <f aca="false">T119*U119*#REF!*D141/1000*8</f>
        <v>#REF!</v>
      </c>
      <c r="W119" s="323" t="n">
        <f aca="false">49+S119</f>
        <v>65</v>
      </c>
      <c r="X119" s="323" t="n">
        <f aca="false">C119+S119*2</f>
        <v>1012</v>
      </c>
      <c r="Y119" s="357" t="n">
        <f aca="false">D119+S119*2</f>
        <v>512</v>
      </c>
      <c r="Z119" s="31" t="n">
        <f aca="false">S119+5</f>
        <v>21</v>
      </c>
      <c r="AA119" s="0" t="n">
        <f aca="false">($H$99+S119)*2+(C119+S119)*2</f>
        <v>6824</v>
      </c>
      <c r="AB119" s="32" t="n">
        <f aca="false">Z119*AA119*$D$78*$G$93/1000*2</f>
        <v>6.77541312</v>
      </c>
      <c r="AC119" s="31" t="n">
        <f aca="false">S119+5</f>
        <v>21</v>
      </c>
      <c r="AD119" s="0" t="n">
        <f aca="false">($H$99+S119)*2+(D119+15+S119)*2</f>
        <v>5854</v>
      </c>
      <c r="AE119" s="32" t="n">
        <f aca="false">AC119*AD119*$D$78*$G$93/1000*2</f>
        <v>5.81231952</v>
      </c>
      <c r="AF119" s="31" t="n">
        <f aca="false">$H$99+S119+S119+3+10</f>
        <v>2445</v>
      </c>
      <c r="AG119" s="0" t="n">
        <f aca="false">C119+2*S119+10</f>
        <v>1022</v>
      </c>
      <c r="AH119" s="32" t="n">
        <f aca="false">AF119*AG119*$C$78*$G$96/1000*2</f>
        <v>118.1427912</v>
      </c>
      <c r="AI119" s="31" t="n">
        <f aca="false">$H$99+S119+S119+3+10</f>
        <v>2445</v>
      </c>
      <c r="AJ119" s="0" t="n">
        <f aca="false">D119+15+2*S119+10</f>
        <v>537</v>
      </c>
      <c r="AK119" s="32" t="n">
        <f aca="false">AI119*AJ119*$C$78*$G$96/1000*2</f>
        <v>62.0769852</v>
      </c>
      <c r="AL119" s="352" t="n">
        <f aca="false">(технолог!$I$27/2*((5+6)*2+технолог!$T$27-0.5)+J119*2+K119)/1000*4</f>
        <v>31.56</v>
      </c>
      <c r="AM119" s="352" t="n">
        <f aca="false">(M119*2+N119*2)/1000*4</f>
        <v>19.92</v>
      </c>
      <c r="AN119" s="352" t="n">
        <f aca="false">(P119*2+Q119*2)/1000*2</f>
        <v>7.1</v>
      </c>
      <c r="AO119" s="358" t="n">
        <f aca="false">(S119*2+T119*2)/1000*8</f>
        <v>0.672</v>
      </c>
      <c r="AP119" s="352" t="n">
        <f aca="false">(AA119*2+S119*8)/1000*4</f>
        <v>55.104</v>
      </c>
      <c r="AQ119" s="352" t="n">
        <f aca="false">(AD119*2+S119*8)/1000*4</f>
        <v>47.344</v>
      </c>
      <c r="AR119" s="352" t="n">
        <f aca="false">((C119+20)*2+(50+I119)*2)/1000*($AO$105-1)</f>
        <v>0</v>
      </c>
      <c r="AS119" s="359" t="n">
        <f aca="false">((D119)*2+(50+I119)*2)/1000*($AS$105-1)</f>
        <v>6</v>
      </c>
      <c r="AT119" s="360" t="n">
        <f aca="false">(40*2+(C119+20)*2)/1000*($AO$105-1)</f>
        <v>0</v>
      </c>
      <c r="AU119" s="352" t="n">
        <f aca="false">(40*2+(D119*2))/1000*($AS$105-1)</f>
        <v>5.2</v>
      </c>
      <c r="AV119" s="359" t="n">
        <f aca="false">(C119*2+D119*2)*технолог!$I$27/1000</f>
        <v>1168</v>
      </c>
      <c r="AW119" s="360" t="n">
        <f aca="false">(AF119*2+AG119*2)*2/1000+AY119</f>
        <v>15.2548</v>
      </c>
      <c r="AX119" s="359" t="n">
        <f aca="false">(AI119*2+AJ119*2)*2/1000+AZ119</f>
        <v>13.1208</v>
      </c>
      <c r="AY119" s="360" t="n">
        <f aca="false">(AF119/100+AG119/100)*20/1000*2</f>
        <v>1.3868</v>
      </c>
      <c r="AZ119" s="352" t="n">
        <f aca="false">((AI119/100+AJ119/100)*20)/1000*2</f>
        <v>1.1928</v>
      </c>
      <c r="BA119" s="360" t="n">
        <f aca="false">SUM(AL119:AN119,AP119:AS119)</f>
        <v>167.028</v>
      </c>
      <c r="BB119" s="352" t="n">
        <f aca="false">SUM(AW119:AZ119)</f>
        <v>30.9552</v>
      </c>
      <c r="BC119" s="359" t="n">
        <f aca="false">SUM(AL119:AN119,AP119:AS119)</f>
        <v>167.028</v>
      </c>
      <c r="BD119" s="360" t="n">
        <f aca="false">SUM(AT119:AV119)</f>
        <v>1173.2</v>
      </c>
      <c r="BE119" s="235" t="n">
        <f aca="false">$AZ$134+$BA$134</f>
        <v>14</v>
      </c>
      <c r="BF119" s="361" t="n">
        <f aca="false">$BC$134+$BD$134</f>
        <v>8</v>
      </c>
      <c r="BG119" s="352" t="n">
        <f aca="false">C119</f>
        <v>980</v>
      </c>
      <c r="BH119" s="352" t="n">
        <f aca="false">D119+15</f>
        <v>495</v>
      </c>
      <c r="BI119" s="362" t="n">
        <f aca="false">($AZ$134+$BA$134+$BC$134+$BD$134)*2</f>
        <v>44</v>
      </c>
    </row>
    <row r="120" customFormat="false" ht="15.75" hidden="false" customHeight="true" outlineLevel="0" collapsed="false">
      <c r="B120" s="205" t="s">
        <v>235</v>
      </c>
      <c r="C120" s="339" t="n">
        <v>980</v>
      </c>
      <c r="D120" s="339" t="n">
        <v>965</v>
      </c>
      <c r="E120" s="339" t="n">
        <v>1000</v>
      </c>
      <c r="F120" s="339" t="n">
        <v>1000</v>
      </c>
      <c r="G120" s="340" t="n">
        <f aca="false">технолог!U27</f>
        <v>1</v>
      </c>
      <c r="H120" s="354" t="n">
        <f aca="false">(E120+15)*(F120+15)*G120*$G$93/1000*(технолог!$I$27)</f>
        <v>3247.2692</v>
      </c>
      <c r="I120" s="324" t="n">
        <v>130</v>
      </c>
      <c r="J120" s="355" t="n">
        <f aca="false">I120+20</f>
        <v>150</v>
      </c>
      <c r="K120" s="339" t="n">
        <f aca="false">$H$99+10</f>
        <v>2410</v>
      </c>
      <c r="L120" s="339" t="n">
        <f aca="false">J120*K120*$D$78*$G$93/1000*4</f>
        <v>34.18344</v>
      </c>
      <c r="M120" s="355" t="n">
        <f aca="false">I120+10</f>
        <v>140</v>
      </c>
      <c r="N120" s="339" t="n">
        <f aca="false">$H$99+10</f>
        <v>2410</v>
      </c>
      <c r="O120" s="32" t="n">
        <f aca="false">M120*N120*$D$78*$G$93/1000*4</f>
        <v>31.904544</v>
      </c>
      <c r="P120" s="355" t="n">
        <f aca="false">C120+2*I120+10</f>
        <v>1250</v>
      </c>
      <c r="Q120" s="339" t="n">
        <f aca="false">D120+15+2*I120+10</f>
        <v>1250</v>
      </c>
      <c r="R120" s="339" t="n">
        <f aca="false">P120*Q120*$D$78*$G$93/1000*2</f>
        <v>73.875</v>
      </c>
      <c r="S120" s="31" t="n">
        <v>30</v>
      </c>
      <c r="T120" s="356" t="n">
        <f aca="false">S120+10</f>
        <v>40</v>
      </c>
      <c r="U120" s="323"/>
      <c r="V120" s="357"/>
      <c r="W120" s="323" t="n">
        <f aca="false">49+S120</f>
        <v>79</v>
      </c>
      <c r="X120" s="323" t="n">
        <f aca="false">C120+S120*2</f>
        <v>1040</v>
      </c>
      <c r="Y120" s="357" t="n">
        <f aca="false">D120+S120*2</f>
        <v>1025</v>
      </c>
      <c r="Z120" s="31" t="n">
        <f aca="false">S120+5</f>
        <v>35</v>
      </c>
      <c r="AA120" s="0" t="n">
        <f aca="false">($H$99+S120)*2+(C120+S120)*2</f>
        <v>6880</v>
      </c>
      <c r="AB120" s="32" t="n">
        <f aca="false">Z120*AA120*$D$78*$G$93/1000*2</f>
        <v>11.385024</v>
      </c>
      <c r="AC120" s="31" t="n">
        <f aca="false">S120+5</f>
        <v>35</v>
      </c>
      <c r="AD120" s="0" t="n">
        <f aca="false">($H$99+S120)*2+(D120+15+S120)*2</f>
        <v>6880</v>
      </c>
      <c r="AE120" s="32" t="n">
        <f aca="false">AC120*AD120*$D$78*$G$93/1000*2</f>
        <v>11.385024</v>
      </c>
      <c r="AF120" s="31" t="n">
        <f aca="false">$H$99+S120+S120+3+10</f>
        <v>2473</v>
      </c>
      <c r="AG120" s="0" t="n">
        <f aca="false">C120+2*S120+10</f>
        <v>1050</v>
      </c>
      <c r="AH120" s="32" t="n">
        <f aca="false">AF120*AG120*$C$78*$G$96/1000*2</f>
        <v>122.769612</v>
      </c>
      <c r="AI120" s="31" t="n">
        <f aca="false">$H$99+S120+S120+3+10</f>
        <v>2473</v>
      </c>
      <c r="AJ120" s="0" t="n">
        <f aca="false">D120+15+2*S120+10</f>
        <v>1050</v>
      </c>
      <c r="AK120" s="32" t="n">
        <f aca="false">AI120*AJ120*$C$78*$G$96/1000*2</f>
        <v>122.769612</v>
      </c>
      <c r="AL120" s="352" t="n">
        <f aca="false">(технолог!$I$27/2*((5+6)*2+технолог!$T$27-0.5)+J120*2+K120)/1000*4</f>
        <v>32.04</v>
      </c>
      <c r="AM120" s="352" t="n">
        <f aca="false">(M120*2+N120*2)/1000*4</f>
        <v>20.4</v>
      </c>
      <c r="AN120" s="352" t="n">
        <f aca="false">(P120*2+Q120*2)/1000*2</f>
        <v>10</v>
      </c>
      <c r="AO120" s="358" t="n">
        <f aca="false">(S120*2+T120*2)/1000*8</f>
        <v>1.12</v>
      </c>
      <c r="AP120" s="352" t="n">
        <f aca="false">(AA120*2+S120*8)/1000*4</f>
        <v>56</v>
      </c>
      <c r="AQ120" s="352" t="n">
        <f aca="false">(AD120*2+S120*8)/1000*4</f>
        <v>56</v>
      </c>
      <c r="AR120" s="352" t="n">
        <f aca="false">((C120+20)*2+(50+I120)*2)/1000*($AO$105-1)</f>
        <v>0</v>
      </c>
      <c r="AS120" s="359" t="n">
        <f aca="false">((D120)*2+(50+I120)*2)/1000*($AS$105-1)</f>
        <v>11.45</v>
      </c>
      <c r="AT120" s="360" t="n">
        <f aca="false">(40*2+(C120+20)*2)/1000*($AO$105-1)</f>
        <v>0</v>
      </c>
      <c r="AU120" s="352" t="n">
        <f aca="false">(40*2+(D120*2))/1000*($AS$105-1)</f>
        <v>10.05</v>
      </c>
      <c r="AV120" s="359" t="n">
        <f aca="false">(C120*2+D120*2)*технолог!$I$27/1000</f>
        <v>1556</v>
      </c>
      <c r="AW120" s="360" t="n">
        <f aca="false">(AF120*2+AG120*2)*2/1000+AY120</f>
        <v>15.5012</v>
      </c>
      <c r="AX120" s="359" t="n">
        <f aca="false">(AI120*2+AJ120*2)*2/1000+AZ120</f>
        <v>15.5012</v>
      </c>
      <c r="AY120" s="360" t="n">
        <f aca="false">(AF120/100+AG120/100)*20/1000*2</f>
        <v>1.4092</v>
      </c>
      <c r="AZ120" s="352" t="n">
        <f aca="false">((AI120/100+AJ120/100)*20)/1000*2</f>
        <v>1.4092</v>
      </c>
      <c r="BA120" s="360" t="n">
        <f aca="false">SUM(AL120:AN120,AP120:AS120)</f>
        <v>185.89</v>
      </c>
      <c r="BB120" s="352" t="n">
        <f aca="false">SUM(AW120:AZ120)</f>
        <v>33.8208</v>
      </c>
      <c r="BC120" s="359" t="n">
        <f aca="false">SUM(AL120:AN120,AP120:AS120)</f>
        <v>185.89</v>
      </c>
      <c r="BD120" s="360" t="n">
        <f aca="false">SUM(AT120:AV120)</f>
        <v>1566.05</v>
      </c>
      <c r="BE120" s="235" t="n">
        <f aca="false">$AZ$134+$BA$134</f>
        <v>14</v>
      </c>
      <c r="BF120" s="361" t="n">
        <f aca="false">$BC$134+$BD$134</f>
        <v>8</v>
      </c>
      <c r="BG120" s="352" t="n">
        <f aca="false">C120</f>
        <v>980</v>
      </c>
      <c r="BH120" s="352" t="n">
        <f aca="false">D120+15</f>
        <v>980</v>
      </c>
      <c r="BI120" s="362" t="n">
        <f aca="false">($AZ$134+$BA$134+$BC$134+$BD$134)*2</f>
        <v>44</v>
      </c>
    </row>
    <row r="121" customFormat="false" ht="15.75" hidden="false" customHeight="true" outlineLevel="0" collapsed="false">
      <c r="B121" s="205" t="s">
        <v>244</v>
      </c>
      <c r="C121" s="339" t="n">
        <v>1180</v>
      </c>
      <c r="D121" s="339" t="n">
        <v>1160</v>
      </c>
      <c r="E121" s="339" t="n">
        <v>1250</v>
      </c>
      <c r="F121" s="339" t="n">
        <v>1200</v>
      </c>
      <c r="G121" s="340" t="n">
        <f aca="false">технолог!U27</f>
        <v>1</v>
      </c>
      <c r="H121" s="354" t="n">
        <f aca="false">(E121+15)*(F121+15)*G121*$G$93/1000*(технолог!$I$27)</f>
        <v>4844.5452</v>
      </c>
      <c r="I121" s="324" t="n">
        <v>180</v>
      </c>
      <c r="J121" s="355" t="n">
        <f aca="false">I121+20</f>
        <v>200</v>
      </c>
      <c r="K121" s="339" t="n">
        <f aca="false">$H$99+10</f>
        <v>2410</v>
      </c>
      <c r="L121" s="339" t="n">
        <f aca="false">J121*K121*$D$78*$G$93/1000*4</f>
        <v>45.57792</v>
      </c>
      <c r="M121" s="355" t="n">
        <f aca="false">I121+10</f>
        <v>190</v>
      </c>
      <c r="N121" s="339" t="n">
        <f aca="false">$H$99+10</f>
        <v>2410</v>
      </c>
      <c r="O121" s="32" t="n">
        <f aca="false">M121*N121*$D$78*$G$93/1000*4</f>
        <v>43.299024</v>
      </c>
      <c r="P121" s="355" t="n">
        <f aca="false">C121+2*I121+10</f>
        <v>1550</v>
      </c>
      <c r="Q121" s="339" t="n">
        <f aca="false">D121+15+2*I121+10</f>
        <v>1545</v>
      </c>
      <c r="R121" s="339" t="n">
        <f aca="false">P121*Q121*$D$78*$G$93/1000*2</f>
        <v>113.22378</v>
      </c>
      <c r="S121" s="31" t="n">
        <v>35</v>
      </c>
      <c r="T121" s="356" t="n">
        <f aca="false">S121+10</f>
        <v>45</v>
      </c>
      <c r="U121" s="323" t="n">
        <f aca="false">E125-49-49+6</f>
        <v>-92</v>
      </c>
      <c r="V121" s="357" t="e">
        <f aca="false">T121*U121*#REF!*$F$181/1000*8</f>
        <v>#REF!</v>
      </c>
      <c r="W121" s="323" t="n">
        <f aca="false">49+S121</f>
        <v>84</v>
      </c>
      <c r="X121" s="323" t="n">
        <f aca="false">C121+S121*2</f>
        <v>1250</v>
      </c>
      <c r="Y121" s="357" t="n">
        <f aca="false">D121+S121*2</f>
        <v>1230</v>
      </c>
      <c r="Z121" s="31" t="n">
        <f aca="false">S121+5</f>
        <v>40</v>
      </c>
      <c r="AA121" s="0" t="n">
        <f aca="false">($H$99+S121)*2+(C121+S121)*2</f>
        <v>7300</v>
      </c>
      <c r="AB121" s="32" t="n">
        <f aca="false">Z121*AA121*$D$78*$G$93/1000*2</f>
        <v>13.80576</v>
      </c>
      <c r="AC121" s="31" t="n">
        <f aca="false">S121+5</f>
        <v>40</v>
      </c>
      <c r="AD121" s="0" t="n">
        <f aca="false">($H$99+S121)*2+(D121+15+S121)*2</f>
        <v>7290</v>
      </c>
      <c r="AE121" s="32" t="n">
        <f aca="false">AC121*AD121*$D$78*$G$93/1000*2</f>
        <v>13.786848</v>
      </c>
      <c r="AF121" s="31" t="n">
        <f aca="false">$H$99+S121+S121+3+10</f>
        <v>2483</v>
      </c>
      <c r="AG121" s="0" t="n">
        <f aca="false">C121+2*S121+10</f>
        <v>1260</v>
      </c>
      <c r="AH121" s="32" t="n">
        <f aca="false">AF121*AG121*$C$78*$G$96/1000*2</f>
        <v>147.9192624</v>
      </c>
      <c r="AI121" s="31" t="n">
        <f aca="false">$H$99+S121+S121+3+10</f>
        <v>2483</v>
      </c>
      <c r="AJ121" s="0" t="n">
        <f aca="false">D121+15+2*S121+10</f>
        <v>1255</v>
      </c>
      <c r="AK121" s="32" t="n">
        <f aca="false">AI121*AJ121*$C$78*$G$96/1000*2</f>
        <v>147.3322812</v>
      </c>
      <c r="AL121" s="352" t="n">
        <f aca="false">(технолог!$I$27/2*((5+6)*2+технолог!$T$27-0.5)+J121*2+K121)/1000*4</f>
        <v>32.44</v>
      </c>
      <c r="AM121" s="352" t="n">
        <f aca="false">(M121*2+N121*2)/1000*4</f>
        <v>20.8</v>
      </c>
      <c r="AN121" s="352" t="n">
        <f aca="false">(P121*2+Q121*2)/1000*2</f>
        <v>12.38</v>
      </c>
      <c r="AO121" s="358" t="n">
        <f aca="false">(S121*2+T121*2)/1000*8</f>
        <v>1.28</v>
      </c>
      <c r="AP121" s="352" t="n">
        <f aca="false">(AA121*2+S121*8)/1000*4</f>
        <v>59.52</v>
      </c>
      <c r="AQ121" s="352" t="n">
        <f aca="false">(AD121*2+S121*8)/1000*4</f>
        <v>59.44</v>
      </c>
      <c r="AR121" s="352" t="n">
        <f aca="false">((C121+20)*2+(50+I121)*2)/1000*($AO$105-1)</f>
        <v>0</v>
      </c>
      <c r="AS121" s="359" t="n">
        <f aca="false">((D121)*2+(50+I121)*2)/1000*($AS$105-1)</f>
        <v>13.9</v>
      </c>
      <c r="AT121" s="360" t="n">
        <f aca="false">(40*2+(C121+20)*2)/1000*($AO$105-1)</f>
        <v>0</v>
      </c>
      <c r="AU121" s="352" t="n">
        <f aca="false">(40*2+(D121*2))/1000*($AS$105-1)</f>
        <v>12</v>
      </c>
      <c r="AV121" s="359" t="n">
        <f aca="false">(C121*2+D121*2)*технолог!$I$27/1000</f>
        <v>1872</v>
      </c>
      <c r="AW121" s="360" t="n">
        <f aca="false">(AF121*2+AG121*2)*2/1000+AY121</f>
        <v>16.4692</v>
      </c>
      <c r="AX121" s="359" t="n">
        <f aca="false">(AI121*2+AJ121*2)*2/1000+AZ121</f>
        <v>16.4472</v>
      </c>
      <c r="AY121" s="360" t="n">
        <f aca="false">(AF121/100+AG121/100)*20/1000*2</f>
        <v>1.4972</v>
      </c>
      <c r="AZ121" s="352" t="n">
        <f aca="false">((AI121/100+AJ121/100)*20)/1000*2</f>
        <v>1.4952</v>
      </c>
      <c r="BA121" s="360" t="n">
        <f aca="false">SUM(AL121:AN121,AP121:AS121)</f>
        <v>198.48</v>
      </c>
      <c r="BB121" s="352" t="n">
        <f aca="false">SUM(AW121:AZ121)</f>
        <v>35.9088</v>
      </c>
      <c r="BC121" s="359" t="n">
        <f aca="false">SUM(AL121:AN121,AP121:AS121)</f>
        <v>198.48</v>
      </c>
      <c r="BD121" s="360" t="n">
        <f aca="false">SUM(AT121:AV121)</f>
        <v>1884</v>
      </c>
      <c r="BE121" s="235" t="n">
        <f aca="false">$AZ$134+$BA$134</f>
        <v>14</v>
      </c>
      <c r="BF121" s="361" t="n">
        <f aca="false">$BC$134+$BD$134</f>
        <v>8</v>
      </c>
      <c r="BG121" s="352" t="n">
        <f aca="false">C121</f>
        <v>1180</v>
      </c>
      <c r="BH121" s="352" t="n">
        <f aca="false">D121+15</f>
        <v>1175</v>
      </c>
      <c r="BI121" s="362" t="n">
        <f aca="false">($AZ$134+$BA$134+$BC$134+$BD$134)*2</f>
        <v>44</v>
      </c>
    </row>
    <row r="122" customFormat="false" ht="15.75" hidden="false" customHeight="true" outlineLevel="0" collapsed="false">
      <c r="B122" s="363" t="s">
        <v>247</v>
      </c>
      <c r="C122" s="364" t="n">
        <v>1180</v>
      </c>
      <c r="D122" s="364" t="n">
        <v>595</v>
      </c>
      <c r="E122" s="364" t="n">
        <v>1250</v>
      </c>
      <c r="F122" s="364" t="n">
        <v>620</v>
      </c>
      <c r="G122" s="365" t="n">
        <f aca="false">технолог!U27</f>
        <v>1</v>
      </c>
      <c r="H122" s="366" t="n">
        <f aca="false">(E122+15)*(F122+15)*G122*$G$93/1000*(технолог!$I$27)</f>
        <v>2531.9228</v>
      </c>
      <c r="I122" s="324" t="n">
        <v>180</v>
      </c>
      <c r="J122" s="367" t="n">
        <f aca="false">I122+20</f>
        <v>200</v>
      </c>
      <c r="K122" s="364" t="n">
        <f aca="false">$H$99+10</f>
        <v>2410</v>
      </c>
      <c r="L122" s="364" t="n">
        <f aca="false">J122*K122*$D$78*$G$93/1000*4</f>
        <v>45.57792</v>
      </c>
      <c r="M122" s="367" t="n">
        <f aca="false">I122+10</f>
        <v>190</v>
      </c>
      <c r="N122" s="364" t="n">
        <f aca="false">$H$99+10</f>
        <v>2410</v>
      </c>
      <c r="O122" s="55" t="n">
        <f aca="false">M122*N122*$D$78*$G$93/1000*4</f>
        <v>43.299024</v>
      </c>
      <c r="P122" s="367" t="n">
        <f aca="false">C122+2*I122+10</f>
        <v>1550</v>
      </c>
      <c r="Q122" s="364" t="n">
        <f aca="false">D122+15+2*I122+10</f>
        <v>980</v>
      </c>
      <c r="R122" s="364" t="n">
        <f aca="false">P122*Q122*$D$78*$G$93/1000*2</f>
        <v>71.81832</v>
      </c>
      <c r="S122" s="53" t="n">
        <v>35</v>
      </c>
      <c r="T122" s="368" t="n">
        <f aca="false">S122+10</f>
        <v>45</v>
      </c>
      <c r="U122" s="369" t="n">
        <f aca="false">E125-49-49+6</f>
        <v>-92</v>
      </c>
      <c r="V122" s="370" t="e">
        <f aca="false">T122*U122*#REF!*D141/1000*8</f>
        <v>#REF!</v>
      </c>
      <c r="W122" s="369" t="n">
        <f aca="false">49+S122</f>
        <v>84</v>
      </c>
      <c r="X122" s="369" t="n">
        <f aca="false">C122+S122*2</f>
        <v>1250</v>
      </c>
      <c r="Y122" s="370" t="n">
        <f aca="false">D122+S122*2</f>
        <v>665</v>
      </c>
      <c r="Z122" s="53" t="n">
        <f aca="false">S122+5</f>
        <v>40</v>
      </c>
      <c r="AA122" s="54" t="n">
        <f aca="false">($H$99+S122)*2+(C122+S122)*2</f>
        <v>7300</v>
      </c>
      <c r="AB122" s="55" t="n">
        <f aca="false">Z122*AA122*$D$78*$G$93/1000*2</f>
        <v>13.80576</v>
      </c>
      <c r="AC122" s="53" t="n">
        <f aca="false">S122+5</f>
        <v>40</v>
      </c>
      <c r="AD122" s="54" t="n">
        <f aca="false">($H$99+S122)*2+(D122+15+S122)*2</f>
        <v>6160</v>
      </c>
      <c r="AE122" s="55" t="n">
        <f aca="false">AC122*AD122*$D$78*$G$93/1000*2</f>
        <v>11.649792</v>
      </c>
      <c r="AF122" s="53" t="n">
        <f aca="false">$H$99+S122+S122+3+10</f>
        <v>2483</v>
      </c>
      <c r="AG122" s="54" t="n">
        <f aca="false">C122+2*S122+10</f>
        <v>1260</v>
      </c>
      <c r="AH122" s="55" t="n">
        <f aca="false">AF122*AG122*$C$78*$G$96/1000*2</f>
        <v>147.9192624</v>
      </c>
      <c r="AI122" s="53" t="n">
        <f aca="false">$H$99+S122+S122+3+10</f>
        <v>2483</v>
      </c>
      <c r="AJ122" s="54" t="n">
        <f aca="false">D122+15+2*S122+10</f>
        <v>690</v>
      </c>
      <c r="AK122" s="55" t="n">
        <f aca="false">AI122*AJ122*$C$78*$G$96/1000*2</f>
        <v>81.0034056</v>
      </c>
      <c r="AL122" s="371" t="n">
        <f aca="false">(технолог!$I$27/2*((5+6)*2+технолог!$T$27-0.5)+J122*2+K122)/1000*4</f>
        <v>32.44</v>
      </c>
      <c r="AM122" s="371" t="n">
        <f aca="false">(M122*2+N122*2)/1000*4</f>
        <v>20.8</v>
      </c>
      <c r="AN122" s="371" t="n">
        <f aca="false">(P122*2+Q122*2)/1000*2</f>
        <v>10.12</v>
      </c>
      <c r="AO122" s="369"/>
      <c r="AP122" s="371" t="n">
        <f aca="false">(AA122*2+S122*8)/1000*4</f>
        <v>59.52</v>
      </c>
      <c r="AQ122" s="371" t="n">
        <f aca="false">(AD122*2+S122*8)/1000*4</f>
        <v>50.4</v>
      </c>
      <c r="AR122" s="371" t="n">
        <f aca="false">((C122+20)*2+(50+I122)*2)/1000*($AO$105-1)</f>
        <v>0</v>
      </c>
      <c r="AS122" s="372" t="n">
        <f aca="false">((D122)*2+(50+I122)*2)/1000*($AS$105-1)</f>
        <v>8.25</v>
      </c>
      <c r="AT122" s="373" t="n">
        <f aca="false">(40*2+(C122+20)*2)/1000*($AO$105-1)</f>
        <v>0</v>
      </c>
      <c r="AU122" s="371" t="n">
        <f aca="false">(40*2+(D122*2))/1000*($AS$105-1)</f>
        <v>6.35</v>
      </c>
      <c r="AV122" s="372" t="n">
        <f aca="false">(C122*2+D122*2)*технолог!$I$27/1000</f>
        <v>1420</v>
      </c>
      <c r="AW122" s="373" t="n">
        <f aca="false">(AF122*2+AG122*2)*2/1000+AY122</f>
        <v>16.4692</v>
      </c>
      <c r="AX122" s="372" t="n">
        <f aca="false">(AI122*2+AJ122*2)*2/1000+AZ122</f>
        <v>13.9612</v>
      </c>
      <c r="AY122" s="373" t="n">
        <f aca="false">(AF122/100+AG122/100)*20/1000*2</f>
        <v>1.4972</v>
      </c>
      <c r="AZ122" s="371" t="n">
        <f aca="false">((AI122/100+AJ122/100)*20)/1000*2</f>
        <v>1.2692</v>
      </c>
      <c r="BA122" s="373" t="n">
        <f aca="false">SUM(AL122:AN122,AP122:AS122)</f>
        <v>181.53</v>
      </c>
      <c r="BB122" s="371" t="n">
        <f aca="false">SUM(AW122:AZ122)</f>
        <v>33.1968</v>
      </c>
      <c r="BC122" s="372" t="n">
        <f aca="false">SUM(AL122:AN122,AP122:AS122)</f>
        <v>181.53</v>
      </c>
      <c r="BD122" s="373" t="n">
        <f aca="false">SUM(AT122:AV122)</f>
        <v>1426.35</v>
      </c>
      <c r="BE122" s="374" t="n">
        <f aca="false">$AZ$134+$BA$134</f>
        <v>14</v>
      </c>
      <c r="BF122" s="375" t="n">
        <f aca="false">$BC$134+$BD$134</f>
        <v>8</v>
      </c>
      <c r="BG122" s="371" t="n">
        <f aca="false">C122</f>
        <v>1180</v>
      </c>
      <c r="BH122" s="371" t="n">
        <f aca="false">D122+15</f>
        <v>610</v>
      </c>
      <c r="BI122" s="376" t="n">
        <f aca="false">($AZ$134+$BA$134+$BC$134+$BD$134)*2</f>
        <v>44</v>
      </c>
    </row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>
      <c r="D127" s="377"/>
    </row>
    <row r="128" customFormat="false" ht="15.75" hidden="false" customHeight="true" outlineLevel="0" collapsed="false">
      <c r="D128" s="377"/>
      <c r="AZ128" s="378" t="s">
        <v>349</v>
      </c>
      <c r="BA128" s="378"/>
      <c r="BB128" s="339"/>
      <c r="BF128" s="0" t="s">
        <v>350</v>
      </c>
    </row>
    <row r="129" customFormat="false" ht="13.8" hidden="false" customHeight="false" outlineLevel="0" collapsed="false">
      <c r="D129" s="377"/>
      <c r="AW129" s="28"/>
      <c r="AX129" s="29"/>
      <c r="AY129" s="29"/>
      <c r="AZ129" s="29" t="s">
        <v>351</v>
      </c>
      <c r="BA129" s="29" t="s">
        <v>352</v>
      </c>
      <c r="BB129" s="29"/>
      <c r="BC129" s="29" t="s">
        <v>353</v>
      </c>
      <c r="BD129" s="30" t="s">
        <v>354</v>
      </c>
      <c r="BF129" s="0" t="n">
        <v>280</v>
      </c>
    </row>
    <row r="130" customFormat="false" ht="15.75" hidden="false" customHeight="true" outlineLevel="0" collapsed="false">
      <c r="D130" s="377"/>
      <c r="AW130" s="31" t="s">
        <v>355</v>
      </c>
      <c r="AZ130" s="0" t="n">
        <f aca="false">ROUNDDOWN(IF($H$99&lt;=$BF$129,0,(ROUND($H$99/$BF$129,0))),0)</f>
        <v>9</v>
      </c>
      <c r="BA130" s="0" t="n">
        <f aca="false">ROUNDDOWN(IF(H99&lt;=$BF$129,0,(ROUND(H99/$BF$129,0))),0)</f>
        <v>9</v>
      </c>
      <c r="BC130" s="0" t="n">
        <f aca="false">ROUNDDOWN(IF(H99&lt;=$BF$129,0,(ROUND(H99/$BF$129,0))),0)</f>
        <v>9</v>
      </c>
      <c r="BD130" s="32" t="n">
        <f aca="false">ROUNDDOWN(IF(H99&lt;=$BF$129,0,(ROUND(H99/$BF$129,0))),0)</f>
        <v>9</v>
      </c>
    </row>
    <row r="131" customFormat="false" ht="15.75" hidden="false" customHeight="true" outlineLevel="0" collapsed="false">
      <c r="D131" s="379"/>
      <c r="AW131" s="31" t="s">
        <v>356</v>
      </c>
      <c r="AZ131" s="324" t="n">
        <f aca="false">IF(H99/(AZ130+1)&lt;$BF$129,AZ130-1,AZ130)</f>
        <v>8</v>
      </c>
      <c r="BA131" s="325" t="n">
        <f aca="false">IF(H99/(BA130+1)&lt;$BF$129,BA130-1,BA130)</f>
        <v>8</v>
      </c>
      <c r="BB131" s="325"/>
      <c r="BC131" s="325" t="n">
        <f aca="false">IF(H99/(BC130+1)&lt;$BF$129,BC130-1,BC130)</f>
        <v>8</v>
      </c>
      <c r="BD131" s="315" t="n">
        <f aca="false">IF(H99/(BD130+1)&lt;$BF$129,BD130-1,BD130)</f>
        <v>8</v>
      </c>
    </row>
    <row r="132" customFormat="false" ht="15.75" hidden="false" customHeight="true" outlineLevel="0" collapsed="false">
      <c r="D132" s="377"/>
      <c r="AW132" s="31" t="s">
        <v>357</v>
      </c>
      <c r="AZ132" s="0" t="n">
        <f aca="false">IF($AO$105=1,0,IF(AO106=FALSE(),(AO105-1)/2,AO105/2))</f>
        <v>0</v>
      </c>
      <c r="BA132" s="0" t="n">
        <f aca="false">IF(AO106=FALSE(),AZ132,AZ132-1)</f>
        <v>0</v>
      </c>
      <c r="BC132" s="0" t="n">
        <f aca="false">IF($AS$105=1,0,IF(AS106=FALSE(),(AS105-1)/2,AS105/2))</f>
        <v>3</v>
      </c>
      <c r="BD132" s="32" t="n">
        <f aca="false">IF(AS106=FALSE(),BC132,BC132-1)</f>
        <v>2</v>
      </c>
    </row>
    <row r="133" customFormat="false" ht="15.75" hidden="false" customHeight="true" outlineLevel="0" collapsed="false">
      <c r="D133" s="377"/>
      <c r="AW133" s="31" t="s">
        <v>358</v>
      </c>
      <c r="AZ133" s="324" t="e">
        <f aca="false">IF(AO105=2,AZ138,IF(AO106=TRUE(),AZ139,AZ140))</f>
        <v>#DIV/0!</v>
      </c>
      <c r="BA133" s="325" t="e">
        <f aca="false">IF(AO105=2,BA138,IF(AO106=TRUE(),BA139,BA140))</f>
        <v>#DIV/0!</v>
      </c>
      <c r="BB133" s="325"/>
      <c r="BC133" s="325" t="n">
        <f aca="false">IF(AS105=2,BC138,IF(AS106=TRUE(),BC139,BC140))</f>
        <v>2</v>
      </c>
      <c r="BD133" s="315" t="n">
        <f aca="false">IF(AS105=2,BD138,IF(AS106=TRUE(),BD139,BD140))</f>
        <v>6</v>
      </c>
    </row>
    <row r="134" customFormat="false" ht="15.75" hidden="false" customHeight="true" outlineLevel="0" collapsed="false">
      <c r="D134" s="377"/>
      <c r="AS134" s="0" t="n">
        <f aca="false">IF($H$99/$AS$105&gt;(1.5*$BF$129),ROUNDDOWN($H$99/$AS$105/$BF$129,0),0)</f>
        <v>0</v>
      </c>
      <c r="AW134" s="53" t="s">
        <v>359</v>
      </c>
      <c r="AX134" s="54"/>
      <c r="AY134" s="54"/>
      <c r="AZ134" s="54" t="n">
        <f aca="false">IF(AO105=1,AZ131-1,AZ133)</f>
        <v>7</v>
      </c>
      <c r="BA134" s="54" t="n">
        <f aca="false">IF(AO105=1,BA131-1,BA133)</f>
        <v>7</v>
      </c>
      <c r="BB134" s="54"/>
      <c r="BC134" s="54" t="n">
        <f aca="false">IF(AS105=1,BC131-1,BC133)</f>
        <v>2</v>
      </c>
      <c r="BD134" s="55" t="n">
        <f aca="false">IF(AS105=1,BD131-1,BD133)</f>
        <v>6</v>
      </c>
    </row>
    <row r="135" customFormat="false" ht="13.8" hidden="false" customHeight="false" outlineLevel="0" collapsed="false">
      <c r="D135" s="379"/>
      <c r="AS135" s="0" t="n">
        <f aca="false">IF(($H$99-$H$99/$AS$105)/(ROUNDDOWN($AS$105/2,0))&gt;1.5*$BF$129,((ROUNDDOWN($H$99/($AS$105/2)/$BF$129,0))-1)*ROUNDDOWN($AS$105/2,0),0)</f>
        <v>3</v>
      </c>
    </row>
    <row r="136" customFormat="false" ht="13.8" hidden="false" customHeight="false" outlineLevel="0" collapsed="false">
      <c r="D136" s="377"/>
    </row>
    <row r="137" customFormat="false" ht="13.8" hidden="false" customHeight="false" outlineLevel="0" collapsed="false">
      <c r="D137" s="379"/>
      <c r="AY137" s="0" t="s">
        <v>360</v>
      </c>
      <c r="AZ137" s="0" t="n">
        <f aca="false">AZ131</f>
        <v>8</v>
      </c>
      <c r="BA137" s="0" t="n">
        <f aca="false">BA131</f>
        <v>8</v>
      </c>
      <c r="BC137" s="0" t="n">
        <f aca="false">BC131</f>
        <v>8</v>
      </c>
      <c r="BD137" s="0" t="n">
        <f aca="false">BD131</f>
        <v>8</v>
      </c>
    </row>
    <row r="138" customFormat="false" ht="13.8" hidden="false" customHeight="false" outlineLevel="0" collapsed="false">
      <c r="D138" s="377"/>
      <c r="AS138" s="322" t="b">
        <f aca="false">($H$99-$H$99/$AS$105)/(ROUNDDOWN($AS$105/2,0))&gt;1.5*$BF$129</f>
        <v>1</v>
      </c>
      <c r="AY138" s="0" t="s">
        <v>361</v>
      </c>
      <c r="AZ138" s="0" t="n">
        <f aca="false">IF($H$99/2&gt;=1.5*$BF$129,(ROUND($H$99/2/$BF$129,0)-1)*2)</f>
        <v>6</v>
      </c>
      <c r="BA138" s="0" t="n">
        <f aca="false">IF($H$99&gt;$BF$129,ROUNDDOWN($H$99/$BF$129,0)-1,0)</f>
        <v>7</v>
      </c>
      <c r="BC138" s="0" t="n">
        <f aca="false">IF($H$99/2&gt;=1.5*$BF$129,(ROUND($H$99/2/$BF$129,0)-1)*2)</f>
        <v>6</v>
      </c>
      <c r="BD138" s="0" t="n">
        <f aca="false">IF($H$99&gt;$BF$129,ROUNDDOWN($H$99/$BF$129,0)-1,0)</f>
        <v>7</v>
      </c>
    </row>
    <row r="139" customFormat="false" ht="13.8" hidden="false" customHeight="false" outlineLevel="0" collapsed="false">
      <c r="D139" s="379"/>
      <c r="AY139" s="0" t="s">
        <v>362</v>
      </c>
      <c r="AZ139" s="0" t="n">
        <f aca="false">IF($H$99/$AO$105&gt;(1.5*$BF$129),(ROUND($H$99/$AO$105/$BF$129,0)-1)*2,0)+IF($H$99/$AO$105*2&gt;$BF$129,(ROUNDDOWN($H$99/$AO$105*2/$BF$129,0)-1)*($AO$105/2-1),0)</f>
        <v>8</v>
      </c>
      <c r="BA139" s="0" t="n">
        <f aca="false">IF($H$99/($AO$105/2)&gt;(1.5*$BF$129),ROUND(($H$99/($AO$105/2)/$BF$129)-1,0)*($AO$105/2),0)</f>
        <v>8</v>
      </c>
      <c r="BC139" s="0" t="n">
        <f aca="false">IF($H$99/$AS$105&gt;(1.5*$BF$129),(ROUND($H$99/$AS$105/$BF$129,0)-1)*2,0)+IF($H$99/$AS$105*2&gt;$BF$129,(ROUNDDOWN($H$99/$AS$105*2/$BF$129,0)-1)*($AS$105/2-1),0)</f>
        <v>2</v>
      </c>
      <c r="BD139" s="0" t="n">
        <f aca="false">IF($H$99/($AS$105/2)&gt;(1.5*$BF$129),ROUND(($H$99/($AS$105/2)/$BF$129)-1,0)*($AS$105/2),0)</f>
        <v>6</v>
      </c>
    </row>
    <row r="140" customFormat="false" ht="13.8" hidden="false" customHeight="false" outlineLevel="0" collapsed="false">
      <c r="AY140" s="0" t="s">
        <v>363</v>
      </c>
      <c r="AZ140" s="0" t="e">
        <f aca="false">IF($H$99/$AO$105&gt;(1.5*$BF$129),ROUNDDOWN($H$99/$AO$105/$BF$129,0),0)+IF(($H$99-$H$99/$AO$105)/(ROUNDDOWN($AO$105/2,0))&gt;1.5*$BF$129,((ROUND($H$99/($AO$105/2)/$BF$129,0))-1)*ROUNDDOWN($AO$105/2,0),0)</f>
        <v>#DIV/0!</v>
      </c>
      <c r="BA140" s="0" t="e">
        <f aca="false">IF($H$99/$AO$105&gt;(1.5*$BF$129),ROUNDDOWN($H$99/$AO$105/$BF$129,0),0)+IF(($H$99-$H$99/$AO$105)/(ROUNDDOWN($AO$105/2,0))&gt;1.5*$BF$129,((ROUND($H$99/($AO$105/2)/$BF$129,0))-1)*ROUNDDOWN($AO$105/2,0),0)</f>
        <v>#DIV/0!</v>
      </c>
      <c r="BC140" s="0" t="n">
        <f aca="false">IF($H$99/$AS$105&gt;(1.5*$BF$129),ROUNDDOWN($H$99/$AS$105/$BF$129,0),0)+IF(($H$99-$H$99/$AS$105)/(ROUNDDOWN($AS$105/2,0))&gt;1.5*$BF$129,((ROUND($H$99/($AS$105/2)/$BF$129,0))-1)*ROUNDDOWN($AS$105/2,0),0)</f>
        <v>6</v>
      </c>
      <c r="BD140" s="0" t="n">
        <f aca="false">IF($H$99/$AS$105&gt;(1.5*$BF$129),ROUNDDOWN($H$99/$AS$105/$BF$129,0),0)+IF(($H$99-$H$99/$AS$105)/(ROUNDDOWN($AS$105/2,0))&gt;1.5*$BF$129,((ROUND($H$99/($AS$105/2)/$BF$129,0))-1)*ROUNDDOWN($AS$105/2,0),0)</f>
        <v>6</v>
      </c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5.75" hidden="false" customHeight="true" outlineLevel="0" collapsed="false"/>
    <row r="145" customFormat="false" ht="15.75" hidden="false" customHeight="true" outlineLevel="0" collapsed="false">
      <c r="AX145" s="324" t="s">
        <v>364</v>
      </c>
      <c r="AY145" s="315"/>
      <c r="BE145" s="0" t="s">
        <v>365</v>
      </c>
      <c r="BH145" s="0" t="s">
        <v>366</v>
      </c>
    </row>
    <row r="146" customFormat="false" ht="30.75" hidden="false" customHeight="true" outlineLevel="0" collapsed="false">
      <c r="AW146" s="380"/>
      <c r="AX146" s="381" t="s">
        <v>367</v>
      </c>
      <c r="AY146" s="382" t="s">
        <v>368</v>
      </c>
      <c r="BA146" s="383" t="s">
        <v>369</v>
      </c>
      <c r="BB146" s="384"/>
      <c r="BC146" s="385" t="s">
        <v>370</v>
      </c>
      <c r="BD146" s="385" t="s">
        <v>371</v>
      </c>
      <c r="BE146" s="386" t="s">
        <v>370</v>
      </c>
      <c r="BG146" s="387" t="s">
        <v>372</v>
      </c>
      <c r="BH146" s="387" t="s">
        <v>370</v>
      </c>
    </row>
    <row r="147" customFormat="false" ht="30.75" hidden="false" customHeight="true" outlineLevel="0" collapsed="false">
      <c r="AW147" s="388" t="s">
        <v>373</v>
      </c>
      <c r="AX147" s="148" t="n">
        <f aca="false">IFERROR(ROUNDUP(BA147/ROUNDDOWN(1000/BC147,0),0),0)</f>
        <v>14</v>
      </c>
      <c r="AY147" s="389" t="n">
        <f aca="false">IFERROR(ROUNDUP(BD147/ROUNDDOWN(1000/BE147,0),0),0)</f>
        <v>8</v>
      </c>
      <c r="BA147" s="390" t="n">
        <f aca="false">IF(VLOOKUP(D104,B110:BE122,56,0)&lt;0,0,VLOOKUP(D104,B110:BE122,56,0))</f>
        <v>14</v>
      </c>
      <c r="BB147" s="391"/>
      <c r="BC147" s="392" t="n">
        <f aca="false">VLOOKUP(D104,B110:BG122,58,0)</f>
        <v>732</v>
      </c>
      <c r="BD147" s="393" t="n">
        <f aca="false">IF(VLOOKUP(D104,B110:BF122,56,0)&lt;0,0,VLOOKUP(D104,B110:BF122,57,0))</f>
        <v>8</v>
      </c>
      <c r="BE147" s="394" t="n">
        <f aca="false">VLOOKUP(D104,B110:BH122,59,0)</f>
        <v>730</v>
      </c>
      <c r="BG147" s="395" t="n">
        <v>8</v>
      </c>
      <c r="BH147" s="395" t="n">
        <f aca="false">H99</f>
        <v>2400</v>
      </c>
    </row>
    <row r="148" customFormat="false" ht="30" hidden="false" customHeight="true" outlineLevel="0" collapsed="false">
      <c r="AW148" s="388" t="s">
        <v>374</v>
      </c>
      <c r="AX148" s="148" t="n">
        <f aca="false">AX147+AY147</f>
        <v>22</v>
      </c>
      <c r="AY148" s="389"/>
      <c r="BA148" s="396"/>
      <c r="BB148" s="396"/>
      <c r="BC148" s="396"/>
    </row>
    <row r="149" customFormat="false" ht="60" hidden="false" customHeight="true" outlineLevel="0" collapsed="false">
      <c r="AW149" s="388" t="s">
        <v>375</v>
      </c>
      <c r="AX149" s="148" t="n">
        <f aca="false">IF(BH147&lt;1000,8,0)+IF(AND(BH147&gt;2500,BH147&lt;3000),8,0)+IF(AND(BH147&gt;2000,BH147&lt;2500),4,0)</f>
        <v>4</v>
      </c>
      <c r="AY149" s="389"/>
      <c r="BA149" s="396"/>
      <c r="BB149" s="396"/>
      <c r="BC149" s="396"/>
    </row>
    <row r="150" customFormat="false" ht="30" hidden="false" customHeight="true" outlineLevel="0" collapsed="false">
      <c r="AW150" s="388" t="s">
        <v>376</v>
      </c>
      <c r="AX150" s="148" t="n">
        <f aca="false">IF(BH147&gt;1000,8,0)+IF(AND(BH147&gt;3000,BH147&lt;4000),8,0)</f>
        <v>8</v>
      </c>
      <c r="AY150" s="389"/>
      <c r="BA150" s="396"/>
      <c r="BB150" s="396"/>
      <c r="BC150" s="396"/>
    </row>
    <row r="151" customFormat="false" ht="30.75" hidden="false" customHeight="true" outlineLevel="0" collapsed="false">
      <c r="AW151" s="397" t="s">
        <v>377</v>
      </c>
      <c r="AX151" s="398" t="n">
        <f aca="false">AX147+AY147+AX149</f>
        <v>26</v>
      </c>
      <c r="AY151" s="399"/>
      <c r="BA151" s="396"/>
      <c r="BB151" s="396"/>
      <c r="BC151" s="396"/>
    </row>
    <row r="152" customFormat="false" ht="45" hidden="false" customHeight="true" outlineLevel="0" collapsed="false">
      <c r="AW152" s="400" t="s">
        <v>378</v>
      </c>
      <c r="AX152" s="29" t="n">
        <f aca="false">(IF(B121=D104,BA147,0))</f>
        <v>0</v>
      </c>
      <c r="AY152" s="30" t="n">
        <f aca="false">(IF(B121=D104,BD147,0))</f>
        <v>0</v>
      </c>
      <c r="BA152" s="396"/>
      <c r="BB152" s="396"/>
      <c r="BC152" s="396"/>
    </row>
    <row r="153" customFormat="false" ht="45.75" hidden="false" customHeight="true" outlineLevel="0" collapsed="false">
      <c r="AW153" s="401" t="s">
        <v>379</v>
      </c>
      <c r="AX153" s="54" t="n">
        <f aca="false">(IF(B122=D104,BA147,0))</f>
        <v>0</v>
      </c>
      <c r="AY153" s="55"/>
      <c r="BA153" s="396"/>
      <c r="BB153" s="396"/>
      <c r="BC153" s="396"/>
    </row>
    <row r="154" customFormat="false" ht="13.8" hidden="false" customHeight="false" outlineLevel="0" collapsed="false">
      <c r="BA154" s="396"/>
      <c r="BB154" s="396"/>
      <c r="BC154" s="396"/>
    </row>
    <row r="155" customFormat="false" ht="13.8" hidden="false" customHeight="false" outlineLevel="0" collapsed="false">
      <c r="BA155" s="396"/>
      <c r="BB155" s="396"/>
      <c r="BC155" s="396"/>
    </row>
    <row r="156" customFormat="false" ht="13.8" hidden="false" customHeight="false" outlineLevel="0" collapsed="false">
      <c r="BA156" s="41"/>
      <c r="BB156" s="41"/>
    </row>
    <row r="157" customFormat="false" ht="13.8" hidden="false" customHeight="false" outlineLevel="0" collapsed="false">
      <c r="BA157" s="41"/>
      <c r="BB157" s="41"/>
    </row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>
      <c r="BF160" s="402"/>
    </row>
    <row r="161" customFormat="false" ht="13.8" hidden="false" customHeight="false" outlineLevel="0" collapsed="false">
      <c r="BF161" s="403"/>
    </row>
    <row r="162" customFormat="false" ht="13.8" hidden="false" customHeight="false" outlineLevel="0" collapsed="false">
      <c r="BF162" s="403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B19:B20"/>
    <mergeCell ref="C19:D19"/>
    <mergeCell ref="H19:H20"/>
    <mergeCell ref="I19:J19"/>
    <mergeCell ref="W19:Y19"/>
    <mergeCell ref="C20:D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B25:B26"/>
    <mergeCell ref="C25:D25"/>
    <mergeCell ref="H25:H26"/>
    <mergeCell ref="I25:J25"/>
    <mergeCell ref="W25:Y25"/>
    <mergeCell ref="C26:D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AO38:AO39"/>
    <mergeCell ref="AP38:AP39"/>
    <mergeCell ref="B39:E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B54:B57"/>
    <mergeCell ref="K54:L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allowBlank="true" errorStyle="stop" operator="equal" promptTitle="материал_корпуса" showDropDown="false" showErrorMessage="true" showInputMessage="true" sqref="D9:E9" type="list">
      <formula1>$AU$47:$AU$54</formula1>
      <formula2>0</formula2>
    </dataValidation>
    <dataValidation allowBlank="false" errorStyle="stop" operator="equal" prompt="выбери обязательно" promptTitle="материал" showDropDown="false" showErrorMessage="true" showInputMessage="true" sqref="P20" type="list">
      <formula1>материал_крепежа_панелей</formula1>
      <formula2>0</formula2>
    </dataValidation>
    <dataValidation allowBlank="true" errorStyle="stop" operator="equal" prompt="выбери обязательно" promptTitle="покрытие" showDropDown="false" showErrorMessage="true" showInputMessage="true" sqref="P21" type="list">
      <formula1>покрытие_крепежа_панелей</formula1>
      <formula2>0</formula2>
    </dataValidation>
    <dataValidation allowBlank="true" errorStyle="stop" operator="equal" prompt="имеет значение" promptTitle="размер" showDropDown="false" showErrorMessage="true" showInputMessage="true" sqref="P22" type="list">
      <formula1>размер_крепежа_панелей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C28:C29" type="list">
      <formula1>Рядность_фланцев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D28:D29" type="list">
      <formula1>Фланцы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I28:I29" type="list">
      <formula1>Рядность_фланцев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J28:J29" type="list">
      <formula1>Фланцы</formula1>
      <formula2>0</formula2>
    </dataValidation>
    <dataValidation allowBlank="true" errorStyle="stop" operator="equal" prompt="имеет значение" promptTitle="размер" showDropDown="false" showErrorMessage="true" showInputMessage="true" sqref="P29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29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29" type="list">
      <formula1>покрытие_крепежа_для_фланцев</formula1>
      <formula2>0</formula2>
    </dataValidation>
    <dataValidation allowBlank="true" errorStyle="stop" operator="equal" prompt="имеет значение" promptTitle="размер" showDropDown="false" showErrorMessage="true" showInputMessage="true" sqref="P33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33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33" type="list">
      <formula1>покрытие_крепежа_для_фланцев</formula1>
      <formula2>0</formula2>
    </dataValidation>
    <dataValidation allowBlank="true" errorStyle="stop" operator="equal" prompt="имеет значение" promptTitle="размер" showDropDown="false" showErrorMessage="true" showInputMessage="true" sqref="P37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37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37" type="list">
      <formula1>покрытие_крепежа_для_фланцев</formula1>
      <formula2>0</formula2>
    </dataValidation>
    <dataValidation allowBlank="true" errorStyle="stop" operator="equal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promptTitle="РЕЗЕРВ" showDropDown="false" showErrorMessage="true" showInputMessage="true" sqref="F39" type="list">
      <formula1>"1,2,3,4"</formula1>
      <formula2>0</formula2>
    </dataValidation>
    <dataValidation allowBlank="true" errorStyle="stop" operator="equal" prompt="имеет значение" promptTitle="размер" showDropDown="false" showErrorMessage="true" showInputMessage="true" sqref="P41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41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41" type="list">
      <formula1>покрытие_крепежа_для_фланцев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X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4" min="5" style="0" width="15.7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5.75" hidden="true" customHeight="true" outlineLevel="0" collapsed="false"/>
    <row r="18" customFormat="false" ht="15.75" hidden="false" customHeight="true" outlineLevel="0" collapsed="false">
      <c r="F18" s="404" t="s">
        <v>380</v>
      </c>
      <c r="G18" s="404"/>
      <c r="H18" s="404"/>
      <c r="I18" s="404"/>
      <c r="J18" s="404"/>
      <c r="K18" s="404"/>
      <c r="L18" s="404"/>
      <c r="M18" s="404"/>
      <c r="N18" s="404"/>
      <c r="O18" s="404"/>
      <c r="P18" s="404"/>
      <c r="Q18" s="404"/>
      <c r="R18" s="404"/>
      <c r="S18" s="404"/>
      <c r="T18" s="404"/>
      <c r="U18" s="404"/>
      <c r="V18" s="404"/>
      <c r="W18" s="404"/>
      <c r="X18" s="404"/>
    </row>
    <row r="19" customFormat="false" ht="13.8" hidden="false" customHeight="false" outlineLevel="0" collapsed="false">
      <c r="F19" s="404"/>
      <c r="G19" s="404"/>
      <c r="H19" s="404"/>
      <c r="I19" s="404"/>
      <c r="J19" s="404"/>
      <c r="K19" s="404"/>
      <c r="L19" s="404"/>
      <c r="M19" s="404"/>
      <c r="N19" s="404"/>
      <c r="O19" s="404"/>
      <c r="P19" s="404"/>
      <c r="Q19" s="404"/>
      <c r="R19" s="404"/>
      <c r="S19" s="404"/>
      <c r="T19" s="404"/>
      <c r="U19" s="404"/>
      <c r="V19" s="404"/>
      <c r="W19" s="404"/>
      <c r="X19" s="404"/>
    </row>
    <row r="20" customFormat="false" ht="13.8" hidden="false" customHeight="false" outlineLevel="0" collapsed="false"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404"/>
      <c r="Q20" s="404"/>
      <c r="R20" s="404"/>
      <c r="S20" s="404"/>
      <c r="T20" s="404"/>
      <c r="U20" s="404"/>
      <c r="V20" s="404"/>
      <c r="W20" s="404"/>
      <c r="X20" s="404"/>
    </row>
    <row r="21" customFormat="false" ht="15.75" hidden="false" customHeight="true" outlineLevel="0" collapsed="false">
      <c r="F21" s="404"/>
      <c r="G21" s="404"/>
      <c r="H21" s="404"/>
      <c r="I21" s="404"/>
      <c r="J21" s="404"/>
      <c r="K21" s="404"/>
      <c r="L21" s="404"/>
      <c r="M21" s="404"/>
      <c r="N21" s="404"/>
      <c r="O21" s="404"/>
      <c r="P21" s="404"/>
      <c r="Q21" s="404"/>
      <c r="R21" s="404"/>
      <c r="S21" s="404"/>
      <c r="T21" s="404"/>
      <c r="U21" s="404"/>
      <c r="V21" s="404"/>
      <c r="W21" s="404"/>
      <c r="X21" s="404"/>
    </row>
    <row r="22" customFormat="false" ht="15.75" hidden="false" customHeight="true" outlineLevel="0" collapsed="false"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</row>
    <row r="23" customFormat="false" ht="15.75" hidden="false" customHeight="true" outlineLevel="0" collapsed="false">
      <c r="F23" s="406" t="s">
        <v>381</v>
      </c>
      <c r="G23" s="407" t="s">
        <v>382</v>
      </c>
      <c r="H23" s="407"/>
      <c r="I23" s="407"/>
      <c r="J23" s="407"/>
      <c r="K23" s="408" t="s">
        <v>383</v>
      </c>
      <c r="L23" s="408"/>
      <c r="M23" s="408"/>
      <c r="N23" s="409" t="s">
        <v>384</v>
      </c>
      <c r="O23" s="409" t="s">
        <v>385</v>
      </c>
      <c r="P23" s="409" t="s">
        <v>386</v>
      </c>
      <c r="Q23" s="410" t="s">
        <v>387</v>
      </c>
      <c r="R23" s="410"/>
      <c r="S23" s="410"/>
      <c r="T23" s="410"/>
      <c r="U23" s="410"/>
      <c r="V23" s="410"/>
      <c r="W23" s="410"/>
      <c r="X23" s="411" t="s">
        <v>157</v>
      </c>
    </row>
    <row r="24" customFormat="false" ht="85.5" hidden="false" customHeight="true" outlineLevel="0" collapsed="false">
      <c r="E24" s="412"/>
      <c r="F24" s="406"/>
      <c r="G24" s="413" t="s">
        <v>388</v>
      </c>
      <c r="H24" s="414" t="s">
        <v>389</v>
      </c>
      <c r="I24" s="414" t="s">
        <v>390</v>
      </c>
      <c r="J24" s="415" t="s">
        <v>391</v>
      </c>
      <c r="K24" s="413" t="s">
        <v>392</v>
      </c>
      <c r="L24" s="414" t="s">
        <v>393</v>
      </c>
      <c r="M24" s="415" t="s">
        <v>394</v>
      </c>
      <c r="N24" s="409"/>
      <c r="O24" s="409"/>
      <c r="P24" s="409"/>
      <c r="Q24" s="416" t="s">
        <v>115</v>
      </c>
      <c r="R24" s="417" t="s">
        <v>139</v>
      </c>
      <c r="S24" s="417" t="s">
        <v>143</v>
      </c>
      <c r="T24" s="417" t="s">
        <v>145</v>
      </c>
      <c r="U24" s="417" t="s">
        <v>190</v>
      </c>
      <c r="V24" s="418" t="s">
        <v>395</v>
      </c>
      <c r="W24" s="419" t="s">
        <v>152</v>
      </c>
      <c r="X24" s="411"/>
    </row>
    <row r="25" customFormat="false" ht="43.5" hidden="false" customHeight="true" outlineLevel="0" collapsed="false">
      <c r="E25" s="420" t="s">
        <v>396</v>
      </c>
      <c r="F25" s="406"/>
      <c r="G25" s="413"/>
      <c r="H25" s="414"/>
      <c r="I25" s="414"/>
      <c r="J25" s="415"/>
      <c r="K25" s="413"/>
      <c r="L25" s="414"/>
      <c r="M25" s="421" t="n">
        <f aca="false">снабжение!F39</f>
        <v>2</v>
      </c>
      <c r="N25" s="409"/>
      <c r="O25" s="409"/>
      <c r="P25" s="409"/>
      <c r="Q25" s="416"/>
      <c r="R25" s="417"/>
      <c r="S25" s="417"/>
      <c r="T25" s="417"/>
      <c r="U25" s="422" t="s">
        <v>397</v>
      </c>
      <c r="V25" s="418"/>
      <c r="W25" s="419"/>
      <c r="X25" s="411"/>
    </row>
    <row r="26" customFormat="false" ht="83.25" hidden="false" customHeight="true" outlineLevel="0" collapsed="false">
      <c r="E26" s="423" t="n">
        <f aca="false">IF(AND(технолог!P27=снабжение!D7),снабжение!D8,IF(AND(технолог!P27=снабжение!E7),снабжение!E8,IF(AND(технолог!P27=снабжение!F7),снабжение!F8,снабжение!G8)))</f>
        <v>700</v>
      </c>
      <c r="F26" s="424" t="n">
        <f aca="false">снабжение!K14</f>
        <v>0</v>
      </c>
      <c r="G26" s="425" t="n">
        <f aca="false">снабжение!G35+снабжение!M35</f>
        <v>0</v>
      </c>
      <c r="H26" s="426" t="n">
        <f aca="false">снабжение!E8*снабжение!G78*снабжение!D14*снабжение!D14+технолог!V27*снабжение!H78*снабжение!D13</f>
        <v>0</v>
      </c>
      <c r="I26" s="427" t="n">
        <f aca="false">снабжение!G22*2</f>
        <v>0</v>
      </c>
      <c r="J26" s="428" t="n">
        <f aca="false">снабжение!M22*4</f>
        <v>0</v>
      </c>
      <c r="K26" s="429" t="n">
        <f aca="false">снабжение!Q25</f>
        <v>0</v>
      </c>
      <c r="L26" s="430" t="n">
        <f aca="false">снабжение!F38</f>
        <v>0</v>
      </c>
      <c r="M26" s="428" t="n">
        <f aca="false">L26*M25</f>
        <v>0</v>
      </c>
      <c r="N26" s="431" t="n">
        <f aca="false">снабжение!F78*снабжение!D8+технолог!U27*снабжение!J78*снабжение!D13</f>
        <v>1274416.64</v>
      </c>
      <c r="O26" s="431" t="n">
        <f aca="false">снабжение!D8*снабжение!E78*снабжение!D14*снабжение!D14+снабжение!D78*снабжение!I78*снабжение!D13</f>
        <v>0</v>
      </c>
      <c r="P26" s="432" t="n">
        <f aca="false"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  <v>81920</v>
      </c>
      <c r="Q26" s="429" t="n">
        <f aca="false">снабжение!T44</f>
        <v>0</v>
      </c>
      <c r="R26" s="433" t="n">
        <f aca="false">снабжение!I40</f>
        <v>2000</v>
      </c>
      <c r="S26" s="433" t="n">
        <f aca="false">снабжение!K40</f>
        <v>2700</v>
      </c>
      <c r="T26" s="433" t="n">
        <f aca="false">снабжение!M44+снабжение!M45+снабжение!M46</f>
        <v>50000</v>
      </c>
      <c r="U26" s="427" t="n">
        <f aca="false">снабжение!M40</f>
        <v>0</v>
      </c>
      <c r="V26" s="428" t="n">
        <f aca="false">снабжение!P45</f>
        <v>20000</v>
      </c>
      <c r="W26" s="430" t="n">
        <f aca="false">снабжение!J53+снабжение!J58+снабжение!O53+снабжение!O58</f>
        <v>58100</v>
      </c>
      <c r="X26" s="434" t="n">
        <f aca="false">снабжение!P13</f>
        <v>120000</v>
      </c>
    </row>
    <row r="27" customFormat="false" ht="15.75" hidden="false" customHeight="true" outlineLevel="0" collapsed="false">
      <c r="F27" s="435"/>
      <c r="G27" s="436"/>
      <c r="H27" s="437"/>
      <c r="I27" s="437"/>
      <c r="J27" s="438"/>
      <c r="K27" s="436"/>
      <c r="L27" s="439"/>
      <c r="M27" s="438"/>
      <c r="N27" s="440"/>
      <c r="O27" s="440"/>
      <c r="P27" s="441"/>
      <c r="Q27" s="442"/>
      <c r="R27" s="443"/>
      <c r="S27" s="443"/>
      <c r="T27" s="443"/>
      <c r="U27" s="437"/>
      <c r="V27" s="438"/>
      <c r="W27" s="444"/>
      <c r="X27" s="445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3.8" hidden="false" customHeight="false" outlineLevel="0" collapsed="false">
      <c r="I30" s="66" t="s">
        <v>381</v>
      </c>
      <c r="J30" s="446" t="n">
        <f aca="false">F26</f>
        <v>0</v>
      </c>
    </row>
    <row r="31" customFormat="false" ht="15.75" hidden="false" customHeight="true" outlineLevel="0" collapsed="false">
      <c r="I31" s="447" t="s">
        <v>382</v>
      </c>
      <c r="J31" s="448" t="n">
        <f aca="false">G26+H26+I26+J26</f>
        <v>0</v>
      </c>
    </row>
    <row r="32" customFormat="false" ht="13.8" hidden="false" customHeight="false" outlineLevel="0" collapsed="false">
      <c r="I32" s="447" t="s">
        <v>398</v>
      </c>
      <c r="J32" s="448" t="n">
        <f aca="false">N26+O26+P26</f>
        <v>1356336.64</v>
      </c>
      <c r="S32" s="449" t="s">
        <v>72</v>
      </c>
      <c r="T32" s="449"/>
      <c r="U32" s="450" t="n">
        <f aca="false">SUM(F26:X26)</f>
        <v>1609136.64</v>
      </c>
      <c r="V32" s="450"/>
      <c r="W32" s="450"/>
      <c r="X32" s="450"/>
    </row>
    <row r="33" customFormat="false" ht="13.8" hidden="false" customHeight="false" outlineLevel="0" collapsed="false">
      <c r="I33" s="447" t="s">
        <v>383</v>
      </c>
      <c r="J33" s="448" t="n">
        <f aca="false">K26+L26+M26</f>
        <v>0</v>
      </c>
      <c r="S33" s="449"/>
      <c r="T33" s="449"/>
      <c r="U33" s="450"/>
      <c r="V33" s="450"/>
      <c r="W33" s="450"/>
      <c r="X33" s="450"/>
    </row>
    <row r="34" customFormat="false" ht="13.8" hidden="false" customHeight="false" outlineLevel="0" collapsed="false">
      <c r="I34" s="447" t="s">
        <v>387</v>
      </c>
      <c r="J34" s="448" t="n">
        <f aca="false">R26+S26+T26+U26+V26+X26</f>
        <v>194700</v>
      </c>
      <c r="S34" s="449"/>
      <c r="T34" s="449"/>
      <c r="U34" s="450"/>
      <c r="V34" s="450"/>
      <c r="W34" s="450"/>
      <c r="X34" s="450"/>
    </row>
    <row r="35" customFormat="false" ht="13.8" hidden="false" customHeight="false" outlineLevel="0" collapsed="false">
      <c r="I35" s="447" t="s">
        <v>115</v>
      </c>
      <c r="J35" s="448" t="n">
        <f aca="false">Q26</f>
        <v>0</v>
      </c>
      <c r="S35" s="449"/>
      <c r="T35" s="449"/>
      <c r="U35" s="450"/>
      <c r="V35" s="450"/>
      <c r="W35" s="450"/>
      <c r="X35" s="450"/>
    </row>
    <row r="36" customFormat="false" ht="15.75" hidden="false" customHeight="true" outlineLevel="0" collapsed="false">
      <c r="I36" s="451" t="s">
        <v>152</v>
      </c>
      <c r="J36" s="452" t="n">
        <f aca="false">W26</f>
        <v>58100</v>
      </c>
      <c r="S36" s="449"/>
      <c r="T36" s="449"/>
      <c r="U36" s="450"/>
      <c r="V36" s="450"/>
      <c r="W36" s="450"/>
      <c r="X36" s="450"/>
    </row>
    <row r="37" customFormat="false" ht="13.8" hidden="false" customHeight="false" outlineLevel="0" collapsed="false">
      <c r="S37" s="449"/>
      <c r="T37" s="449"/>
      <c r="U37" s="450"/>
      <c r="V37" s="450"/>
      <c r="W37" s="450"/>
      <c r="X37" s="450"/>
    </row>
    <row r="38" customFormat="false" ht="15.75" hidden="false" customHeight="true" outlineLevel="0" collapsed="false">
      <c r="S38" s="449"/>
      <c r="T38" s="449"/>
      <c r="U38" s="450"/>
      <c r="V38" s="450"/>
      <c r="W38" s="450"/>
      <c r="X38" s="450"/>
    </row>
  </sheetData>
  <mergeCells count="24">
    <mergeCell ref="F18:X21"/>
    <mergeCell ref="F22:X22"/>
    <mergeCell ref="F23:F25"/>
    <mergeCell ref="G23:J23"/>
    <mergeCell ref="K23:M23"/>
    <mergeCell ref="N23:N25"/>
    <mergeCell ref="O23:O25"/>
    <mergeCell ref="P23:P25"/>
    <mergeCell ref="Q23:W23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Unknown</dc:creator>
  <dc:description/>
  <dc:language>en-US</dc:language>
  <cp:lastModifiedBy>Unknown</cp:lastModifiedBy>
  <dcterms:modified xsi:type="dcterms:W3CDTF">2025-07-30T07:02:17Z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