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645" windowHeight="11700" activeTab="1"/>
  </bookViews>
  <sheets>
    <sheet name="технолог" sheetId="3" r:id="rId1"/>
    <sheet name="снабжение" sheetId="1" r:id="rId2"/>
    <sheet name="результат " sheetId="4" r:id="rId3"/>
  </sheets>
  <definedNames>
    <definedName name="К4_750" localSheetId="1">снабжение!$AM$45:$AM$57</definedName>
    <definedName name="крепеж_для_фланцев" localSheetId="1">снабжение!$AW$37:$AW$45</definedName>
    <definedName name="материал_корпуса">снабжение!$AU$47:$AU$54</definedName>
    <definedName name="материал_крепежа_для_фланцев" localSheetId="1">снабжение!$AX$37:$AX$39</definedName>
    <definedName name="материал_крепежа_панелей" localSheetId="1">снабжение!$AS$37:$AS$40</definedName>
    <definedName name="материал_пластин">снабжение!$AS$47:$AS$54</definedName>
    <definedName name="покрытие_крепежа_для_фланцев" localSheetId="1">снабжение!$AY$37:$AY$40</definedName>
    <definedName name="покрытие_крепежа_панелей" localSheetId="1">снабжение!$AT$37:$AT$39</definedName>
    <definedName name="размер_крепежа_для_фланцев" localSheetId="1">снабжение!$AW$37:$AW$45</definedName>
    <definedName name="размер_крепежа_панелей">снабжение!$AV$37:$AV$43</definedName>
    <definedName name="Рядность_фланцев" localSheetId="1">снабжение!$AR$37:$AR$44</definedName>
    <definedName name="тип_поверхности">снабжение!$AZ$36:$AZ$40</definedName>
    <definedName name="тип_поставки">снабжение!$AL$39:$AL$41</definedName>
    <definedName name="типоразмеры_К4" localSheetId="1">снабжение!$AM$45:$AM$57</definedName>
    <definedName name="типоразмеры_К4">снабжение!$AM$45:$AM$52</definedName>
    <definedName name="типоразмерыК4" localSheetId="1">снабжение!$AM$45:$AM$52</definedName>
    <definedName name="типоразмерыК4">снабжение!$AM$45:$AM$46</definedName>
    <definedName name="типорзамеры_К4">снабжение!$AM$40:$AM$52</definedName>
    <definedName name="толщина_пластины">снабжение!$AL$47:$AL$53</definedName>
    <definedName name="Фланцы" localSheetId="1">снабжение!$AQ$37:$AQ$55</definedName>
  </definedNames>
  <calcPr calcId="152511" iterateDelta="1E-4"/>
</workbook>
</file>

<file path=xl/calcChain.xml><?xml version="1.0" encoding="utf-8"?>
<calcChain xmlns="http://schemas.openxmlformats.org/spreadsheetml/2006/main">
  <c r="BC147" i="1" l="1"/>
  <c r="BE147" i="1"/>
  <c r="BA131" i="1"/>
  <c r="BD131" i="1"/>
  <c r="BC131" i="1"/>
  <c r="H110" i="1" l="1"/>
  <c r="Q27" i="3" l="1"/>
  <c r="G96" i="1" s="1"/>
  <c r="G93" i="1"/>
  <c r="AT48" i="1"/>
  <c r="AT47" i="1"/>
  <c r="C78" i="1"/>
  <c r="D7" i="1" l="1"/>
  <c r="AV114" i="1" l="1"/>
  <c r="BH122" i="1" l="1"/>
  <c r="BH111" i="1"/>
  <c r="BH112" i="1"/>
  <c r="BH113" i="1"/>
  <c r="BH114" i="1"/>
  <c r="BH115" i="1"/>
  <c r="BH116" i="1"/>
  <c r="BH117" i="1"/>
  <c r="BH118" i="1"/>
  <c r="BH119" i="1"/>
  <c r="BH120" i="1"/>
  <c r="BH121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H110" i="1"/>
  <c r="BG110" i="1"/>
  <c r="AV111" i="1"/>
  <c r="AV112" i="1"/>
  <c r="AV113" i="1"/>
  <c r="AV115" i="1"/>
  <c r="AV116" i="1"/>
  <c r="AV117" i="1"/>
  <c r="AV118" i="1"/>
  <c r="AV119" i="1"/>
  <c r="AV120" i="1"/>
  <c r="AV121" i="1"/>
  <c r="AV122" i="1"/>
  <c r="AV110" i="1"/>
  <c r="AM105" i="1"/>
  <c r="AN105" i="1" s="1"/>
  <c r="AP105" i="1"/>
  <c r="AL105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10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T110" i="1"/>
  <c r="AO110" i="1" s="1"/>
  <c r="T120" i="1"/>
  <c r="AO120" i="1" s="1"/>
  <c r="W120" i="1"/>
  <c r="X120" i="1"/>
  <c r="Y120" i="1"/>
  <c r="P111" i="1"/>
  <c r="AN111" i="1" s="1"/>
  <c r="Q111" i="1"/>
  <c r="P112" i="1"/>
  <c r="Q112" i="1"/>
  <c r="P113" i="1"/>
  <c r="Q113" i="1"/>
  <c r="AN113" i="1" s="1"/>
  <c r="P114" i="1"/>
  <c r="Q114" i="1"/>
  <c r="P115" i="1"/>
  <c r="Q115" i="1"/>
  <c r="P116" i="1"/>
  <c r="Q116" i="1"/>
  <c r="P117" i="1"/>
  <c r="AN117" i="1" s="1"/>
  <c r="Q117" i="1"/>
  <c r="P118" i="1"/>
  <c r="Q118" i="1"/>
  <c r="AN118" i="1" s="1"/>
  <c r="P119" i="1"/>
  <c r="Q119" i="1"/>
  <c r="P120" i="1"/>
  <c r="Q120" i="1"/>
  <c r="P121" i="1"/>
  <c r="Q121" i="1"/>
  <c r="AN121" i="1" s="1"/>
  <c r="P122" i="1"/>
  <c r="Q122" i="1"/>
  <c r="Q110" i="1"/>
  <c r="P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10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G99" i="1"/>
  <c r="H99" i="1" s="1"/>
  <c r="D10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Y122" i="1"/>
  <c r="X122" i="1"/>
  <c r="W122" i="1"/>
  <c r="U122" i="1"/>
  <c r="T122" i="1"/>
  <c r="V122" i="1" s="1"/>
  <c r="Y121" i="1"/>
  <c r="X121" i="1"/>
  <c r="W121" i="1"/>
  <c r="U121" i="1"/>
  <c r="T121" i="1"/>
  <c r="AO121" i="1" s="1"/>
  <c r="Y119" i="1"/>
  <c r="X119" i="1"/>
  <c r="W119" i="1"/>
  <c r="U119" i="1"/>
  <c r="T119" i="1"/>
  <c r="Y118" i="1"/>
  <c r="X118" i="1"/>
  <c r="W118" i="1"/>
  <c r="U118" i="1"/>
  <c r="T118" i="1"/>
  <c r="Y117" i="1"/>
  <c r="X117" i="1"/>
  <c r="W117" i="1"/>
  <c r="U117" i="1"/>
  <c r="T117" i="1"/>
  <c r="V117" i="1" s="1"/>
  <c r="Y116" i="1"/>
  <c r="X116" i="1"/>
  <c r="W116" i="1"/>
  <c r="U116" i="1"/>
  <c r="T116" i="1"/>
  <c r="AO116" i="1" s="1"/>
  <c r="Y115" i="1"/>
  <c r="X115" i="1"/>
  <c r="W115" i="1"/>
  <c r="U115" i="1"/>
  <c r="T115" i="1"/>
  <c r="Y114" i="1"/>
  <c r="X114" i="1"/>
  <c r="W114" i="1"/>
  <c r="U114" i="1"/>
  <c r="T114" i="1"/>
  <c r="V114" i="1" s="1"/>
  <c r="Y113" i="1"/>
  <c r="X113" i="1"/>
  <c r="W113" i="1"/>
  <c r="U113" i="1"/>
  <c r="T113" i="1"/>
  <c r="Y112" i="1"/>
  <c r="X112" i="1"/>
  <c r="W112" i="1"/>
  <c r="U112" i="1"/>
  <c r="T112" i="1"/>
  <c r="Y111" i="1"/>
  <c r="X111" i="1"/>
  <c r="W111" i="1"/>
  <c r="U111" i="1"/>
  <c r="V111" i="1" s="1"/>
  <c r="T111" i="1"/>
  <c r="AO111" i="1" s="1"/>
  <c r="Y110" i="1"/>
  <c r="X110" i="1"/>
  <c r="W110" i="1"/>
  <c r="U110" i="1"/>
  <c r="E95" i="1" l="1"/>
  <c r="AD111" i="1"/>
  <c r="AQ111" i="1" s="1"/>
  <c r="AD115" i="1"/>
  <c r="AQ115" i="1" s="1"/>
  <c r="AD119" i="1"/>
  <c r="AQ119" i="1" s="1"/>
  <c r="AA111" i="1"/>
  <c r="AP111" i="1" s="1"/>
  <c r="AA115" i="1"/>
  <c r="AP115" i="1" s="1"/>
  <c r="AA119" i="1"/>
  <c r="AP119" i="1" s="1"/>
  <c r="AD110" i="1"/>
  <c r="AD112" i="1"/>
  <c r="AQ112" i="1" s="1"/>
  <c r="AD116" i="1"/>
  <c r="AQ116" i="1" s="1"/>
  <c r="AD120" i="1"/>
  <c r="AQ120" i="1" s="1"/>
  <c r="AA112" i="1"/>
  <c r="AP112" i="1" s="1"/>
  <c r="AA116" i="1"/>
  <c r="AP116" i="1" s="1"/>
  <c r="AA120" i="1"/>
  <c r="AP120" i="1" s="1"/>
  <c r="AA110" i="1"/>
  <c r="AD113" i="1"/>
  <c r="AQ113" i="1" s="1"/>
  <c r="AD117" i="1"/>
  <c r="AQ117" i="1" s="1"/>
  <c r="AD121" i="1"/>
  <c r="AQ121" i="1" s="1"/>
  <c r="AA113" i="1"/>
  <c r="AP113" i="1" s="1"/>
  <c r="AA117" i="1"/>
  <c r="AP117" i="1" s="1"/>
  <c r="AA121" i="1"/>
  <c r="AP121" i="1" s="1"/>
  <c r="AD114" i="1"/>
  <c r="AQ114" i="1" s="1"/>
  <c r="AD118" i="1"/>
  <c r="AQ118" i="1" s="1"/>
  <c r="AD122" i="1"/>
  <c r="AQ122" i="1" s="1"/>
  <c r="AA114" i="1"/>
  <c r="AP114" i="1" s="1"/>
  <c r="AA118" i="1"/>
  <c r="AP118" i="1" s="1"/>
  <c r="AA122" i="1"/>
  <c r="AP122" i="1" s="1"/>
  <c r="AO117" i="1"/>
  <c r="AN119" i="1"/>
  <c r="AN115" i="1"/>
  <c r="V110" i="1"/>
  <c r="V119" i="1"/>
  <c r="AN122" i="1"/>
  <c r="AN114" i="1"/>
  <c r="AO114" i="1"/>
  <c r="AZ130" i="1"/>
  <c r="AZ131" i="1" s="1"/>
  <c r="AZ138" i="1"/>
  <c r="BC138" i="1"/>
  <c r="BD130" i="1"/>
  <c r="BD137" i="1" s="1"/>
  <c r="BD138" i="1"/>
  <c r="BC130" i="1"/>
  <c r="BA138" i="1"/>
  <c r="BA130" i="1"/>
  <c r="AI112" i="1"/>
  <c r="K121" i="1"/>
  <c r="AL121" i="1" s="1"/>
  <c r="AO105" i="1"/>
  <c r="AF115" i="1"/>
  <c r="N117" i="1"/>
  <c r="K118" i="1"/>
  <c r="AL118" i="1" s="1"/>
  <c r="N113" i="1"/>
  <c r="AM113" i="1" s="1"/>
  <c r="AF110" i="1"/>
  <c r="AH110" i="1" s="1"/>
  <c r="AF111" i="1"/>
  <c r="AH111" i="1" s="1"/>
  <c r="AI117" i="1"/>
  <c r="AK117" i="1" s="1"/>
  <c r="AI114" i="1"/>
  <c r="AK114" i="1" s="1"/>
  <c r="K114" i="1"/>
  <c r="AL114" i="1" s="1"/>
  <c r="N121" i="1"/>
  <c r="AF119" i="1"/>
  <c r="AH119" i="1" s="1"/>
  <c r="AI119" i="1"/>
  <c r="AK119" i="1" s="1"/>
  <c r="BH147" i="1"/>
  <c r="K122" i="1"/>
  <c r="AL122" i="1" s="1"/>
  <c r="K113" i="1"/>
  <c r="AL113" i="1" s="1"/>
  <c r="N118" i="1"/>
  <c r="AF116" i="1"/>
  <c r="AH116" i="1" s="1"/>
  <c r="AI110" i="1"/>
  <c r="AK110" i="1" s="1"/>
  <c r="AI121" i="1"/>
  <c r="AK121" i="1" s="1"/>
  <c r="E100" i="1" s="1"/>
  <c r="AP110" i="1"/>
  <c r="AQ105" i="1"/>
  <c r="AR105" i="1"/>
  <c r="V112" i="1"/>
  <c r="AO112" i="1"/>
  <c r="AN120" i="1"/>
  <c r="AN116" i="1"/>
  <c r="AN112" i="1"/>
  <c r="V113" i="1"/>
  <c r="AO113" i="1"/>
  <c r="V115" i="1"/>
  <c r="V118" i="1"/>
  <c r="AO118" i="1"/>
  <c r="AI116" i="1"/>
  <c r="AK116" i="1" s="1"/>
  <c r="AI118" i="1"/>
  <c r="AK118" i="1" s="1"/>
  <c r="AF113" i="1"/>
  <c r="AH113" i="1" s="1"/>
  <c r="AF117" i="1"/>
  <c r="AH117" i="1" s="1"/>
  <c r="AF121" i="1"/>
  <c r="AH121" i="1" s="1"/>
  <c r="E99" i="1" s="1"/>
  <c r="N111" i="1"/>
  <c r="AM111" i="1" s="1"/>
  <c r="N115" i="1"/>
  <c r="N119" i="1"/>
  <c r="AM119" i="1" s="1"/>
  <c r="N110" i="1"/>
  <c r="K111" i="1"/>
  <c r="AL111" i="1" s="1"/>
  <c r="K115" i="1"/>
  <c r="AL115" i="1" s="1"/>
  <c r="K119" i="1"/>
  <c r="AL119" i="1" s="1"/>
  <c r="K110" i="1"/>
  <c r="AI111" i="1"/>
  <c r="AK111" i="1" s="1"/>
  <c r="AI113" i="1"/>
  <c r="AK113" i="1" s="1"/>
  <c r="AI120" i="1"/>
  <c r="AK120" i="1" s="1"/>
  <c r="AI122" i="1"/>
  <c r="AK122" i="1" s="1"/>
  <c r="AF114" i="1"/>
  <c r="AH114" i="1" s="1"/>
  <c r="AF118" i="1"/>
  <c r="AH118" i="1" s="1"/>
  <c r="AF122" i="1"/>
  <c r="AH122" i="1" s="1"/>
  <c r="N112" i="1"/>
  <c r="AM112" i="1" s="1"/>
  <c r="N116" i="1"/>
  <c r="N120" i="1"/>
  <c r="AM120" i="1" s="1"/>
  <c r="K112" i="1"/>
  <c r="AL112" i="1" s="1"/>
  <c r="K116" i="1"/>
  <c r="AL116" i="1" s="1"/>
  <c r="K120" i="1"/>
  <c r="AL120" i="1" s="1"/>
  <c r="K117" i="1"/>
  <c r="AL117" i="1" s="1"/>
  <c r="N122" i="1"/>
  <c r="AM122" i="1" s="1"/>
  <c r="N114" i="1"/>
  <c r="AM114" i="1" s="1"/>
  <c r="AN110" i="1"/>
  <c r="AF120" i="1"/>
  <c r="AH120" i="1" s="1"/>
  <c r="AF112" i="1"/>
  <c r="AH112" i="1" s="1"/>
  <c r="AI115" i="1"/>
  <c r="AK115" i="1" s="1"/>
  <c r="AO115" i="1"/>
  <c r="AO119" i="1"/>
  <c r="V121" i="1"/>
  <c r="V116" i="1"/>
  <c r="M10" i="1"/>
  <c r="BF69" i="1"/>
  <c r="BF65" i="1"/>
  <c r="AH73" i="3"/>
  <c r="AG73" i="3"/>
  <c r="AJ61" i="3"/>
  <c r="AI60" i="3" s="1"/>
  <c r="AJ60" i="3" s="1"/>
  <c r="AF61" i="3"/>
  <c r="AE60" i="3" s="1"/>
  <c r="AF60" i="3" s="1"/>
  <c r="AG60" i="3" s="1"/>
  <c r="AZ140" i="1" l="1"/>
  <c r="BA134" i="1"/>
  <c r="AX149" i="1"/>
  <c r="P78" i="1"/>
  <c r="AY115" i="1"/>
  <c r="AW115" i="1" s="1"/>
  <c r="AH115" i="1"/>
  <c r="AZ112" i="1"/>
  <c r="AX112" i="1" s="1"/>
  <c r="AK112" i="1"/>
  <c r="BA140" i="1"/>
  <c r="H118" i="1"/>
  <c r="L110" i="1"/>
  <c r="AL110" i="1"/>
  <c r="BA139" i="1"/>
  <c r="AZ139" i="1"/>
  <c r="AM117" i="1"/>
  <c r="AX150" i="1"/>
  <c r="BA137" i="1"/>
  <c r="BC137" i="1"/>
  <c r="AZ137" i="1"/>
  <c r="AS105" i="1"/>
  <c r="AR117" i="1"/>
  <c r="AT119" i="1"/>
  <c r="AT122" i="1"/>
  <c r="AT113" i="1"/>
  <c r="AT114" i="1"/>
  <c r="AR121" i="1"/>
  <c r="AT110" i="1"/>
  <c r="AR118" i="1"/>
  <c r="AR113" i="1"/>
  <c r="AR116" i="1"/>
  <c r="AO106" i="1"/>
  <c r="AR119" i="1"/>
  <c r="AT120" i="1"/>
  <c r="AT121" i="1"/>
  <c r="AT112" i="1"/>
  <c r="AR112" i="1"/>
  <c r="AR110" i="1"/>
  <c r="AR115" i="1"/>
  <c r="AT118" i="1"/>
  <c r="AR120" i="1"/>
  <c r="AT115" i="1"/>
  <c r="AT111" i="1"/>
  <c r="AR111" i="1"/>
  <c r="AT116" i="1"/>
  <c r="AR122" i="1"/>
  <c r="AR114" i="1"/>
  <c r="AT117" i="1"/>
  <c r="AM116" i="1"/>
  <c r="AM118" i="1"/>
  <c r="AM121" i="1"/>
  <c r="AZ110" i="1"/>
  <c r="AX110" i="1" s="1"/>
  <c r="AY111" i="1"/>
  <c r="AW111" i="1" s="1"/>
  <c r="AY120" i="1"/>
  <c r="AW120" i="1" s="1"/>
  <c r="AY114" i="1"/>
  <c r="AW114" i="1" s="1"/>
  <c r="AZ111" i="1"/>
  <c r="AX111" i="1" s="1"/>
  <c r="AY113" i="1"/>
  <c r="AW113" i="1" s="1"/>
  <c r="AY116" i="1"/>
  <c r="AW116" i="1" s="1"/>
  <c r="AZ119" i="1"/>
  <c r="AX119" i="1" s="1"/>
  <c r="AY110" i="1"/>
  <c r="AW110" i="1" s="1"/>
  <c r="BB110" i="1" s="1"/>
  <c r="AZ113" i="1"/>
  <c r="AX113" i="1" s="1"/>
  <c r="AY117" i="1"/>
  <c r="AW117" i="1" s="1"/>
  <c r="AZ122" i="1"/>
  <c r="AX122" i="1" s="1"/>
  <c r="AZ118" i="1"/>
  <c r="AX118" i="1" s="1"/>
  <c r="AY119" i="1"/>
  <c r="AW119" i="1" s="1"/>
  <c r="AZ114" i="1"/>
  <c r="AX114" i="1" s="1"/>
  <c r="AY112" i="1"/>
  <c r="AW112" i="1" s="1"/>
  <c r="AY118" i="1"/>
  <c r="AW118" i="1" s="1"/>
  <c r="BB118" i="1" s="1"/>
  <c r="AZ115" i="1"/>
  <c r="AX115" i="1" s="1"/>
  <c r="AY122" i="1"/>
  <c r="AW122" i="1" s="1"/>
  <c r="BB122" i="1" s="1"/>
  <c r="AZ120" i="1"/>
  <c r="AX120" i="1" s="1"/>
  <c r="AY121" i="1"/>
  <c r="AW121" i="1" s="1"/>
  <c r="BB121" i="1" s="1"/>
  <c r="H78" i="1" s="1"/>
  <c r="AZ116" i="1"/>
  <c r="AX116" i="1" s="1"/>
  <c r="AZ121" i="1"/>
  <c r="AX121" i="1" s="1"/>
  <c r="AZ117" i="1"/>
  <c r="AX117" i="1" s="1"/>
  <c r="L116" i="1"/>
  <c r="AE116" i="1"/>
  <c r="R112" i="1"/>
  <c r="R120" i="1"/>
  <c r="L122" i="1"/>
  <c r="AE112" i="1"/>
  <c r="O120" i="1"/>
  <c r="O117" i="1"/>
  <c r="AE121" i="1"/>
  <c r="E98" i="1" s="1"/>
  <c r="AB110" i="1"/>
  <c r="H113" i="1"/>
  <c r="H122" i="1"/>
  <c r="AB113" i="1"/>
  <c r="R110" i="1"/>
  <c r="L117" i="1"/>
  <c r="O110" i="1"/>
  <c r="AQ110" i="1"/>
  <c r="AE110" i="1"/>
  <c r="R111" i="1"/>
  <c r="AB117" i="1"/>
  <c r="L121" i="1"/>
  <c r="E93" i="1" s="1"/>
  <c r="L112" i="1"/>
  <c r="L119" i="1"/>
  <c r="O119" i="1"/>
  <c r="O116" i="1"/>
  <c r="AE117" i="1"/>
  <c r="AB114" i="1"/>
  <c r="AM110" i="1"/>
  <c r="H112" i="1"/>
  <c r="AE120" i="1"/>
  <c r="O113" i="1"/>
  <c r="R118" i="1"/>
  <c r="AE115" i="1"/>
  <c r="AB111" i="1"/>
  <c r="R122" i="1"/>
  <c r="H121" i="1"/>
  <c r="E104" i="1" s="1"/>
  <c r="AE114" i="1"/>
  <c r="AB120" i="1"/>
  <c r="R117" i="1"/>
  <c r="AE118" i="1"/>
  <c r="AB116" i="1"/>
  <c r="R113" i="1"/>
  <c r="R121" i="1"/>
  <c r="AE111" i="1"/>
  <c r="R114" i="1"/>
  <c r="H116" i="1"/>
  <c r="AE122" i="1"/>
  <c r="AB112" i="1"/>
  <c r="O118" i="1"/>
  <c r="AE119" i="1"/>
  <c r="AB119" i="1"/>
  <c r="H117" i="1"/>
  <c r="R115" i="1"/>
  <c r="AB121" i="1"/>
  <c r="E97" i="1" s="1"/>
  <c r="O114" i="1"/>
  <c r="L115" i="1"/>
  <c r="O115" i="1"/>
  <c r="AB118" i="1"/>
  <c r="R116" i="1"/>
  <c r="L114" i="1"/>
  <c r="O112" i="1"/>
  <c r="H119" i="1"/>
  <c r="H114" i="1"/>
  <c r="R119" i="1"/>
  <c r="AB115" i="1"/>
  <c r="O122" i="1"/>
  <c r="L113" i="1"/>
  <c r="L120" i="1"/>
  <c r="L111" i="1"/>
  <c r="O111" i="1"/>
  <c r="H115" i="1"/>
  <c r="AB122" i="1"/>
  <c r="AM115" i="1"/>
  <c r="L118" i="1"/>
  <c r="H111" i="1"/>
  <c r="AE113" i="1"/>
  <c r="O121" i="1"/>
  <c r="E94" i="1" s="1"/>
  <c r="H120" i="1"/>
  <c r="AK60" i="3"/>
  <c r="AE62" i="3"/>
  <c r="AF62" i="3" s="1"/>
  <c r="AG62" i="3" s="1"/>
  <c r="AI62" i="3"/>
  <c r="AJ62" i="3" s="1"/>
  <c r="AK62" i="3" s="1"/>
  <c r="AC71" i="3"/>
  <c r="AK61" i="3"/>
  <c r="AG61" i="3"/>
  <c r="BB112" i="1" l="1"/>
  <c r="BB114" i="1"/>
  <c r="BB117" i="1"/>
  <c r="BB116" i="1"/>
  <c r="BB115" i="1"/>
  <c r="BB113" i="1"/>
  <c r="BB120" i="1"/>
  <c r="BB119" i="1"/>
  <c r="BB111" i="1"/>
  <c r="BA118" i="1"/>
  <c r="BC139" i="1"/>
  <c r="BD140" i="1"/>
  <c r="AS135" i="1"/>
  <c r="BC140" i="1"/>
  <c r="AS138" i="1"/>
  <c r="AS134" i="1"/>
  <c r="BD139" i="1"/>
  <c r="AS114" i="1"/>
  <c r="BA114" i="1" s="1"/>
  <c r="AZ133" i="1"/>
  <c r="AZ134" i="1" s="1"/>
  <c r="BA133" i="1"/>
  <c r="AU110" i="1"/>
  <c r="BD110" i="1" s="1"/>
  <c r="AU115" i="1"/>
  <c r="BD115" i="1" s="1"/>
  <c r="AS119" i="1"/>
  <c r="BC119" i="1" s="1"/>
  <c r="AU122" i="1"/>
  <c r="BD122" i="1" s="1"/>
  <c r="AU116" i="1"/>
  <c r="BD116" i="1" s="1"/>
  <c r="AU117" i="1"/>
  <c r="BD117" i="1" s="1"/>
  <c r="AS120" i="1"/>
  <c r="BC120" i="1" s="1"/>
  <c r="AS117" i="1"/>
  <c r="BC117" i="1" s="1"/>
  <c r="AU114" i="1"/>
  <c r="BD114" i="1" s="1"/>
  <c r="AS112" i="1"/>
  <c r="BC112" i="1" s="1"/>
  <c r="AS106" i="1"/>
  <c r="BC132" i="1" s="1"/>
  <c r="AS111" i="1"/>
  <c r="BA111" i="1" s="1"/>
  <c r="AS122" i="1"/>
  <c r="BA122" i="1" s="1"/>
  <c r="AS115" i="1"/>
  <c r="BC115" i="1" s="1"/>
  <c r="AU120" i="1"/>
  <c r="BD120" i="1" s="1"/>
  <c r="AU112" i="1"/>
  <c r="BD112" i="1" s="1"/>
  <c r="AS118" i="1"/>
  <c r="AU121" i="1"/>
  <c r="BD121" i="1" s="1"/>
  <c r="AU113" i="1"/>
  <c r="BD113" i="1" s="1"/>
  <c r="AS121" i="1"/>
  <c r="BC121" i="1" s="1"/>
  <c r="AS113" i="1"/>
  <c r="BA113" i="1" s="1"/>
  <c r="AU118" i="1"/>
  <c r="BD118" i="1" s="1"/>
  <c r="AS110" i="1"/>
  <c r="BC110" i="1" s="1"/>
  <c r="AS116" i="1"/>
  <c r="BC116" i="1" s="1"/>
  <c r="AU119" i="1"/>
  <c r="BD119" i="1" s="1"/>
  <c r="AU111" i="1"/>
  <c r="BD111" i="1" s="1"/>
  <c r="AZ132" i="1"/>
  <c r="E105" i="1"/>
  <c r="F78" i="1" s="1"/>
  <c r="AF73" i="3"/>
  <c r="AJ73" i="3" s="1"/>
  <c r="O27" i="3" s="1"/>
  <c r="AE73" i="3"/>
  <c r="AI73" i="3" s="1"/>
  <c r="N27" i="3" s="1"/>
  <c r="BA120" i="1" l="1"/>
  <c r="L78" i="1"/>
  <c r="J78" i="1"/>
  <c r="N26" i="4" s="1"/>
  <c r="BA117" i="1"/>
  <c r="BA119" i="1"/>
  <c r="BA115" i="1"/>
  <c r="BA116" i="1"/>
  <c r="BA112" i="1"/>
  <c r="BA121" i="1"/>
  <c r="I78" i="1" s="1"/>
  <c r="BC114" i="1"/>
  <c r="BA110" i="1"/>
  <c r="G78" i="1"/>
  <c r="H26" i="4" s="1"/>
  <c r="BD133" i="1"/>
  <c r="BD134" i="1" s="1"/>
  <c r="BC111" i="1"/>
  <c r="BE111" i="1"/>
  <c r="BE113" i="1"/>
  <c r="BE117" i="1"/>
  <c r="BE121" i="1"/>
  <c r="BE114" i="1"/>
  <c r="BE118" i="1"/>
  <c r="BE122" i="1"/>
  <c r="BE115" i="1"/>
  <c r="BE119" i="1"/>
  <c r="BE110" i="1"/>
  <c r="BE112" i="1"/>
  <c r="BE116" i="1"/>
  <c r="BE120" i="1"/>
  <c r="E101" i="1"/>
  <c r="E78" i="1" s="1"/>
  <c r="BC122" i="1"/>
  <c r="BC133" i="1"/>
  <c r="BC134" i="1" s="1"/>
  <c r="BC118" i="1"/>
  <c r="K78" i="1" s="1"/>
  <c r="BA132" i="1"/>
  <c r="BC113" i="1"/>
  <c r="BD132" i="1"/>
  <c r="BA147" i="1" l="1"/>
  <c r="O26" i="4"/>
  <c r="BI113" i="1"/>
  <c r="BI110" i="1"/>
  <c r="BI116" i="1"/>
  <c r="BI115" i="1"/>
  <c r="BI114" i="1"/>
  <c r="BI112" i="1"/>
  <c r="BI111" i="1"/>
  <c r="BI121" i="1"/>
  <c r="BI122" i="1"/>
  <c r="BI117" i="1"/>
  <c r="BI120" i="1"/>
  <c r="BI119" i="1"/>
  <c r="BI118" i="1"/>
  <c r="BF112" i="1"/>
  <c r="BF116" i="1"/>
  <c r="BF120" i="1"/>
  <c r="BF114" i="1"/>
  <c r="BF118" i="1"/>
  <c r="BD147" i="1" s="1"/>
  <c r="BF122" i="1"/>
  <c r="BF111" i="1"/>
  <c r="BF115" i="1"/>
  <c r="BF119" i="1"/>
  <c r="BF110" i="1"/>
  <c r="BF113" i="1"/>
  <c r="BF117" i="1"/>
  <c r="BF121" i="1"/>
  <c r="X26" i="4"/>
  <c r="V36" i="1" s="1"/>
  <c r="V26" i="4"/>
  <c r="V34" i="1" s="1"/>
  <c r="T26" i="4"/>
  <c r="M40" i="1"/>
  <c r="U26" i="4" s="1"/>
  <c r="V33" i="1" s="1"/>
  <c r="K40" i="1"/>
  <c r="S26" i="4" s="1"/>
  <c r="V31" i="1" s="1"/>
  <c r="I40" i="1"/>
  <c r="R26" i="4" s="1"/>
  <c r="V30" i="1" s="1"/>
  <c r="M27" i="1"/>
  <c r="G27" i="1"/>
  <c r="M25" i="4"/>
  <c r="K14" i="1"/>
  <c r="F26" i="4" s="1"/>
  <c r="E26" i="4"/>
  <c r="Q10" i="1"/>
  <c r="O10" i="1"/>
  <c r="L10" i="1"/>
  <c r="N10" i="1"/>
  <c r="K10" i="1"/>
  <c r="J10" i="1"/>
  <c r="I10" i="1"/>
  <c r="H10" i="1"/>
  <c r="O78" i="1" l="1"/>
  <c r="V18" i="1"/>
  <c r="J30" i="4"/>
  <c r="V32" i="1"/>
  <c r="J34" i="4"/>
  <c r="AX152" i="1"/>
  <c r="AX153" i="1"/>
  <c r="AX147" i="1"/>
  <c r="V27" i="1"/>
  <c r="V20" i="1"/>
  <c r="V26" i="1"/>
  <c r="M21" i="1"/>
  <c r="M20" i="1" s="1"/>
  <c r="G20" i="1"/>
  <c r="G22" i="1" s="1"/>
  <c r="I26" i="4" s="1"/>
  <c r="V21" i="1" s="1"/>
  <c r="AY147" i="1" l="1"/>
  <c r="AX151" i="1" s="1"/>
  <c r="M78" i="1" s="1"/>
  <c r="AY152" i="1"/>
  <c r="N78" i="1" s="1"/>
  <c r="P10" i="1"/>
  <c r="E7" i="1"/>
  <c r="M22" i="1"/>
  <c r="J26" i="4" s="1"/>
  <c r="Q25" i="1"/>
  <c r="K26" i="4" s="1"/>
  <c r="M50" i="1"/>
  <c r="O50" i="1" s="1"/>
  <c r="O51" i="1"/>
  <c r="O52" i="1"/>
  <c r="O55" i="1"/>
  <c r="O57" i="1"/>
  <c r="M56" i="1"/>
  <c r="O56" i="1" s="1"/>
  <c r="M54" i="1"/>
  <c r="O54" i="1" s="1"/>
  <c r="J54" i="1"/>
  <c r="J55" i="1"/>
  <c r="J56" i="1"/>
  <c r="J57" i="1"/>
  <c r="G57" i="1"/>
  <c r="F57" i="1"/>
  <c r="E57" i="1"/>
  <c r="G56" i="1"/>
  <c r="F56" i="1"/>
  <c r="E56" i="1"/>
  <c r="G55" i="1"/>
  <c r="F55" i="1"/>
  <c r="E55" i="1"/>
  <c r="G54" i="1"/>
  <c r="F54" i="1"/>
  <c r="E54" i="1"/>
  <c r="D57" i="1"/>
  <c r="D56" i="1"/>
  <c r="D55" i="1"/>
  <c r="D54" i="1"/>
  <c r="H51" i="1"/>
  <c r="J51" i="1" s="1"/>
  <c r="H52" i="1"/>
  <c r="J52" i="1" s="1"/>
  <c r="G52" i="1"/>
  <c r="G51" i="1"/>
  <c r="F52" i="1"/>
  <c r="F51" i="1"/>
  <c r="D51" i="1"/>
  <c r="D52" i="1"/>
  <c r="H50" i="1"/>
  <c r="J50" i="1" s="1"/>
  <c r="G50" i="1"/>
  <c r="F50" i="1"/>
  <c r="E50" i="1"/>
  <c r="D50" i="1"/>
  <c r="F38" i="1"/>
  <c r="L34" i="1"/>
  <c r="F34" i="1"/>
  <c r="T40" i="1"/>
  <c r="T36" i="1"/>
  <c r="Q40" i="1"/>
  <c r="P40" i="1"/>
  <c r="C57" i="1" s="1"/>
  <c r="Q36" i="1"/>
  <c r="P36" i="1"/>
  <c r="C56" i="1" s="1"/>
  <c r="Q32" i="1"/>
  <c r="P32" i="1"/>
  <c r="C55" i="1" s="1"/>
  <c r="T32" i="1"/>
  <c r="T28" i="1"/>
  <c r="Q28" i="1"/>
  <c r="P28" i="1"/>
  <c r="C54" i="1" s="1"/>
  <c r="P24" i="1"/>
  <c r="E52" i="1" s="1"/>
  <c r="P23" i="1"/>
  <c r="E51" i="1" s="1"/>
  <c r="V23" i="1" l="1"/>
  <c r="V22" i="1"/>
  <c r="AX148" i="1"/>
  <c r="Q78" i="1"/>
  <c r="P26" i="4" s="1"/>
  <c r="R78" i="1"/>
  <c r="F40" i="1"/>
  <c r="L26" i="4"/>
  <c r="T44" i="1"/>
  <c r="Q26" i="4" s="1"/>
  <c r="J53" i="1"/>
  <c r="O53" i="1"/>
  <c r="O58" i="1"/>
  <c r="J58" i="1"/>
  <c r="V29" i="1" l="1"/>
  <c r="J35" i="4"/>
  <c r="V28" i="1"/>
  <c r="J32" i="4"/>
  <c r="W26" i="4"/>
  <c r="V24" i="1"/>
  <c r="M26" i="4"/>
  <c r="V25" i="1" s="1"/>
  <c r="M26" i="1"/>
  <c r="J34" i="1" s="1"/>
  <c r="M35" i="1" s="1"/>
  <c r="G26" i="1"/>
  <c r="D34" i="1" s="1"/>
  <c r="G35" i="1" s="1"/>
  <c r="J33" i="4" l="1"/>
  <c r="V35" i="1"/>
  <c r="J36" i="4"/>
  <c r="G26" i="4"/>
  <c r="U32" i="4" s="1"/>
  <c r="V19" i="1" l="1"/>
  <c r="J31" i="4"/>
</calcChain>
</file>

<file path=xl/comments1.xml><?xml version="1.0" encoding="utf-8"?>
<comments xmlns="http://schemas.openxmlformats.org/spreadsheetml/2006/main">
  <authors>
    <author>Автор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
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написать в свободной форме что именно и в каком количестве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<sst xmlns="http://schemas.openxmlformats.org/spreadsheetml/2006/main" count="597" uniqueCount="399">
  <si>
    <t>Теплоблок</t>
  </si>
  <si>
    <t>номер проекта</t>
  </si>
  <si>
    <t>Номер позиции в ОЛ Заказчика</t>
  </si>
  <si>
    <t>Е-113</t>
  </si>
  <si>
    <t>типоразмер К4</t>
  </si>
  <si>
    <t>Материал пластин</t>
  </si>
  <si>
    <t>желтым выделено то, что нужно выбрать из списка</t>
  </si>
  <si>
    <t>тип гофры</t>
  </si>
  <si>
    <t>Материал корпуса</t>
  </si>
  <si>
    <t>09Г2С</t>
  </si>
  <si>
    <t>гофра</t>
  </si>
  <si>
    <t>Принятая цена нормочаса, руб</t>
  </si>
  <si>
    <t>толщина пластины, мм</t>
  </si>
  <si>
    <t>номер у технолога</t>
  </si>
  <si>
    <t>ходы</t>
  </si>
  <si>
    <t>0000</t>
  </si>
  <si>
    <t>ИТОГО</t>
  </si>
  <si>
    <t>поз</t>
  </si>
  <si>
    <t>синим выделено то, что рассчитывавется само (НЕ ТРОГАТЬ)</t>
  </si>
  <si>
    <t>12Х18Н10Т</t>
  </si>
  <si>
    <t>Hast-C276</t>
  </si>
  <si>
    <t>Материал Корпуса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</si>
  <si>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</si>
  <si>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</si>
  <si>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</si>
  <si>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</si>
  <si>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</si>
  <si>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</si>
  <si>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прокладки панелей</t>
  </si>
  <si>
    <r>
      <rPr>
        <b/>
        <sz val="11"/>
        <color theme="1"/>
        <rFont val="Calibri"/>
        <family val="2"/>
        <charset val="204"/>
        <scheme val="minor"/>
      </rPr>
      <t xml:space="preserve">крышки </t>
    </r>
    <r>
      <rPr>
        <sz val="11"/>
        <color theme="1"/>
        <rFont val="Calibri"/>
        <family val="2"/>
        <scheme val="minor"/>
      </rPr>
      <t>(материал + обработка)</t>
    </r>
  </si>
  <si>
    <r>
      <rPr>
        <b/>
        <sz val="11"/>
        <color theme="1"/>
        <rFont val="Calibri"/>
        <family val="2"/>
        <charset val="204"/>
        <scheme val="minor"/>
      </rPr>
      <t xml:space="preserve">стойки </t>
    </r>
    <r>
      <rPr>
        <sz val="11"/>
        <color theme="1"/>
        <rFont val="Calibri"/>
        <family val="2"/>
        <scheme val="minor"/>
      </rPr>
      <t>(материал + обработка)</t>
    </r>
  </si>
  <si>
    <r>
      <rPr>
        <b/>
        <sz val="11"/>
        <color theme="1"/>
        <rFont val="Calibri"/>
        <family val="2"/>
        <charset val="204"/>
        <scheme val="minor"/>
      </rPr>
      <t xml:space="preserve">панели </t>
    </r>
    <r>
      <rPr>
        <sz val="11"/>
        <color theme="1"/>
        <rFont val="Calibri"/>
        <family val="2"/>
        <scheme val="minor"/>
      </rPr>
      <t>(материал+обработка, патрубки, фланцы)</t>
    </r>
  </si>
  <si>
    <t>Количество пластин</t>
  </si>
  <si>
    <t>К4-750</t>
  </si>
  <si>
    <t>AISI 316L</t>
  </si>
  <si>
    <t>SMO 254</t>
  </si>
  <si>
    <t>Внутренняя логистика</t>
  </si>
  <si>
    <t>ШОТ-БЛОК</t>
  </si>
  <si>
    <t>цена за 1 кг материала проточной части теплообменника</t>
  </si>
  <si>
    <t>Поправка на раскрой для плакировки и гребёнок</t>
  </si>
  <si>
    <r>
      <t xml:space="preserve">плакировка панелей </t>
    </r>
    <r>
      <rPr>
        <sz val="11"/>
        <color theme="1"/>
        <rFont val="Calibri"/>
        <family val="2"/>
        <charset val="204"/>
        <scheme val="minor"/>
      </rPr>
      <t xml:space="preserve"> (материал + раскрой)</t>
    </r>
  </si>
  <si>
    <t xml:space="preserve">Стоимость раскроя - песок, электричество, вода (руб/метр) </t>
  </si>
  <si>
    <t>пакет пластин (материал + раскрой)</t>
  </si>
  <si>
    <t>красным выделено то, что может менять только Генеральный директор</t>
  </si>
  <si>
    <t>зеркала, гребёнки, плакировка крышек, перегородки (материал + раскрой)</t>
  </si>
  <si>
    <t>внутренние распорки (шпильки+гайки)</t>
  </si>
  <si>
    <t>цена  шпильки М24х2000, шт</t>
  </si>
  <si>
    <t>Цена шпильки М24х1000, шт</t>
  </si>
  <si>
    <t>Цена шпильки М20х2000, шт</t>
  </si>
  <si>
    <t>Цена шпильки М20/М16х1000, шт</t>
  </si>
  <si>
    <t>РАСПОРКИ</t>
  </si>
  <si>
    <t>поправка на раскрой колонн</t>
  </si>
  <si>
    <t>поправка на раскрой крышек</t>
  </si>
  <si>
    <t>поправка на раскрой панелей</t>
  </si>
  <si>
    <t>МЕТАЛЛ</t>
  </si>
  <si>
    <t>ОБРАБОТКА 1 шт</t>
  </si>
  <si>
    <t>плотность</t>
  </si>
  <si>
    <t>цена раскроя</t>
  </si>
  <si>
    <t>КОЛОННА 1 штука</t>
  </si>
  <si>
    <t>КРЫШКА 1 штука</t>
  </si>
  <si>
    <t>ПАНЕЛЬ А 1 штука</t>
  </si>
  <si>
    <t>ПАНЕЛЬ Б 1 штука</t>
  </si>
  <si>
    <t>ОБРАБОТКА 1шт</t>
  </si>
  <si>
    <t>К4-200</t>
  </si>
  <si>
    <t>К4-300</t>
  </si>
  <si>
    <t>К4-400</t>
  </si>
  <si>
    <t>К4-150</t>
  </si>
  <si>
    <t>К4-500</t>
  </si>
  <si>
    <t>К4-1000</t>
  </si>
  <si>
    <t>К4-1200</t>
  </si>
  <si>
    <r>
      <t xml:space="preserve">Принятая цена материала </t>
    </r>
    <r>
      <rPr>
        <b/>
        <sz val="11"/>
        <color theme="1"/>
        <rFont val="Calibri"/>
        <family val="2"/>
        <charset val="204"/>
        <scheme val="minor"/>
      </rPr>
      <t>панелей</t>
    </r>
    <r>
      <rPr>
        <sz val="11"/>
        <color theme="1"/>
        <rFont val="Calibri"/>
        <family val="2"/>
        <charset val="204"/>
        <scheme val="minor"/>
      </rPr>
      <t>, руб за кг</t>
    </r>
  </si>
  <si>
    <r>
      <t xml:space="preserve">Принятая цена материала </t>
    </r>
    <r>
      <rPr>
        <b/>
        <sz val="11"/>
        <color theme="1"/>
        <rFont val="Calibri"/>
        <family val="2"/>
        <charset val="204"/>
        <scheme val="minor"/>
      </rPr>
      <t>колонн, крышек</t>
    </r>
    <r>
      <rPr>
        <sz val="11"/>
        <color theme="1"/>
        <rFont val="Calibri"/>
        <family val="2"/>
        <charset val="204"/>
        <scheme val="minor"/>
      </rPr>
      <t>, руб за кг</t>
    </r>
  </si>
  <si>
    <t>площадь крышки</t>
  </si>
  <si>
    <t>толщина проката, м</t>
  </si>
  <si>
    <t>вес загот, кг</t>
  </si>
  <si>
    <t>высота, м</t>
  </si>
  <si>
    <t>ширина, м</t>
  </si>
  <si>
    <t>Фланцы</t>
  </si>
  <si>
    <t>Ду25</t>
  </si>
  <si>
    <t>Ду40</t>
  </si>
  <si>
    <t>Ду32</t>
  </si>
  <si>
    <t>Ду50</t>
  </si>
  <si>
    <t>Ду65</t>
  </si>
  <si>
    <t>Ду80</t>
  </si>
  <si>
    <t>Ду100</t>
  </si>
  <si>
    <t>Ду125</t>
  </si>
  <si>
    <t>Ду150</t>
  </si>
  <si>
    <t>Ду200</t>
  </si>
  <si>
    <t>Ду250</t>
  </si>
  <si>
    <t>Ду300</t>
  </si>
  <si>
    <t>Ду350</t>
  </si>
  <si>
    <t>Ду400</t>
  </si>
  <si>
    <t>Ду450</t>
  </si>
  <si>
    <t>Ду500</t>
  </si>
  <si>
    <t>Ду600</t>
  </si>
  <si>
    <t>Ду800</t>
  </si>
  <si>
    <t>Ду1000</t>
  </si>
  <si>
    <t>Рядность</t>
  </si>
  <si>
    <t>Ру6</t>
  </si>
  <si>
    <t>Ру10</t>
  </si>
  <si>
    <t>Ру16</t>
  </si>
  <si>
    <t>Ру25</t>
  </si>
  <si>
    <t>Ру40</t>
  </si>
  <si>
    <t>Ру63</t>
  </si>
  <si>
    <t>Ру100</t>
  </si>
  <si>
    <t>Ру160</t>
  </si>
  <si>
    <t>Фланец №1</t>
  </si>
  <si>
    <t>Фланец №2</t>
  </si>
  <si>
    <t>цена 1шт</t>
  </si>
  <si>
    <t>Фланец №3</t>
  </si>
  <si>
    <t>Фланец №4</t>
  </si>
  <si>
    <t>Цена заготовки трубы под фланец №1, 1шт</t>
  </si>
  <si>
    <t>Цена заготовки трубы под фланец №2, 1шт</t>
  </si>
  <si>
    <t>Цена заготовки трубы под фланец №3, 1шт</t>
  </si>
  <si>
    <t>Цена заготовки трубы под фланец №4, 1шт</t>
  </si>
  <si>
    <t>КОФ</t>
  </si>
  <si>
    <t>КРЕПЕЖ ПАНЕЛЕЙ</t>
  </si>
  <si>
    <t>размер</t>
  </si>
  <si>
    <t>покрытие</t>
  </si>
  <si>
    <t>гайка</t>
  </si>
  <si>
    <t>шайба</t>
  </si>
  <si>
    <t>шпилька</t>
  </si>
  <si>
    <t>материал</t>
  </si>
  <si>
    <t>40Х</t>
  </si>
  <si>
    <t>30ХМА</t>
  </si>
  <si>
    <t>20ХН3А</t>
  </si>
  <si>
    <t>38ХМ (35ХМ)</t>
  </si>
  <si>
    <t>М33</t>
  </si>
  <si>
    <t>М39</t>
  </si>
  <si>
    <t>М42</t>
  </si>
  <si>
    <t>М36</t>
  </si>
  <si>
    <t>М48</t>
  </si>
  <si>
    <t>М24</t>
  </si>
  <si>
    <t>М30</t>
  </si>
  <si>
    <t>КРЕПЁЖ ПАНЕЛЕЙ</t>
  </si>
  <si>
    <t>Zn-Cr 25мкм</t>
  </si>
  <si>
    <t>Zn-Cr 9мкм</t>
  </si>
  <si>
    <t>Cd-Cr</t>
  </si>
  <si>
    <t>КРЕПЕЖ ДЛЯ ФЛАНЦЕВ</t>
  </si>
  <si>
    <t>М16</t>
  </si>
  <si>
    <t>ст35</t>
  </si>
  <si>
    <t>ст40Х</t>
  </si>
  <si>
    <t>количество</t>
  </si>
  <si>
    <t>цена за 1шт</t>
  </si>
  <si>
    <t>крепёж</t>
  </si>
  <si>
    <t>М18</t>
  </si>
  <si>
    <t>М20</t>
  </si>
  <si>
    <t>М22</t>
  </si>
  <si>
    <t>М27</t>
  </si>
  <si>
    <t>Чернение</t>
  </si>
  <si>
    <t>прокладка</t>
  </si>
  <si>
    <t>ЦЕНА 1шт</t>
  </si>
  <si>
    <t>комплект</t>
  </si>
  <si>
    <t>обтюратор</t>
  </si>
  <si>
    <t>1шт</t>
  </si>
  <si>
    <t>Цена 1 шт</t>
  </si>
  <si>
    <t>ИТОГО ПАНЕЛЬ</t>
  </si>
  <si>
    <t>ИТОГО ПАТРУБКИ</t>
  </si>
  <si>
    <t>количество запасных комплектов (резерв на давление)</t>
  </si>
  <si>
    <t>комплект 4шт</t>
  </si>
  <si>
    <t>ИТОГО 2 панели с патрубками</t>
  </si>
  <si>
    <t>МЕТАЛЛ на 1шт</t>
  </si>
  <si>
    <t>МЕТАЛЛ на 1 шт</t>
  </si>
  <si>
    <t>ОБРАБОТКА за 1шт</t>
  </si>
  <si>
    <t>ПРОКЛАДКИ ПАНЕЛЕЙ</t>
  </si>
  <si>
    <t>Цена на патрубок (фланец+труба) дренажа, 1шт</t>
  </si>
  <si>
    <t>Цена на патрубок(фланец+труба) вентиляции, 1шт</t>
  </si>
  <si>
    <t>ИТОГО 1 крышка</t>
  </si>
  <si>
    <t>ИТОГО 1 колонна</t>
  </si>
  <si>
    <t>металл</t>
  </si>
  <si>
    <t>обработка</t>
  </si>
  <si>
    <t>ПРОУШИНЫ, комплект</t>
  </si>
  <si>
    <t>ЛАПЫ, комплект</t>
  </si>
  <si>
    <t>РАСКОСЫ, комплект</t>
  </si>
  <si>
    <t>ЗИП</t>
  </si>
  <si>
    <t>крепёж панелей</t>
  </si>
  <si>
    <t>сумма</t>
  </si>
  <si>
    <t>Фланцевый крепёж</t>
  </si>
  <si>
    <t>Фланцевые прокладки</t>
  </si>
  <si>
    <t>Прокладки панелей</t>
  </si>
  <si>
    <t>крепёж к фундаменту, анкерные болты</t>
  </si>
  <si>
    <t>впишите информацию</t>
  </si>
  <si>
    <t>ДРУГОЕ</t>
  </si>
  <si>
    <t>К4-600*300</t>
  </si>
  <si>
    <t>К4-500*250</t>
  </si>
  <si>
    <t>К4-1000*500</t>
  </si>
  <si>
    <t>К4-1200*600</t>
  </si>
  <si>
    <t>толщина пластины</t>
  </si>
  <si>
    <t>м2</t>
  </si>
  <si>
    <t>материал пластин</t>
  </si>
  <si>
    <t>Titanium</t>
  </si>
  <si>
    <t>AISI 304</t>
  </si>
  <si>
    <t>Материал плакировки панелей</t>
  </si>
  <si>
    <t>материал корпуса</t>
  </si>
  <si>
    <t>ст20</t>
  </si>
  <si>
    <t>AISI 321</t>
  </si>
  <si>
    <t>AISI 316Ti</t>
  </si>
  <si>
    <t>ст3</t>
  </si>
  <si>
    <t>толщина плакировки, мм</t>
  </si>
  <si>
    <t>глубина вытяжки, мм</t>
  </si>
  <si>
    <t>тип поверхности</t>
  </si>
  <si>
    <t>дв. лунка</t>
  </si>
  <si>
    <t>од. лунка</t>
  </si>
  <si>
    <t>шпилька-лунка</t>
  </si>
  <si>
    <t>типоразмер</t>
  </si>
  <si>
    <t>тип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</si>
  <si>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</si>
  <si>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</si>
  <si>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</si>
  <si>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</si>
  <si>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t>прокладки панелей (1 комплект)</t>
  </si>
  <si>
    <t>резервных комплектов предусмотрено</t>
  </si>
  <si>
    <t>Принятая Цена материала проточной части за кг, руб</t>
  </si>
  <si>
    <t>количество нормачасов</t>
  </si>
  <si>
    <t>0605;1210</t>
  </si>
  <si>
    <t>К4-600</t>
  </si>
  <si>
    <t>ширина панели А</t>
  </si>
  <si>
    <t>ширина панели Б</t>
  </si>
  <si>
    <r>
      <t xml:space="preserve">КРЕПЁЖ ПАНЕЛЕЙ шпильки и гайки </t>
    </r>
    <r>
      <rPr>
        <sz val="11"/>
        <color theme="1"/>
        <rFont val="Calibri"/>
        <family val="2"/>
        <charset val="204"/>
        <scheme val="minor"/>
      </rPr>
      <t>(для стяжки панелей)</t>
    </r>
  </si>
  <si>
    <t>КОРПУС</t>
  </si>
  <si>
    <t>СОЕДИНЕНИЯ</t>
  </si>
  <si>
    <t>РАБОТЫ</t>
  </si>
  <si>
    <t>внутренняя логитика</t>
  </si>
  <si>
    <t>проушины</t>
  </si>
  <si>
    <t>лапы</t>
  </si>
  <si>
    <t>раскосы</t>
  </si>
  <si>
    <t>неучтёнка</t>
  </si>
  <si>
    <t>другие материалы</t>
  </si>
  <si>
    <t>НЕУЧТЁНКА</t>
  </si>
  <si>
    <t>СВОДНЫЙ РЕЗУЛЬТАТ</t>
  </si>
  <si>
    <t>ПРОЧЕЕ</t>
  </si>
  <si>
    <t>работы</t>
  </si>
  <si>
    <t>панели</t>
  </si>
  <si>
    <t>плакировка панелей</t>
  </si>
  <si>
    <t>крышки</t>
  </si>
  <si>
    <t>колонны</t>
  </si>
  <si>
    <t>резерв прокладок панелей</t>
  </si>
  <si>
    <t>пакет пластин</t>
  </si>
  <si>
    <t>зеркала-гребёнки-плакировка крышек-перегородки</t>
  </si>
  <si>
    <t>распорки</t>
  </si>
  <si>
    <t>раскосы для ШОТ_БЛОКА</t>
  </si>
  <si>
    <t>ПРОВЕРКА</t>
  </si>
  <si>
    <r>
      <t xml:space="preserve">Расчетная температура, </t>
    </r>
    <r>
      <rPr>
        <sz val="11"/>
        <color theme="1"/>
        <rFont val="Calibri"/>
        <family val="2"/>
        <charset val="204"/>
      </rPr>
      <t>°С</t>
    </r>
  </si>
  <si>
    <t>Допускаемые напряжения 09Г2С, МПа</t>
  </si>
  <si>
    <t>Расчетное давление, МПа</t>
  </si>
  <si>
    <t>Давление гидроиспытаний, МПа</t>
  </si>
  <si>
    <t>Температура, °С</t>
  </si>
  <si>
    <t>Ϭ,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</si>
  <si>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</si>
  <si>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</si>
  <si>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</si>
  <si>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</si>
  <si>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</si>
  <si>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</si>
  <si>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Плотность материалов</t>
  </si>
  <si>
    <t>кг/мм3</t>
  </si>
  <si>
    <t>904L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</si>
  <si>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</si>
  <si>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</si>
  <si>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</si>
  <si>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</si>
  <si>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</si>
  <si>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</si>
  <si>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</si>
  <si>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нержавейки</t>
  </si>
  <si>
    <t>Масса пластин</t>
  </si>
  <si>
    <t>Масса листов плакирующих панели</t>
  </si>
  <si>
    <t>Длина резки нержавейки 1мм</t>
  </si>
  <si>
    <t>Кол-во 1 м шпилек, шт</t>
  </si>
  <si>
    <t>Кол-во 2 м шпилек, шт</t>
  </si>
  <si>
    <t>DIN 933</t>
  </si>
  <si>
    <t>DIN 6330</t>
  </si>
  <si>
    <t>Наименование детали</t>
  </si>
  <si>
    <t>Масса, кг</t>
  </si>
  <si>
    <t>Гребенка 4шт</t>
  </si>
  <si>
    <t>Полоса гребенки 4шт</t>
  </si>
  <si>
    <t>Лист концевой 2шт</t>
  </si>
  <si>
    <t>Зеркало лист 8шт</t>
  </si>
  <si>
    <t>Зеркало А 4шт</t>
  </si>
  <si>
    <t>Зеркало Б 4шт</t>
  </si>
  <si>
    <t>Лист плакирующий А 2шт</t>
  </si>
  <si>
    <t xml:space="preserve">Лист плакирующий Б 2шт </t>
  </si>
  <si>
    <t>Масса пластин, кг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</si>
  <si>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</si>
  <si>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</si>
  <si>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</si>
  <si>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</si>
  <si>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</si>
  <si>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</si>
  <si>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</si>
  <si>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</si>
  <si>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Пластины</t>
  </si>
  <si>
    <t>Высота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</si>
  <si>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</si>
  <si>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</si>
  <si>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</si>
  <si>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</si>
  <si>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</si>
  <si>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</si>
  <si>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</si>
  <si>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</si>
  <si>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</si>
  <si>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</si>
  <si>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</si>
  <si>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заготовки</t>
  </si>
  <si>
    <t>Ширина заготовки</t>
  </si>
  <si>
    <t>масса заготовок</t>
  </si>
  <si>
    <t>Высота пластины</t>
  </si>
  <si>
    <t>Высота пакета пластин</t>
  </si>
  <si>
    <t>Не используется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</si>
  <si>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</si>
  <si>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</si>
  <si>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</si>
  <si>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</si>
  <si>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</si>
  <si>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</si>
  <si>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</si>
  <si>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</si>
  <si>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</si>
  <si>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</si>
  <si>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</si>
  <si>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</si>
  <si>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</si>
  <si>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</si>
  <si>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</si>
  <si>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</si>
  <si>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</si>
  <si>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</si>
  <si>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</si>
  <si>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</si>
  <si>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Не применимо</t>
  </si>
  <si>
    <t>Длина (средний периметр)</t>
  </si>
  <si>
    <t>А</t>
  </si>
  <si>
    <t>Б</t>
  </si>
  <si>
    <t>3 столбца не трогать</t>
  </si>
  <si>
    <t>Количество ходов</t>
  </si>
  <si>
    <t>1 строка</t>
  </si>
  <si>
    <t>кол-во распорок с дефлекторами</t>
  </si>
  <si>
    <t>1 строка таблицы</t>
  </si>
  <si>
    <t>кол-во из 1м шпильки</t>
  </si>
  <si>
    <t>кол-во 1 м шпилек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</si>
  <si>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</si>
  <si>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</si>
  <si>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</si>
  <si>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</si>
  <si>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А сторона</t>
  </si>
  <si>
    <t>Б сторона</t>
  </si>
  <si>
    <t>Горизонтальные длина</t>
  </si>
  <si>
    <t>Вертикальные длина</t>
  </si>
  <si>
    <t>Сторона А кол-во, шт</t>
  </si>
  <si>
    <t>Длина 1шт</t>
  </si>
  <si>
    <t>Сторона Б кол-во, шт</t>
  </si>
  <si>
    <t>Кол-во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</si>
  <si>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</si>
  <si>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</si>
  <si>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</si>
  <si>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</si>
  <si>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</si>
  <si>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</si>
  <si>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</si>
  <si>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2хода</t>
  </si>
  <si>
    <t>четное</t>
  </si>
  <si>
    <t>нечетное</t>
  </si>
  <si>
    <t>1 ход</t>
  </si>
  <si>
    <t>кол-во горизонтальных распорок пакета пластин</t>
  </si>
  <si>
    <t>кол-во 1 м шпилек вертикальных</t>
  </si>
  <si>
    <t>Шаг установки распорок</t>
  </si>
  <si>
    <t>пластина</t>
  </si>
  <si>
    <t>плакировка</t>
  </si>
  <si>
    <t>ДРУГИЕ МАТЕРИАЛЫ (не ЗИП), например, теплоизоляция, короб теплоизоляции, втулки для крепления теплоизоляции</t>
  </si>
  <si>
    <t>кол-во пластин</t>
  </si>
  <si>
    <t>Толщина плакировки панелей</t>
  </si>
  <si>
    <t>AISI316Ti</t>
  </si>
  <si>
    <t>Плотность пакета, кг/мм3</t>
  </si>
  <si>
    <t>плотность плакировки,кг/мм3</t>
  </si>
  <si>
    <t>Длина резки плакировки панелей</t>
  </si>
  <si>
    <t>Длина резки нержавейки пакета пластин</t>
  </si>
  <si>
    <t>Сумма 3мм Теплоблок (пакет)</t>
  </si>
  <si>
    <t>Сумма 3мм Теплоблок (плакировка)</t>
  </si>
  <si>
    <t>Длина резки нержавейки гребёнки, зеркала, плакировка крышек</t>
  </si>
  <si>
    <t>Гребёнки, зеркала, плакировка крышек</t>
  </si>
  <si>
    <t>большие</t>
  </si>
  <si>
    <t>остальные</t>
  </si>
  <si>
    <t>цена выс. гайки М24 DIN6330, шт</t>
  </si>
  <si>
    <t>цена гайки М24 DIN933, шт</t>
  </si>
  <si>
    <t>цена гайки М20/М16 DIN933, шт</t>
  </si>
  <si>
    <t>СЕРДЕЧНИК</t>
  </si>
  <si>
    <t>Исходные заполяет технолог</t>
  </si>
  <si>
    <t>тип поставки</t>
  </si>
  <si>
    <t>Целый ТА</t>
  </si>
  <si>
    <t>РЕИНЖ</t>
  </si>
  <si>
    <t>втулка теплоизоляции 90шт</t>
  </si>
  <si>
    <t>ФАЙЛ: ВЕРСИЯ 7 для битрикс</t>
  </si>
  <si>
    <t>зелёным выделено то, что нужно ввести в ручную ТЕХНОЛОГ</t>
  </si>
  <si>
    <t>желтым выделено то, что нужно выбрать из списка ТЕХНОЛОГ</t>
  </si>
  <si>
    <t>оранжевым выделено то, что нужно ввести в ручную или выбрать из списка ИНЖЕНЕРАМ-КОНСТРУКТОРАМ</t>
  </si>
  <si>
    <t>зелёным выделено то, что нужно ввести в ручную СНАБЖЕНИЕ</t>
  </si>
  <si>
    <t>оранжевым выделено то, что нужно ввести в ручную или выбрать из списка должны вводить ИНЖЕНЕРЫ-КОНСТРУКТОРЫ</t>
  </si>
  <si>
    <t>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</si>
</sst>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&quot;р.&quot;_-;\-* #,##0.00&quot;р.&quot;_-;_-* &quot;-&quot;??&quot;р.&quot;_-;_-@_-"/>
    <numFmt numFmtId="165" formatCode="#,##0.00&quot;р.&quot;"/>
    <numFmt numFmtId="166" formatCode="0.0"/>
    <numFmt numFmtId="167" formatCode="#,##0.0000"/>
    <numFmt numFmtId="168" formatCode="0.000"/>
    <numFmt numFmtId="169" formatCode="#,##0\ &quot;₽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4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b/>
      <sz val="28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2" fillId="2" borderId="0" xfId="0" applyNumberFormat="1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49" fontId="0" fillId="2" borderId="17" xfId="0" applyNumberFormat="1" applyFill="1" applyBorder="1" applyAlignment="1" applyProtection="1">
      <alignment vertical="center"/>
      <protection locked="0"/>
    </xf>
    <xf numFmtId="166" fontId="0" fillId="2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166" fontId="0" fillId="0" borderId="0" xfId="0" applyNumberFormat="1" applyProtection="1"/>
    <xf numFmtId="0" fontId="0" fillId="0" borderId="1" xfId="0" applyBorder="1" applyProtection="1"/>
    <xf numFmtId="0" fontId="0" fillId="7" borderId="14" xfId="0" applyFill="1" applyBorder="1" applyAlignment="1" applyProtection="1">
      <alignment horizontal="center" vertical="center" wrapText="1"/>
    </xf>
    <xf numFmtId="0" fontId="0" fillId="7" borderId="26" xfId="0" applyFill="1" applyBorder="1" applyAlignment="1" applyProtection="1">
      <alignment horizontal="center" vertical="center" wrapText="1"/>
    </xf>
    <xf numFmtId="0" fontId="0" fillId="7" borderId="27" xfId="0" applyFill="1" applyBorder="1" applyAlignment="1" applyProtection="1">
      <alignment vertical="center" wrapText="1"/>
    </xf>
    <xf numFmtId="0" fontId="0" fillId="7" borderId="1" xfId="0" applyFill="1" applyBorder="1" applyAlignment="1" applyProtection="1">
      <alignment horizontal="center" vertical="center" wrapText="1"/>
    </xf>
    <xf numFmtId="0" fontId="16" fillId="7" borderId="26" xfId="0" applyFont="1" applyFill="1" applyBorder="1" applyAlignment="1" applyProtection="1">
      <alignment horizontal="center" vertical="center" wrapText="1"/>
    </xf>
    <xf numFmtId="0" fontId="0" fillId="7" borderId="30" xfId="0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2" borderId="9" xfId="0" applyFill="1" applyBorder="1" applyAlignment="1" applyProtection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166" fontId="0" fillId="0" borderId="12" xfId="0" applyNumberForma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165" fontId="0" fillId="0" borderId="40" xfId="0" applyNumberFormat="1" applyBorder="1" applyAlignment="1" applyProtection="1">
      <alignment horizontal="center" vertical="center"/>
    </xf>
    <xf numFmtId="165" fontId="0" fillId="0" borderId="41" xfId="0" applyNumberFormat="1" applyBorder="1" applyAlignment="1" applyProtection="1">
      <alignment horizontal="center" vertical="center"/>
    </xf>
    <xf numFmtId="165" fontId="0" fillId="0" borderId="12" xfId="0" applyNumberFormat="1" applyBorder="1" applyAlignment="1" applyProtection="1">
      <alignment horizontal="center" vertical="center"/>
    </xf>
    <xf numFmtId="165" fontId="0" fillId="0" borderId="42" xfId="0" applyNumberFormat="1" applyBorder="1" applyAlignment="1" applyProtection="1">
      <alignment horizontal="center" vertical="center"/>
    </xf>
    <xf numFmtId="165" fontId="0" fillId="0" borderId="46" xfId="0" applyNumberForma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2" borderId="1" xfId="0" applyFill="1" applyBorder="1" applyProtection="1"/>
    <xf numFmtId="0" fontId="16" fillId="0" borderId="1" xfId="0" applyFont="1" applyBorder="1" applyAlignment="1" applyProtection="1">
      <alignment horizontal="right"/>
    </xf>
    <xf numFmtId="0" fontId="0" fillId="8" borderId="0" xfId="0" applyFill="1" applyProtection="1"/>
    <xf numFmtId="0" fontId="9" fillId="7" borderId="31" xfId="0" applyFont="1" applyFill="1" applyBorder="1" applyAlignment="1" applyProtection="1">
      <alignment horizontal="center" vertical="center" wrapText="1"/>
    </xf>
    <xf numFmtId="0" fontId="16" fillId="0" borderId="52" xfId="0" applyFont="1" applyBorder="1" applyAlignment="1" applyProtection="1">
      <alignment horizontal="right"/>
    </xf>
    <xf numFmtId="0" fontId="16" fillId="0" borderId="12" xfId="0" applyFont="1" applyBorder="1" applyAlignment="1" applyProtection="1">
      <alignment horizontal="right"/>
    </xf>
    <xf numFmtId="165" fontId="25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right"/>
    </xf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2" xfId="0" applyBorder="1" applyAlignment="1" applyProtection="1">
      <alignment horizontal="right"/>
    </xf>
    <xf numFmtId="0" fontId="16" fillId="0" borderId="26" xfId="0" applyFont="1" applyBorder="1" applyAlignment="1" applyProtection="1">
      <alignment horizontal="right"/>
    </xf>
    <xf numFmtId="2" fontId="0" fillId="0" borderId="30" xfId="0" applyNumberFormat="1" applyFill="1" applyBorder="1" applyProtection="1"/>
    <xf numFmtId="0" fontId="0" fillId="0" borderId="5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0" fillId="0" borderId="0" xfId="0" applyFill="1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9" xfId="0" applyBorder="1" applyAlignment="1" applyProtection="1">
      <alignment horizontal="right"/>
    </xf>
    <xf numFmtId="165" fontId="25" fillId="2" borderId="10" xfId="0" applyNumberFormat="1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0" fillId="9" borderId="0" xfId="0" applyFill="1" applyProtection="1"/>
    <xf numFmtId="0" fontId="0" fillId="10" borderId="0" xfId="0" applyFill="1" applyProtection="1"/>
    <xf numFmtId="0" fontId="0" fillId="0" borderId="0" xfId="0" applyBorder="1" applyAlignment="1" applyProtection="1">
      <alignment horizontal="right"/>
    </xf>
    <xf numFmtId="0" fontId="0" fillId="0" borderId="2" xfId="0" applyBorder="1" applyAlignment="1" applyProtection="1">
      <alignment horizontal="right"/>
    </xf>
    <xf numFmtId="0" fontId="0" fillId="0" borderId="20" xfId="0" applyFill="1" applyBorder="1" applyAlignment="1" applyProtection="1">
      <alignment horizontal="right"/>
    </xf>
    <xf numFmtId="165" fontId="16" fillId="0" borderId="22" xfId="0" applyNumberFormat="1" applyFont="1" applyBorder="1" applyProtection="1"/>
    <xf numFmtId="0" fontId="0" fillId="0" borderId="20" xfId="0" applyBorder="1" applyProtection="1"/>
    <xf numFmtId="0" fontId="0" fillId="0" borderId="21" xfId="0" applyBorder="1" applyProtection="1"/>
    <xf numFmtId="0" fontId="0" fillId="0" borderId="15" xfId="0" applyBorder="1" applyProtection="1"/>
    <xf numFmtId="165" fontId="25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72" xfId="0" applyFill="1" applyBorder="1" applyAlignment="1" applyProtection="1">
      <alignment horizontal="right"/>
    </xf>
    <xf numFmtId="165" fontId="16" fillId="0" borderId="73" xfId="0" applyNumberFormat="1" applyFont="1" applyBorder="1" applyProtection="1"/>
    <xf numFmtId="0" fontId="0" fillId="0" borderId="7" xfId="0" applyBorder="1" applyProtection="1"/>
    <xf numFmtId="0" fontId="0" fillId="0" borderId="1" xfId="0" applyFill="1" applyBorder="1" applyAlignment="1" applyProtection="1">
      <alignment horizontal="right"/>
    </xf>
    <xf numFmtId="0" fontId="16" fillId="0" borderId="53" xfId="0" applyFont="1" applyBorder="1" applyAlignment="1" applyProtection="1">
      <alignment horizontal="right"/>
    </xf>
    <xf numFmtId="2" fontId="0" fillId="0" borderId="29" xfId="0" applyNumberFormat="1" applyFill="1" applyBorder="1" applyProtection="1"/>
    <xf numFmtId="167" fontId="21" fillId="4" borderId="10" xfId="0" applyNumberFormat="1" applyFont="1" applyFill="1" applyBorder="1" applyAlignment="1" applyProtection="1">
      <alignment horizontal="right" vertical="center"/>
      <protection locked="0"/>
    </xf>
    <xf numFmtId="165" fontId="16" fillId="2" borderId="1" xfId="0" applyNumberFormat="1" applyFont="1" applyFill="1" applyBorder="1" applyAlignment="1" applyProtection="1">
      <alignment horizontal="left"/>
    </xf>
    <xf numFmtId="165" fontId="27" fillId="4" borderId="10" xfId="0" applyNumberFormat="1" applyFont="1" applyFill="1" applyBorder="1" applyAlignment="1" applyProtection="1">
      <alignment horizontal="left"/>
    </xf>
    <xf numFmtId="165" fontId="25" fillId="2" borderId="52" xfId="0" applyNumberFormat="1" applyFont="1" applyFill="1" applyBorder="1" applyAlignment="1" applyProtection="1">
      <alignment horizontal="left" vertical="center"/>
      <protection locked="0"/>
    </xf>
    <xf numFmtId="167" fontId="21" fillId="4" borderId="65" xfId="0" applyNumberFormat="1" applyFont="1" applyFill="1" applyBorder="1" applyAlignment="1" applyProtection="1">
      <alignment horizontal="right" vertical="center"/>
      <protection locked="0"/>
    </xf>
    <xf numFmtId="0" fontId="0" fillId="0" borderId="53" xfId="0" applyBorder="1" applyAlignment="1" applyProtection="1">
      <alignment horizontal="right"/>
    </xf>
    <xf numFmtId="165" fontId="25" fillId="2" borderId="53" xfId="0" applyNumberFormat="1" applyFont="1" applyFill="1" applyBorder="1" applyAlignment="1" applyProtection="1">
      <alignment horizontal="left" vertical="center"/>
      <protection locked="0"/>
    </xf>
    <xf numFmtId="168" fontId="0" fillId="4" borderId="10" xfId="0" applyNumberFormat="1" applyFill="1" applyBorder="1" applyProtection="1"/>
    <xf numFmtId="165" fontId="16" fillId="2" borderId="10" xfId="0" applyNumberFormat="1" applyFont="1" applyFill="1" applyBorder="1" applyAlignment="1" applyProtection="1">
      <alignment horizontal="left"/>
    </xf>
    <xf numFmtId="165" fontId="16" fillId="2" borderId="59" xfId="0" applyNumberFormat="1" applyFont="1" applyFill="1" applyBorder="1" applyAlignment="1" applyProtection="1">
      <alignment horizontal="left" vertical="center"/>
      <protection locked="0"/>
    </xf>
    <xf numFmtId="165" fontId="16" fillId="2" borderId="62" xfId="0" applyNumberFormat="1" applyFont="1" applyFill="1" applyBorder="1" applyAlignment="1" applyProtection="1">
      <alignment horizontal="left" vertical="center"/>
      <protection locked="0"/>
    </xf>
    <xf numFmtId="165" fontId="16" fillId="2" borderId="57" xfId="0" applyNumberFormat="1" applyFont="1" applyFill="1" applyBorder="1" applyAlignment="1" applyProtection="1">
      <alignment horizontal="left" vertical="center"/>
      <protection locked="0"/>
    </xf>
    <xf numFmtId="165" fontId="16" fillId="2" borderId="29" xfId="0" applyNumberFormat="1" applyFont="1" applyFill="1" applyBorder="1" applyAlignment="1" applyProtection="1">
      <alignment horizontal="left"/>
      <protection locked="0"/>
    </xf>
    <xf numFmtId="165" fontId="16" fillId="2" borderId="10" xfId="0" applyNumberFormat="1" applyFont="1" applyFill="1" applyBorder="1" applyAlignment="1" applyProtection="1">
      <alignment horizontal="left"/>
      <protection locked="0"/>
    </xf>
    <xf numFmtId="165" fontId="16" fillId="2" borderId="13" xfId="0" applyNumberFormat="1" applyFont="1" applyFill="1" applyBorder="1" applyAlignment="1" applyProtection="1">
      <alignment horizontal="left"/>
      <protection locked="0"/>
    </xf>
    <xf numFmtId="165" fontId="16" fillId="2" borderId="10" xfId="0" applyNumberFormat="1" applyFont="1" applyFill="1" applyBorder="1" applyProtection="1"/>
    <xf numFmtId="165" fontId="16" fillId="2" borderId="13" xfId="0" applyNumberFormat="1" applyFont="1" applyFill="1" applyBorder="1" applyProtection="1"/>
    <xf numFmtId="0" fontId="0" fillId="2" borderId="53" xfId="0" applyFill="1" applyBorder="1" applyProtection="1"/>
    <xf numFmtId="165" fontId="16" fillId="4" borderId="29" xfId="0" applyNumberFormat="1" applyFont="1" applyFill="1" applyBorder="1" applyProtection="1"/>
    <xf numFmtId="165" fontId="16" fillId="4" borderId="10" xfId="0" applyNumberFormat="1" applyFont="1" applyFill="1" applyBorder="1" applyProtection="1"/>
    <xf numFmtId="165" fontId="28" fillId="4" borderId="29" xfId="0" applyNumberFormat="1" applyFont="1" applyFill="1" applyBorder="1" applyProtection="1"/>
    <xf numFmtId="165" fontId="28" fillId="4" borderId="10" xfId="0" applyNumberFormat="1" applyFont="1" applyFill="1" applyBorder="1" applyProtection="1"/>
    <xf numFmtId="0" fontId="16" fillId="2" borderId="53" xfId="0" applyFont="1" applyFill="1" applyBorder="1" applyProtection="1"/>
    <xf numFmtId="0" fontId="16" fillId="2" borderId="1" xfId="0" applyFont="1" applyFill="1" applyBorder="1" applyProtection="1"/>
    <xf numFmtId="0" fontId="0" fillId="2" borderId="9" xfId="0" applyFill="1" applyBorder="1" applyProtection="1"/>
    <xf numFmtId="165" fontId="16" fillId="2" borderId="76" xfId="0" applyNumberFormat="1" applyFont="1" applyFill="1" applyBorder="1" applyProtection="1"/>
    <xf numFmtId="0" fontId="9" fillId="0" borderId="11" xfId="0" applyFont="1" applyBorder="1" applyAlignment="1" applyProtection="1">
      <alignment horizontal="right"/>
    </xf>
    <xf numFmtId="0" fontId="0" fillId="9" borderId="4" xfId="0" applyFill="1" applyBorder="1" applyAlignment="1" applyProtection="1">
      <alignment vertical="center" wrapText="1"/>
    </xf>
    <xf numFmtId="0" fontId="0" fillId="9" borderId="0" xfId="0" applyFill="1" applyBorder="1" applyProtection="1"/>
    <xf numFmtId="165" fontId="31" fillId="4" borderId="13" xfId="0" applyNumberFormat="1" applyFont="1" applyFill="1" applyBorder="1" applyProtection="1"/>
    <xf numFmtId="0" fontId="9" fillId="0" borderId="11" xfId="0" applyFont="1" applyFill="1" applyBorder="1" applyAlignment="1" applyProtection="1">
      <alignment horizontal="right"/>
    </xf>
    <xf numFmtId="165" fontId="31" fillId="4" borderId="13" xfId="0" applyNumberFormat="1" applyFont="1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</xf>
    <xf numFmtId="0" fontId="13" fillId="9" borderId="0" xfId="0" applyFont="1" applyFill="1" applyAlignment="1" applyProtection="1">
      <alignment vertical="center"/>
    </xf>
    <xf numFmtId="165" fontId="0" fillId="9" borderId="0" xfId="0" applyNumberFormat="1" applyFill="1" applyBorder="1" applyProtection="1">
      <protection locked="0"/>
    </xf>
    <xf numFmtId="165" fontId="9" fillId="9" borderId="0" xfId="0" applyNumberFormat="1" applyFont="1" applyFill="1" applyBorder="1" applyAlignment="1" applyProtection="1">
      <alignment horizontal="center" vertical="center"/>
    </xf>
    <xf numFmtId="165" fontId="7" fillId="9" borderId="0" xfId="0" applyNumberFormat="1" applyFont="1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/>
    <xf numFmtId="165" fontId="9" fillId="9" borderId="0" xfId="0" applyNumberFormat="1" applyFont="1" applyFill="1" applyBorder="1" applyAlignment="1" applyProtection="1">
      <alignment horizontal="center" vertical="center"/>
    </xf>
    <xf numFmtId="49" fontId="0" fillId="9" borderId="0" xfId="0" applyNumberFormat="1" applyFill="1" applyAlignment="1" applyProtection="1">
      <alignment horizontal="center" vertical="center"/>
    </xf>
    <xf numFmtId="0" fontId="0" fillId="8" borderId="0" xfId="0" applyFill="1" applyBorder="1" applyAlignment="1" applyProtection="1"/>
    <xf numFmtId="49" fontId="0" fillId="8" borderId="0" xfId="0" applyNumberFormat="1" applyFill="1" applyProtection="1"/>
    <xf numFmtId="0" fontId="0" fillId="8" borderId="0" xfId="0" applyFill="1" applyAlignment="1" applyProtection="1">
      <alignment horizontal="center" vertical="center"/>
    </xf>
    <xf numFmtId="0" fontId="0" fillId="11" borderId="1" xfId="0" applyFill="1" applyBorder="1" applyProtection="1"/>
    <xf numFmtId="0" fontId="24" fillId="11" borderId="53" xfId="0" applyFont="1" applyFill="1" applyBorder="1" applyProtection="1"/>
    <xf numFmtId="0" fontId="24" fillId="11" borderId="1" xfId="0" applyFont="1" applyFill="1" applyBorder="1" applyProtection="1"/>
    <xf numFmtId="0" fontId="0" fillId="9" borderId="22" xfId="0" applyFill="1" applyBorder="1" applyProtection="1"/>
    <xf numFmtId="0" fontId="0" fillId="9" borderId="88" xfId="0" applyFill="1" applyBorder="1" applyProtection="1"/>
    <xf numFmtId="0" fontId="0" fillId="9" borderId="22" xfId="0" applyFill="1" applyBorder="1" applyAlignment="1" applyProtection="1">
      <alignment horizontal="center" vertical="center"/>
    </xf>
    <xf numFmtId="165" fontId="25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2" xfId="0" applyFont="1" applyBorder="1" applyAlignment="1" applyProtection="1">
      <alignment horizontal="right"/>
    </xf>
    <xf numFmtId="165" fontId="31" fillId="4" borderId="13" xfId="0" applyNumberFormat="1" applyFont="1" applyFill="1" applyBorder="1" applyAlignment="1" applyProtection="1">
      <alignment horizontal="right" vertical="center"/>
      <protection locked="0"/>
    </xf>
    <xf numFmtId="165" fontId="21" fillId="0" borderId="10" xfId="0" applyNumberFormat="1" applyFont="1" applyFill="1" applyBorder="1" applyAlignment="1" applyProtection="1">
      <alignment horizontal="right" vertical="center"/>
      <protection locked="0"/>
    </xf>
    <xf numFmtId="0" fontId="19" fillId="0" borderId="12" xfId="0" applyFont="1" applyFill="1" applyBorder="1" applyAlignment="1" applyProtection="1">
      <alignment horizontal="right"/>
    </xf>
    <xf numFmtId="165" fontId="29" fillId="4" borderId="1" xfId="0" applyNumberFormat="1" applyFont="1" applyFill="1" applyBorder="1" applyAlignment="1" applyProtection="1">
      <alignment horizontal="right"/>
    </xf>
    <xf numFmtId="0" fontId="27" fillId="0" borderId="1" xfId="0" applyFont="1" applyFill="1" applyBorder="1" applyAlignment="1" applyProtection="1">
      <alignment horizontal="right"/>
    </xf>
    <xf numFmtId="165" fontId="26" fillId="0" borderId="10" xfId="0" applyNumberFormat="1" applyFont="1" applyBorder="1" applyAlignment="1" applyProtection="1"/>
    <xf numFmtId="0" fontId="21" fillId="0" borderId="12" xfId="0" applyFont="1" applyBorder="1" applyAlignment="1" applyProtection="1">
      <alignment horizontal="right"/>
    </xf>
    <xf numFmtId="0" fontId="0" fillId="11" borderId="65" xfId="0" applyFill="1" applyBorder="1" applyProtection="1"/>
    <xf numFmtId="164" fontId="26" fillId="6" borderId="26" xfId="0" applyNumberFormat="1" applyFont="1" applyFill="1" applyBorder="1" applyAlignment="1" applyProtection="1">
      <alignment vertical="center"/>
    </xf>
    <xf numFmtId="0" fontId="26" fillId="6" borderId="1" xfId="0" applyFont="1" applyFill="1" applyBorder="1" applyProtection="1"/>
    <xf numFmtId="0" fontId="26" fillId="5" borderId="0" xfId="0" applyFont="1" applyFill="1" applyProtection="1"/>
    <xf numFmtId="0" fontId="26" fillId="2" borderId="0" xfId="0" applyFont="1" applyFill="1" applyProtection="1"/>
    <xf numFmtId="0" fontId="0" fillId="12" borderId="20" xfId="0" applyFill="1" applyBorder="1" applyProtection="1"/>
    <xf numFmtId="0" fontId="0" fillId="12" borderId="0" xfId="0" applyFill="1" applyBorder="1" applyProtection="1"/>
    <xf numFmtId="0" fontId="0" fillId="0" borderId="89" xfId="0" applyBorder="1" applyProtection="1"/>
    <xf numFmtId="0" fontId="0" fillId="0" borderId="91" xfId="0" applyBorder="1" applyProtection="1"/>
    <xf numFmtId="0" fontId="0" fillId="0" borderId="92" xfId="0" applyBorder="1" applyProtection="1"/>
    <xf numFmtId="49" fontId="0" fillId="0" borderId="91" xfId="0" applyNumberFormat="1" applyBorder="1" applyProtection="1"/>
    <xf numFmtId="0" fontId="0" fillId="0" borderId="94" xfId="0" applyBorder="1" applyProtection="1"/>
    <xf numFmtId="0" fontId="0" fillId="0" borderId="95" xfId="0" applyBorder="1" applyProtection="1"/>
    <xf numFmtId="0" fontId="0" fillId="0" borderId="90" xfId="0" applyBorder="1" applyProtection="1"/>
    <xf numFmtId="0" fontId="0" fillId="0" borderId="93" xfId="0" applyBorder="1" applyProtection="1"/>
    <xf numFmtId="0" fontId="0" fillId="0" borderId="23" xfId="0" applyBorder="1" applyProtection="1"/>
    <xf numFmtId="0" fontId="0" fillId="0" borderId="93" xfId="0" applyBorder="1" applyAlignment="1" applyProtection="1">
      <alignment horizontal="center" vertical="center"/>
    </xf>
    <xf numFmtId="0" fontId="0" fillId="0" borderId="91" xfId="0" applyFill="1" applyBorder="1" applyProtection="1"/>
    <xf numFmtId="0" fontId="0" fillId="0" borderId="92" xfId="0" applyFill="1" applyBorder="1" applyProtection="1"/>
    <xf numFmtId="166" fontId="0" fillId="0" borderId="97" xfId="0" applyNumberFormat="1" applyBorder="1" applyProtection="1"/>
    <xf numFmtId="165" fontId="32" fillId="2" borderId="80" xfId="0" applyNumberFormat="1" applyFont="1" applyFill="1" applyBorder="1" applyAlignment="1" applyProtection="1">
      <alignment horizontal="center" vertical="center"/>
      <protection locked="0"/>
    </xf>
    <xf numFmtId="165" fontId="32" fillId="2" borderId="83" xfId="0" applyNumberFormat="1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 wrapText="1"/>
    </xf>
    <xf numFmtId="166" fontId="0" fillId="3" borderId="1" xfId="0" applyNumberFormat="1" applyFill="1" applyBorder="1" applyAlignment="1" applyProtection="1">
      <alignment horizontal="center" vertical="center"/>
      <protection locked="0"/>
    </xf>
    <xf numFmtId="0" fontId="24" fillId="9" borderId="0" xfId="0" applyFont="1" applyFill="1" applyProtection="1"/>
    <xf numFmtId="166" fontId="0" fillId="11" borderId="10" xfId="0" applyNumberFormat="1" applyFill="1" applyBorder="1" applyAlignment="1" applyProtection="1">
      <alignment horizontal="center" vertical="center"/>
      <protection locked="0"/>
    </xf>
    <xf numFmtId="0" fontId="0" fillId="0" borderId="92" xfId="0" applyBorder="1" applyAlignment="1" applyProtection="1">
      <alignment horizontal="right"/>
    </xf>
    <xf numFmtId="0" fontId="0" fillId="0" borderId="92" xfId="0" applyFill="1" applyBorder="1" applyAlignment="1" applyProtection="1">
      <alignment horizontal="right"/>
    </xf>
    <xf numFmtId="166" fontId="0" fillId="0" borderId="91" xfId="0" applyNumberFormat="1" applyBorder="1" applyProtection="1"/>
    <xf numFmtId="0" fontId="9" fillId="0" borderId="89" xfId="0" applyFont="1" applyBorder="1" applyProtection="1"/>
    <xf numFmtId="0" fontId="9" fillId="0" borderId="95" xfId="0" applyFont="1" applyBorder="1" applyProtection="1"/>
    <xf numFmtId="0" fontId="9" fillId="0" borderId="95" xfId="0" applyFont="1" applyBorder="1" applyAlignment="1" applyProtection="1">
      <alignment horizontal="right"/>
    </xf>
    <xf numFmtId="0" fontId="9" fillId="0" borderId="89" xfId="0" applyFont="1" applyBorder="1" applyAlignment="1" applyProtection="1">
      <alignment horizontal="right"/>
    </xf>
    <xf numFmtId="0" fontId="0" fillId="9" borderId="0" xfId="0" applyFill="1" applyBorder="1" applyAlignment="1" applyProtection="1">
      <alignment vertical="center" wrapText="1"/>
    </xf>
    <xf numFmtId="165" fontId="6" fillId="9" borderId="0" xfId="0" applyNumberFormat="1" applyFont="1" applyFill="1" applyBorder="1" applyAlignment="1" applyProtection="1">
      <alignment vertical="center" wrapText="1"/>
    </xf>
    <xf numFmtId="0" fontId="6" fillId="9" borderId="0" xfId="0" applyFont="1" applyFill="1" applyBorder="1" applyAlignment="1" applyProtection="1">
      <alignment vertical="center" wrapText="1"/>
    </xf>
    <xf numFmtId="0" fontId="16" fillId="12" borderId="79" xfId="0" applyFont="1" applyFill="1" applyBorder="1" applyAlignment="1" applyProtection="1">
      <alignment horizontal="center" vertical="center"/>
      <protection locked="0"/>
    </xf>
    <xf numFmtId="0" fontId="16" fillId="12" borderId="80" xfId="0" applyFont="1" applyFill="1" applyBorder="1" applyAlignment="1" applyProtection="1">
      <alignment horizontal="center" vertical="center"/>
      <protection locked="0"/>
    </xf>
    <xf numFmtId="0" fontId="16" fillId="12" borderId="80" xfId="0" applyFont="1" applyFill="1" applyBorder="1" applyAlignment="1" applyProtection="1">
      <alignment horizontal="center" vertical="center" wrapText="1"/>
    </xf>
    <xf numFmtId="165" fontId="16" fillId="12" borderId="80" xfId="0" applyNumberFormat="1" applyFont="1" applyFill="1" applyBorder="1" applyAlignment="1" applyProtection="1">
      <alignment horizontal="center" vertical="center" wrapText="1"/>
      <protection locked="0"/>
    </xf>
    <xf numFmtId="165" fontId="30" fillId="12" borderId="80" xfId="0" applyNumberFormat="1" applyFont="1" applyFill="1" applyBorder="1" applyAlignment="1" applyProtection="1">
      <alignment horizontal="center" vertical="center" wrapText="1"/>
      <protection locked="0"/>
    </xf>
    <xf numFmtId="0" fontId="30" fillId="12" borderId="83" xfId="0" applyFont="1" applyFill="1" applyBorder="1" applyAlignment="1" applyProtection="1">
      <alignment horizontal="center" vertical="center" wrapText="1"/>
    </xf>
    <xf numFmtId="0" fontId="0" fillId="13" borderId="101" xfId="0" applyFill="1" applyBorder="1" applyAlignment="1" applyProtection="1">
      <alignment horizontal="center" vertical="center" wrapText="1"/>
    </xf>
    <xf numFmtId="4" fontId="0" fillId="13" borderId="101" xfId="0" applyNumberFormat="1" applyFill="1" applyBorder="1" applyAlignment="1" applyProtection="1">
      <alignment horizontal="center" vertical="center"/>
      <protection locked="0"/>
    </xf>
    <xf numFmtId="2" fontId="0" fillId="13" borderId="101" xfId="0" applyNumberFormat="1" applyFill="1" applyBorder="1" applyAlignment="1" applyProtection="1">
      <alignment horizontal="center" vertical="center"/>
    </xf>
    <xf numFmtId="165" fontId="0" fillId="13" borderId="101" xfId="0" applyNumberFormat="1" applyFill="1" applyBorder="1" applyAlignment="1" applyProtection="1">
      <alignment horizontal="center" vertical="center"/>
      <protection locked="0"/>
    </xf>
    <xf numFmtId="2" fontId="0" fillId="13" borderId="102" xfId="0" applyNumberFormat="1" applyFill="1" applyBorder="1" applyAlignment="1" applyProtection="1">
      <alignment horizontal="center" vertical="center"/>
    </xf>
    <xf numFmtId="165" fontId="0" fillId="0" borderId="56" xfId="0" applyNumberFormat="1" applyBorder="1" applyAlignment="1" applyProtection="1">
      <alignment horizontal="center" vertical="center"/>
    </xf>
    <xf numFmtId="0" fontId="9" fillId="7" borderId="105" xfId="0" applyFont="1" applyFill="1" applyBorder="1" applyAlignment="1" applyProtection="1">
      <alignment horizontal="center" vertical="center" wrapText="1"/>
    </xf>
    <xf numFmtId="0" fontId="0" fillId="0" borderId="28" xfId="0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right" vertical="center"/>
    </xf>
    <xf numFmtId="165" fontId="31" fillId="0" borderId="13" xfId="0" applyNumberFormat="1" applyFont="1" applyFill="1" applyBorder="1" applyAlignment="1" applyProtection="1">
      <alignment horizontal="right"/>
    </xf>
    <xf numFmtId="0" fontId="0" fillId="10" borderId="0" xfId="0" applyFill="1" applyAlignment="1" applyProtection="1"/>
    <xf numFmtId="0" fontId="0" fillId="8" borderId="0" xfId="0" applyFill="1" applyAlignment="1" applyProtection="1"/>
    <xf numFmtId="165" fontId="4" fillId="13" borderId="100" xfId="0" applyNumberFormat="1" applyFont="1" applyFill="1" applyBorder="1" applyAlignment="1" applyProtection="1">
      <alignment horizontal="center" vertical="center"/>
      <protection locked="0"/>
    </xf>
    <xf numFmtId="165" fontId="4" fillId="13" borderId="101" xfId="0" applyNumberFormat="1" applyFont="1" applyFill="1" applyBorder="1" applyAlignment="1" applyProtection="1">
      <alignment horizontal="center" vertical="center"/>
      <protection locked="0"/>
    </xf>
    <xf numFmtId="0" fontId="4" fillId="13" borderId="101" xfId="0" applyFont="1" applyFill="1" applyBorder="1" applyAlignment="1" applyProtection="1">
      <alignment horizontal="center" vertical="center" wrapText="1"/>
    </xf>
    <xf numFmtId="0" fontId="4" fillId="13" borderId="101" xfId="0" applyFont="1" applyFill="1" applyBorder="1" applyAlignment="1" applyProtection="1">
      <alignment horizontal="center" vertical="center"/>
    </xf>
    <xf numFmtId="3" fontId="4" fillId="2" borderId="29" xfId="0" applyNumberFormat="1" applyFont="1" applyFill="1" applyBorder="1" applyAlignment="1" applyProtection="1">
      <alignment horizontal="left" vertical="center"/>
    </xf>
    <xf numFmtId="49" fontId="0" fillId="0" borderId="91" xfId="0" applyNumberFormat="1" applyFill="1" applyBorder="1" applyProtection="1"/>
    <xf numFmtId="49" fontId="35" fillId="0" borderId="93" xfId="0" applyNumberFormat="1" applyFont="1" applyFill="1" applyBorder="1" applyProtection="1"/>
    <xf numFmtId="0" fontId="35" fillId="0" borderId="23" xfId="0" applyFont="1" applyBorder="1" applyAlignment="1" applyProtection="1">
      <alignment horizontal="right"/>
    </xf>
    <xf numFmtId="0" fontId="35" fillId="0" borderId="94" xfId="0" applyFont="1" applyBorder="1" applyAlignment="1" applyProtection="1">
      <alignment horizontal="right"/>
    </xf>
    <xf numFmtId="49" fontId="35" fillId="0" borderId="91" xfId="0" applyNumberFormat="1" applyFont="1" applyBorder="1" applyProtection="1"/>
    <xf numFmtId="0" fontId="35" fillId="0" borderId="0" xfId="0" applyFont="1" applyFill="1" applyBorder="1" applyAlignment="1" applyProtection="1">
      <alignment horizontal="right"/>
    </xf>
    <xf numFmtId="0" fontId="35" fillId="0" borderId="92" xfId="0" applyFont="1" applyFill="1" applyBorder="1" applyAlignment="1" applyProtection="1">
      <alignment horizontal="right"/>
    </xf>
    <xf numFmtId="165" fontId="26" fillId="13" borderId="18" xfId="0" applyNumberFormat="1" applyFont="1" applyFill="1" applyBorder="1" applyAlignment="1" applyProtection="1">
      <alignment horizontal="center" vertical="center"/>
      <protection locked="0"/>
    </xf>
    <xf numFmtId="165" fontId="0" fillId="13" borderId="1" xfId="0" applyNumberFormat="1" applyFill="1" applyBorder="1" applyAlignment="1" applyProtection="1">
      <alignment horizontal="center" vertical="center"/>
    </xf>
    <xf numFmtId="165" fontId="0" fillId="13" borderId="1" xfId="0" applyNumberFormat="1" applyFill="1" applyBorder="1" applyAlignment="1" applyProtection="1">
      <alignment horizontal="center" vertical="center"/>
      <protection locked="0"/>
    </xf>
    <xf numFmtId="165" fontId="0" fillId="13" borderId="19" xfId="0" applyNumberFormat="1" applyFill="1" applyBorder="1" applyAlignment="1" applyProtection="1">
      <alignment horizontal="center" vertical="center"/>
      <protection locked="0"/>
    </xf>
    <xf numFmtId="165" fontId="0" fillId="13" borderId="18" xfId="0" applyNumberFormat="1" applyFill="1" applyBorder="1" applyAlignment="1" applyProtection="1">
      <alignment horizontal="center" vertical="center"/>
      <protection locked="0"/>
    </xf>
    <xf numFmtId="165" fontId="0" fillId="13" borderId="43" xfId="0" applyNumberFormat="1" applyFill="1" applyBorder="1" applyAlignment="1" applyProtection="1">
      <alignment horizontal="center" vertical="center"/>
      <protection locked="0"/>
    </xf>
    <xf numFmtId="165" fontId="0" fillId="13" borderId="34" xfId="0" applyNumberFormat="1" applyFill="1" applyBorder="1" applyAlignment="1" applyProtection="1">
      <alignment horizontal="center" vertical="center"/>
    </xf>
    <xf numFmtId="165" fontId="0" fillId="13" borderId="16" xfId="0" applyNumberFormat="1" applyFill="1" applyBorder="1" applyAlignment="1" applyProtection="1">
      <alignment horizontal="center" vertical="center"/>
      <protection locked="0"/>
    </xf>
    <xf numFmtId="165" fontId="0" fillId="13" borderId="50" xfId="0" applyNumberFormat="1" applyFill="1" applyBorder="1" applyAlignment="1" applyProtection="1">
      <alignment horizontal="center" vertical="center"/>
      <protection locked="0"/>
    </xf>
    <xf numFmtId="0" fontId="9" fillId="13" borderId="19" xfId="0" applyFont="1" applyFill="1" applyBorder="1" applyAlignment="1" applyProtection="1">
      <alignment horizontal="center" vertical="center" wrapText="1"/>
    </xf>
    <xf numFmtId="0" fontId="9" fillId="9" borderId="0" xfId="0" applyFont="1" applyFill="1" applyBorder="1" applyAlignment="1" applyProtection="1">
      <alignment horizontal="right" vertical="center"/>
    </xf>
    <xf numFmtId="165" fontId="31" fillId="9" borderId="0" xfId="0" applyNumberFormat="1" applyFont="1" applyFill="1" applyBorder="1" applyAlignment="1" applyProtection="1">
      <alignment horizontal="right"/>
    </xf>
    <xf numFmtId="0" fontId="16" fillId="0" borderId="99" xfId="0" applyFont="1" applyFill="1" applyBorder="1" applyAlignment="1" applyProtection="1">
      <alignment horizontal="center" vertical="center" wrapText="1"/>
    </xf>
    <xf numFmtId="165" fontId="31" fillId="2" borderId="107" xfId="0" applyNumberFormat="1" applyFont="1" applyFill="1" applyBorder="1" applyAlignment="1" applyProtection="1">
      <alignment horizontal="right" vertical="center"/>
    </xf>
    <xf numFmtId="165" fontId="16" fillId="2" borderId="29" xfId="0" applyNumberFormat="1" applyFont="1" applyFill="1" applyBorder="1" applyAlignment="1" applyProtection="1">
      <alignment horizontal="left"/>
    </xf>
    <xf numFmtId="165" fontId="31" fillId="0" borderId="13" xfId="0" applyNumberFormat="1" applyFont="1" applyBorder="1" applyAlignment="1" applyProtection="1"/>
    <xf numFmtId="0" fontId="0" fillId="0" borderId="9" xfId="0" applyFill="1" applyBorder="1" applyProtection="1"/>
    <xf numFmtId="0" fontId="0" fillId="0" borderId="14" xfId="0" applyBorder="1" applyProtection="1"/>
    <xf numFmtId="165" fontId="16" fillId="2" borderId="30" xfId="0" applyNumberFormat="1" applyFont="1" applyFill="1" applyBorder="1" applyAlignment="1" applyProtection="1">
      <alignment horizontal="left"/>
    </xf>
    <xf numFmtId="165" fontId="25" fillId="2" borderId="68" xfId="0" applyNumberFormat="1" applyFont="1" applyFill="1" applyBorder="1" applyAlignment="1" applyProtection="1">
      <alignment horizontal="right" vertical="center"/>
      <protection locked="0"/>
    </xf>
    <xf numFmtId="0" fontId="0" fillId="0" borderId="74" xfId="0" applyFill="1" applyBorder="1" applyAlignment="1" applyProtection="1">
      <alignment horizontal="right"/>
    </xf>
    <xf numFmtId="165" fontId="0" fillId="13" borderId="108" xfId="0" applyNumberFormat="1" applyFill="1" applyBorder="1" applyAlignment="1" applyProtection="1">
      <alignment horizontal="center" vertical="center"/>
    </xf>
    <xf numFmtId="165" fontId="0" fillId="0" borderId="118" xfId="0" applyNumberFormat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14" fillId="7" borderId="89" xfId="0" applyFont="1" applyFill="1" applyBorder="1" applyAlignment="1" applyProtection="1">
      <alignment vertical="center"/>
    </xf>
    <xf numFmtId="0" fontId="0" fillId="7" borderId="91" xfId="0" applyFill="1" applyBorder="1" applyAlignment="1" applyProtection="1">
      <alignment wrapText="1"/>
    </xf>
    <xf numFmtId="164" fontId="26" fillId="13" borderId="93" xfId="0" applyNumberFormat="1" applyFont="1" applyFill="1" applyBorder="1" applyAlignment="1" applyProtection="1">
      <alignment horizontal="center" vertical="center"/>
    </xf>
    <xf numFmtId="165" fontId="26" fillId="13" borderId="38" xfId="0" applyNumberFormat="1" applyFont="1" applyFill="1" applyBorder="1" applyAlignment="1" applyProtection="1">
      <alignment horizontal="center" vertical="center"/>
    </xf>
    <xf numFmtId="165" fontId="0" fillId="0" borderId="39" xfId="0" applyNumberFormat="1" applyBorder="1" applyAlignment="1" applyProtection="1">
      <alignment horizontal="center" vertical="center"/>
    </xf>
    <xf numFmtId="165" fontId="0" fillId="0" borderId="119" xfId="0" applyNumberFormat="1" applyBorder="1" applyAlignment="1" applyProtection="1">
      <alignment horizontal="center" vertical="center"/>
    </xf>
    <xf numFmtId="165" fontId="28" fillId="13" borderId="28" xfId="0" applyNumberFormat="1" applyFont="1" applyFill="1" applyBorder="1" applyAlignment="1" applyProtection="1">
      <alignment horizontal="right"/>
    </xf>
    <xf numFmtId="165" fontId="28" fillId="13" borderId="9" xfId="0" applyNumberFormat="1" applyFont="1" applyFill="1" applyBorder="1" applyAlignment="1" applyProtection="1">
      <alignment horizontal="right"/>
    </xf>
    <xf numFmtId="165" fontId="28" fillId="13" borderId="11" xfId="0" applyNumberFormat="1" applyFont="1" applyFill="1" applyBorder="1" applyAlignment="1" applyProtection="1">
      <alignment horizontal="right"/>
    </xf>
    <xf numFmtId="0" fontId="0" fillId="10" borderId="0" xfId="0" applyFill="1" applyBorder="1" applyProtection="1"/>
    <xf numFmtId="0" fontId="0" fillId="8" borderId="0" xfId="0" applyFill="1" applyBorder="1" applyProtection="1"/>
    <xf numFmtId="0" fontId="17" fillId="10" borderId="0" xfId="0" applyFont="1" applyFill="1" applyBorder="1" applyAlignment="1" applyProtection="1">
      <alignment vertical="center"/>
    </xf>
    <xf numFmtId="0" fontId="0" fillId="10" borderId="0" xfId="0" applyFill="1" applyBorder="1" applyAlignment="1" applyProtection="1"/>
    <xf numFmtId="0" fontId="0" fillId="0" borderId="0" xfId="0" applyBorder="1"/>
    <xf numFmtId="0" fontId="0" fillId="0" borderId="120" xfId="0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37" fillId="0" borderId="120" xfId="0" applyFont="1" applyBorder="1" applyAlignment="1">
      <alignment horizontal="center" vertical="center"/>
    </xf>
    <xf numFmtId="0" fontId="37" fillId="0" borderId="121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0" borderId="122" xfId="0" applyNumberFormat="1" applyBorder="1" applyAlignment="1">
      <alignment horizontal="center" vertical="center"/>
    </xf>
    <xf numFmtId="2" fontId="0" fillId="0" borderId="123" xfId="0" applyNumberFormat="1" applyBorder="1" applyAlignment="1">
      <alignment horizontal="center" vertical="center"/>
    </xf>
    <xf numFmtId="2" fontId="0" fillId="0" borderId="0" xfId="0" applyNumberFormat="1"/>
    <xf numFmtId="0" fontId="0" fillId="0" borderId="89" xfId="0" applyBorder="1"/>
    <xf numFmtId="0" fontId="0" fillId="0" borderId="95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0" xfId="0" applyFill="1" applyBorder="1" applyAlignment="1">
      <alignment horizontal="center" vertical="center" wrapText="1"/>
    </xf>
    <xf numFmtId="166" fontId="0" fillId="0" borderId="0" xfId="0" applyNumberFormat="1" applyBorder="1"/>
    <xf numFmtId="0" fontId="0" fillId="0" borderId="93" xfId="0" applyBorder="1"/>
    <xf numFmtId="0" fontId="0" fillId="0" borderId="23" xfId="0" applyBorder="1"/>
    <xf numFmtId="0" fontId="0" fillId="0" borderId="94" xfId="0" applyBorder="1"/>
    <xf numFmtId="0" fontId="0" fillId="0" borderId="0" xfId="0" applyFill="1" applyBorder="1"/>
    <xf numFmtId="0" fontId="0" fillId="0" borderId="91" xfId="0" applyFill="1" applyBorder="1"/>
    <xf numFmtId="0" fontId="0" fillId="0" borderId="93" xfId="0" applyFill="1" applyBorder="1"/>
    <xf numFmtId="0" fontId="0" fillId="0" borderId="23" xfId="0" applyFill="1" applyBorder="1"/>
    <xf numFmtId="0" fontId="0" fillId="0" borderId="2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98" xfId="0" applyBorder="1"/>
    <xf numFmtId="0" fontId="0" fillId="0" borderId="82" xfId="0" applyBorder="1"/>
    <xf numFmtId="0" fontId="0" fillId="14" borderId="98" xfId="0" applyFill="1" applyBorder="1"/>
    <xf numFmtId="0" fontId="0" fillId="0" borderId="98" xfId="0" applyFill="1" applyBorder="1"/>
    <xf numFmtId="0" fontId="0" fillId="2" borderId="98" xfId="0" applyFill="1" applyBorder="1"/>
    <xf numFmtId="0" fontId="0" fillId="0" borderId="99" xfId="0" applyFill="1" applyBorder="1"/>
    <xf numFmtId="0" fontId="0" fillId="0" borderId="3" xfId="0" applyFill="1" applyBorder="1"/>
    <xf numFmtId="0" fontId="0" fillId="0" borderId="82" xfId="0" applyFill="1" applyBorder="1"/>
    <xf numFmtId="0" fontId="0" fillId="0" borderId="90" xfId="0" applyFill="1" applyBorder="1"/>
    <xf numFmtId="0" fontId="0" fillId="0" borderId="89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91" xfId="0" applyNumberFormat="1" applyFill="1" applyBorder="1"/>
    <xf numFmtId="0" fontId="0" fillId="0" borderId="99" xfId="0" applyBorder="1"/>
    <xf numFmtId="49" fontId="0" fillId="0" borderId="91" xfId="0" applyNumberFormat="1" applyBorder="1"/>
    <xf numFmtId="49" fontId="0" fillId="0" borderId="0" xfId="0" applyNumberFormat="1" applyBorder="1" applyProtection="1"/>
    <xf numFmtId="49" fontId="35" fillId="0" borderId="0" xfId="0" applyNumberFormat="1" applyFont="1" applyBorder="1" applyProtection="1"/>
    <xf numFmtId="49" fontId="0" fillId="0" borderId="0" xfId="0" applyNumberFormat="1" applyFill="1" applyBorder="1" applyProtection="1"/>
    <xf numFmtId="49" fontId="35" fillId="0" borderId="0" xfId="0" applyNumberFormat="1" applyFont="1" applyFill="1" applyBorder="1" applyProtection="1"/>
    <xf numFmtId="49" fontId="0" fillId="0" borderId="93" xfId="0" applyNumberFormat="1" applyFill="1" applyBorder="1"/>
    <xf numFmtId="0" fontId="0" fillId="0" borderId="127" xfId="0" applyBorder="1" applyAlignment="1">
      <alignment horizontal="center" vertical="center"/>
    </xf>
    <xf numFmtId="0" fontId="0" fillId="13" borderId="128" xfId="0" applyFill="1" applyBorder="1" applyAlignment="1">
      <alignment horizontal="center" vertical="center"/>
    </xf>
    <xf numFmtId="0" fontId="0" fillId="13" borderId="129" xfId="0" applyFill="1" applyBorder="1" applyAlignment="1">
      <alignment horizontal="center" vertical="center"/>
    </xf>
    <xf numFmtId="0" fontId="0" fillId="13" borderId="130" xfId="0" applyFill="1" applyBorder="1" applyAlignment="1">
      <alignment horizontal="center" vertical="center"/>
    </xf>
    <xf numFmtId="0" fontId="0" fillId="13" borderId="123" xfId="0" applyFill="1" applyBorder="1"/>
    <xf numFmtId="0" fontId="0" fillId="0" borderId="95" xfId="0" applyFill="1" applyBorder="1" applyAlignment="1" applyProtection="1">
      <alignment wrapText="1"/>
    </xf>
    <xf numFmtId="166" fontId="0" fillId="0" borderId="98" xfId="0" applyNumberFormat="1" applyBorder="1"/>
    <xf numFmtId="0" fontId="0" fillId="0" borderId="0" xfId="0" applyBorder="1" applyAlignment="1">
      <alignment horizontal="center"/>
    </xf>
    <xf numFmtId="166" fontId="0" fillId="0" borderId="9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89" xfId="0" applyFill="1" applyBorder="1" applyAlignment="1">
      <alignment vertical="center" wrapText="1"/>
    </xf>
    <xf numFmtId="0" fontId="0" fillId="0" borderId="32" xfId="0" applyBorder="1"/>
    <xf numFmtId="0" fontId="0" fillId="0" borderId="97" xfId="0" applyBorder="1"/>
    <xf numFmtId="0" fontId="0" fillId="16" borderId="98" xfId="0" applyFill="1" applyBorder="1"/>
    <xf numFmtId="0" fontId="0" fillId="16" borderId="89" xfId="0" applyFill="1" applyBorder="1"/>
    <xf numFmtId="0" fontId="0" fillId="16" borderId="95" xfId="0" applyFill="1" applyBorder="1"/>
    <xf numFmtId="0" fontId="0" fillId="16" borderId="90" xfId="0" applyFill="1" applyBorder="1"/>
    <xf numFmtId="0" fontId="0" fillId="16" borderId="91" xfId="0" applyFill="1" applyBorder="1"/>
    <xf numFmtId="0" fontId="0" fillId="16" borderId="0" xfId="0" applyFill="1" applyBorder="1"/>
    <xf numFmtId="0" fontId="0" fillId="16" borderId="92" xfId="0" applyFill="1" applyBorder="1"/>
    <xf numFmtId="0" fontId="0" fillId="16" borderId="93" xfId="0" applyFill="1" applyBorder="1"/>
    <xf numFmtId="0" fontId="0" fillId="16" borderId="23" xfId="0" applyFill="1" applyBorder="1"/>
    <xf numFmtId="0" fontId="0" fillId="16" borderId="94" xfId="0" applyFill="1" applyBorder="1"/>
    <xf numFmtId="0" fontId="0" fillId="16" borderId="0" xfId="0" applyFill="1" applyProtection="1"/>
    <xf numFmtId="0" fontId="0" fillId="0" borderId="32" xfId="0" applyFill="1" applyBorder="1" applyAlignment="1">
      <alignment horizontal="left"/>
    </xf>
    <xf numFmtId="0" fontId="0" fillId="0" borderId="96" xfId="0" applyFill="1" applyBorder="1" applyAlignment="1">
      <alignment horizontal="left"/>
    </xf>
    <xf numFmtId="0" fontId="0" fillId="0" borderId="97" xfId="0" applyFill="1" applyBorder="1" applyAlignment="1">
      <alignment horizontal="left"/>
    </xf>
    <xf numFmtId="0" fontId="0" fillId="0" borderId="3" xfId="0" applyBorder="1"/>
    <xf numFmtId="0" fontId="0" fillId="0" borderId="3" xfId="0" applyBorder="1" applyProtection="1"/>
    <xf numFmtId="168" fontId="0" fillId="0" borderId="91" xfId="0" applyNumberFormat="1" applyBorder="1"/>
    <xf numFmtId="168" fontId="0" fillId="0" borderId="0" xfId="0" applyNumberFormat="1" applyBorder="1"/>
    <xf numFmtId="168" fontId="0" fillId="16" borderId="0" xfId="0" applyNumberFormat="1" applyFill="1" applyBorder="1"/>
    <xf numFmtId="168" fontId="0" fillId="0" borderId="92" xfId="0" applyNumberFormat="1" applyBorder="1"/>
    <xf numFmtId="168" fontId="0" fillId="0" borderId="93" xfId="0" applyNumberFormat="1" applyBorder="1"/>
    <xf numFmtId="168" fontId="0" fillId="0" borderId="23" xfId="0" applyNumberFormat="1" applyBorder="1"/>
    <xf numFmtId="0" fontId="0" fillId="16" borderId="23" xfId="0" applyFill="1" applyBorder="1" applyProtection="1"/>
    <xf numFmtId="168" fontId="0" fillId="0" borderId="94" xfId="0" applyNumberFormat="1" applyBorder="1"/>
    <xf numFmtId="168" fontId="0" fillId="0" borderId="89" xfId="0" applyNumberFormat="1" applyBorder="1"/>
    <xf numFmtId="168" fontId="0" fillId="0" borderId="95" xfId="0" applyNumberFormat="1" applyBorder="1"/>
    <xf numFmtId="168" fontId="0" fillId="0" borderId="90" xfId="0" applyNumberFormat="1" applyBorder="1"/>
    <xf numFmtId="0" fontId="0" fillId="0" borderId="0" xfId="0" applyBorder="1" applyAlignment="1"/>
    <xf numFmtId="0" fontId="13" fillId="0" borderId="120" xfId="0" applyFont="1" applyFill="1" applyBorder="1" applyAlignment="1">
      <alignment wrapText="1"/>
    </xf>
    <xf numFmtId="0" fontId="0" fillId="0" borderId="31" xfId="0" applyFont="1" applyFill="1" applyBorder="1" applyAlignment="1">
      <alignment wrapText="1"/>
    </xf>
    <xf numFmtId="0" fontId="3" fillId="0" borderId="121" xfId="0" applyFont="1" applyFill="1" applyBorder="1" applyAlignment="1">
      <alignment wrapText="1"/>
    </xf>
    <xf numFmtId="0" fontId="0" fillId="0" borderId="1" xfId="0" applyBorder="1"/>
    <xf numFmtId="0" fontId="0" fillId="0" borderId="19" xfId="0" applyBorder="1"/>
    <xf numFmtId="0" fontId="0" fillId="0" borderId="1" xfId="0" applyFill="1" applyBorder="1"/>
    <xf numFmtId="0" fontId="0" fillId="0" borderId="131" xfId="0" applyBorder="1"/>
    <xf numFmtId="0" fontId="0" fillId="0" borderId="123" xfId="0" applyBorder="1"/>
    <xf numFmtId="0" fontId="0" fillId="15" borderId="0" xfId="0" applyFill="1"/>
    <xf numFmtId="0" fontId="0" fillId="3" borderId="0" xfId="0" applyFill="1"/>
    <xf numFmtId="0" fontId="24" fillId="0" borderId="32" xfId="0" applyFont="1" applyFill="1" applyBorder="1" applyAlignment="1">
      <alignment horizontal="center" vertical="center" wrapText="1"/>
    </xf>
    <xf numFmtId="0" fontId="24" fillId="0" borderId="12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4" fillId="0" borderId="121" xfId="0" applyFont="1" applyFill="1" applyBorder="1" applyAlignment="1">
      <alignment horizontal="center" vertical="center"/>
    </xf>
    <xf numFmtId="0" fontId="24" fillId="13" borderId="122" xfId="0" applyFont="1" applyFill="1" applyBorder="1"/>
    <xf numFmtId="0" fontId="24" fillId="13" borderId="131" xfId="0" applyFont="1" applyFill="1" applyBorder="1"/>
    <xf numFmtId="0" fontId="0" fillId="13" borderId="131" xfId="0" applyFill="1" applyBorder="1"/>
    <xf numFmtId="0" fontId="24" fillId="0" borderId="0" xfId="0" applyFont="1" applyFill="1" applyBorder="1"/>
    <xf numFmtId="0" fontId="0" fillId="13" borderId="98" xfId="0" applyFill="1" applyBorder="1"/>
    <xf numFmtId="166" fontId="0" fillId="0" borderId="89" xfId="0" applyNumberFormat="1" applyBorder="1"/>
    <xf numFmtId="166" fontId="0" fillId="0" borderId="90" xfId="0" applyNumberFormat="1" applyBorder="1"/>
    <xf numFmtId="166" fontId="0" fillId="0" borderId="91" xfId="0" applyNumberFormat="1" applyBorder="1"/>
    <xf numFmtId="166" fontId="0" fillId="0" borderId="92" xfId="0" applyNumberFormat="1" applyBorder="1"/>
    <xf numFmtId="166" fontId="0" fillId="0" borderId="93" xfId="0" applyNumberFormat="1" applyBorder="1"/>
    <xf numFmtId="1" fontId="0" fillId="0" borderId="32" xfId="0" applyNumberFormat="1" applyBorder="1"/>
    <xf numFmtId="1" fontId="0" fillId="0" borderId="96" xfId="0" applyNumberFormat="1" applyBorder="1"/>
    <xf numFmtId="1" fontId="0" fillId="0" borderId="97" xfId="0" applyNumberFormat="1" applyBorder="1"/>
    <xf numFmtId="0" fontId="0" fillId="0" borderId="90" xfId="0" applyFill="1" applyBorder="1" applyProtection="1"/>
    <xf numFmtId="0" fontId="0" fillId="0" borderId="99" xfId="0" applyBorder="1" applyAlignment="1"/>
    <xf numFmtId="0" fontId="0" fillId="0" borderId="82" xfId="0" applyBorder="1" applyAlignment="1"/>
    <xf numFmtId="0" fontId="0" fillId="0" borderId="99" xfId="0" applyBorder="1" applyProtection="1"/>
    <xf numFmtId="0" fontId="0" fillId="0" borderId="82" xfId="0" applyBorder="1" applyProtection="1"/>
    <xf numFmtId="166" fontId="0" fillId="0" borderId="94" xfId="0" applyNumberFormat="1" applyBorder="1"/>
    <xf numFmtId="0" fontId="0" fillId="0" borderId="18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16" xfId="0" applyFill="1" applyBorder="1" applyAlignment="1">
      <alignment wrapText="1"/>
    </xf>
    <xf numFmtId="0" fontId="0" fillId="0" borderId="84" xfId="0" applyFill="1" applyBorder="1" applyAlignment="1">
      <alignment wrapText="1"/>
    </xf>
    <xf numFmtId="168" fontId="0" fillId="16" borderId="95" xfId="0" applyNumberFormat="1" applyFill="1" applyBorder="1"/>
    <xf numFmtId="0" fontId="0" fillId="0" borderId="0" xfId="0" applyAlignment="1">
      <alignment horizontal="center"/>
    </xf>
    <xf numFmtId="0" fontId="0" fillId="0" borderId="120" xfId="0" applyFill="1" applyBorder="1" applyProtection="1"/>
    <xf numFmtId="0" fontId="0" fillId="0" borderId="121" xfId="0" applyFill="1" applyBorder="1" applyProtection="1"/>
    <xf numFmtId="0" fontId="0" fillId="13" borderId="122" xfId="0" applyFill="1" applyBorder="1" applyAlignment="1" applyProtection="1">
      <alignment horizontal="center" vertical="center"/>
      <protection locked="0"/>
    </xf>
    <xf numFmtId="0" fontId="0" fillId="13" borderId="123" xfId="0" applyFill="1" applyBorder="1" applyAlignment="1" applyProtection="1">
      <alignment horizontal="center" vertical="center"/>
      <protection locked="0"/>
    </xf>
    <xf numFmtId="0" fontId="0" fillId="11" borderId="26" xfId="0" applyFill="1" applyBorder="1" applyProtection="1"/>
    <xf numFmtId="0" fontId="0" fillId="11" borderId="1" xfId="0" applyFill="1" applyBorder="1" applyAlignment="1" applyProtection="1">
      <alignment horizontal="left"/>
    </xf>
    <xf numFmtId="0" fontId="0" fillId="11" borderId="53" xfId="0" applyFill="1" applyBorder="1" applyProtection="1"/>
    <xf numFmtId="0" fontId="39" fillId="9" borderId="0" xfId="0" applyFont="1" applyFill="1" applyProtection="1"/>
    <xf numFmtId="0" fontId="0" fillId="13" borderId="53" xfId="0" applyFill="1" applyBorder="1" applyProtection="1"/>
    <xf numFmtId="165" fontId="28" fillId="0" borderId="53" xfId="0" applyNumberFormat="1" applyFont="1" applyBorder="1" applyProtection="1"/>
    <xf numFmtId="0" fontId="0" fillId="13" borderId="1" xfId="0" applyFill="1" applyBorder="1" applyProtection="1"/>
    <xf numFmtId="165" fontId="28" fillId="0" borderId="1" xfId="0" applyNumberFormat="1" applyFont="1" applyBorder="1" applyProtection="1"/>
    <xf numFmtId="0" fontId="0" fillId="13" borderId="12" xfId="0" applyFill="1" applyBorder="1" applyProtection="1"/>
    <xf numFmtId="165" fontId="28" fillId="0" borderId="12" xfId="0" applyNumberFormat="1" applyFont="1" applyBorder="1" applyProtection="1"/>
    <xf numFmtId="0" fontId="0" fillId="13" borderId="53" xfId="0" applyFill="1" applyBorder="1" applyAlignment="1" applyProtection="1">
      <alignment vertical="center"/>
    </xf>
    <xf numFmtId="165" fontId="16" fillId="2" borderId="53" xfId="0" applyNumberFormat="1" applyFont="1" applyFill="1" applyBorder="1" applyAlignment="1" applyProtection="1">
      <alignment horizontal="right"/>
    </xf>
    <xf numFmtId="0" fontId="0" fillId="13" borderId="1" xfId="0" applyFill="1" applyBorder="1" applyAlignment="1" applyProtection="1">
      <alignment vertical="center"/>
    </xf>
    <xf numFmtId="165" fontId="16" fillId="2" borderId="1" xfId="0" applyNumberFormat="1" applyFont="1" applyFill="1" applyBorder="1" applyAlignment="1" applyProtection="1">
      <alignment horizontal="right"/>
    </xf>
    <xf numFmtId="0" fontId="0" fillId="13" borderId="12" xfId="0" applyFill="1" applyBorder="1" applyAlignment="1" applyProtection="1">
      <alignment vertical="center"/>
    </xf>
    <xf numFmtId="165" fontId="16" fillId="2" borderId="12" xfId="0" applyNumberFormat="1" applyFont="1" applyFill="1" applyBorder="1" applyAlignment="1" applyProtection="1">
      <alignment horizontal="right"/>
    </xf>
    <xf numFmtId="165" fontId="16" fillId="13" borderId="53" xfId="0" applyNumberFormat="1" applyFont="1" applyFill="1" applyBorder="1" applyProtection="1"/>
    <xf numFmtId="165" fontId="16" fillId="13" borderId="1" xfId="0" applyNumberFormat="1" applyFont="1" applyFill="1" applyBorder="1" applyProtection="1"/>
    <xf numFmtId="165" fontId="16" fillId="13" borderId="12" xfId="0" applyNumberFormat="1" applyFont="1" applyFill="1" applyBorder="1" applyProtection="1"/>
    <xf numFmtId="0" fontId="0" fillId="9" borderId="5" xfId="0" applyFill="1" applyBorder="1" applyProtection="1"/>
    <xf numFmtId="0" fontId="0" fillId="9" borderId="74" xfId="0" applyFill="1" applyBorder="1" applyAlignment="1" applyProtection="1">
      <alignment vertical="center"/>
    </xf>
    <xf numFmtId="0" fontId="0" fillId="9" borderId="78" xfId="0" applyFill="1" applyBorder="1" applyAlignment="1" applyProtection="1">
      <alignment vertical="center"/>
    </xf>
    <xf numFmtId="0" fontId="0" fillId="9" borderId="77" xfId="0" applyFill="1" applyBorder="1" applyProtection="1"/>
    <xf numFmtId="165" fontId="16" fillId="13" borderId="132" xfId="0" applyNumberFormat="1" applyFont="1" applyFill="1" applyBorder="1" applyProtection="1"/>
    <xf numFmtId="0" fontId="0" fillId="2" borderId="14" xfId="0" applyFill="1" applyBorder="1" applyProtection="1"/>
    <xf numFmtId="165" fontId="16" fillId="4" borderId="30" xfId="0" applyNumberFormat="1" applyFont="1" applyFill="1" applyBorder="1" applyProtection="1"/>
    <xf numFmtId="0" fontId="0" fillId="0" borderId="66" xfId="0" applyFill="1" applyBorder="1" applyProtection="1"/>
    <xf numFmtId="0" fontId="0" fillId="0" borderId="67" xfId="0" applyFill="1" applyBorder="1" applyProtection="1"/>
    <xf numFmtId="0" fontId="0" fillId="0" borderId="68" xfId="0" applyFill="1" applyBorder="1" applyProtection="1"/>
    <xf numFmtId="0" fontId="0" fillId="0" borderId="14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133" xfId="0" applyFill="1" applyBorder="1" applyAlignment="1">
      <alignment horizontal="center" vertical="center"/>
    </xf>
    <xf numFmtId="0" fontId="9" fillId="0" borderId="90" xfId="0" applyFont="1" applyBorder="1" applyProtection="1"/>
    <xf numFmtId="0" fontId="9" fillId="0" borderId="95" xfId="0" applyFont="1" applyFill="1" applyBorder="1" applyProtection="1"/>
    <xf numFmtId="0" fontId="0" fillId="0" borderId="91" xfId="0" applyBorder="1" applyAlignment="1" applyProtection="1">
      <alignment horizontal="center" vertical="center"/>
    </xf>
    <xf numFmtId="0" fontId="0" fillId="15" borderId="98" xfId="0" applyFill="1" applyBorder="1" applyProtection="1"/>
    <xf numFmtId="0" fontId="0" fillId="15" borderId="98" xfId="0" applyFill="1" applyBorder="1"/>
    <xf numFmtId="0" fontId="0" fillId="0" borderId="71" xfId="0" applyFill="1" applyBorder="1" applyAlignment="1">
      <alignment horizontal="center" vertical="center" wrapText="1"/>
    </xf>
    <xf numFmtId="0" fontId="0" fillId="0" borderId="35" xfId="0" applyFill="1" applyBorder="1" applyAlignment="1" applyProtection="1">
      <alignment horizontal="center" vertical="center" wrapText="1"/>
    </xf>
    <xf numFmtId="0" fontId="0" fillId="13" borderId="134" xfId="0" applyFill="1" applyBorder="1" applyAlignment="1">
      <alignment horizontal="center" vertical="center"/>
    </xf>
    <xf numFmtId="0" fontId="0" fillId="13" borderId="123" xfId="0" applyFill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 wrapText="1"/>
    </xf>
    <xf numFmtId="0" fontId="0" fillId="0" borderId="9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90" xfId="0" applyBorder="1" applyAlignment="1">
      <alignment wrapText="1"/>
    </xf>
    <xf numFmtId="0" fontId="24" fillId="0" borderId="135" xfId="0" applyFont="1" applyFill="1" applyBorder="1" applyAlignment="1">
      <alignment horizontal="center" vertical="center" wrapText="1"/>
    </xf>
    <xf numFmtId="0" fontId="24" fillId="13" borderId="134" xfId="0" applyFont="1" applyFill="1" applyBorder="1"/>
    <xf numFmtId="0" fontId="0" fillId="0" borderId="95" xfId="0" applyBorder="1" applyAlignment="1">
      <alignment wrapText="1"/>
    </xf>
    <xf numFmtId="0" fontId="0" fillId="13" borderId="97" xfId="0" applyFill="1" applyBorder="1" applyAlignment="1" applyProtection="1">
      <alignment horizontal="center" vertical="center"/>
    </xf>
    <xf numFmtId="0" fontId="0" fillId="0" borderId="120" xfId="0" applyBorder="1"/>
    <xf numFmtId="169" fontId="0" fillId="13" borderId="121" xfId="0" applyNumberFormat="1" applyFill="1" applyBorder="1"/>
    <xf numFmtId="0" fontId="0" fillId="0" borderId="18" xfId="0" applyBorder="1"/>
    <xf numFmtId="169" fontId="0" fillId="13" borderId="19" xfId="0" applyNumberFormat="1" applyFill="1" applyBorder="1"/>
    <xf numFmtId="0" fontId="0" fillId="0" borderId="122" xfId="0" applyBorder="1"/>
    <xf numFmtId="169" fontId="0" fillId="13" borderId="123" xfId="0" applyNumberFormat="1" applyFill="1" applyBorder="1"/>
    <xf numFmtId="0" fontId="9" fillId="0" borderId="32" xfId="0" applyFont="1" applyBorder="1" applyProtection="1"/>
    <xf numFmtId="0" fontId="0" fillId="0" borderId="96" xfId="0" applyBorder="1" applyProtection="1"/>
    <xf numFmtId="0" fontId="0" fillId="0" borderId="97" xfId="0" applyBorder="1" applyProtection="1"/>
    <xf numFmtId="0" fontId="14" fillId="7" borderId="4" xfId="0" applyFont="1" applyFill="1" applyBorder="1" applyAlignment="1" applyProtection="1">
      <alignment horizontal="center" vertical="center"/>
    </xf>
    <xf numFmtId="0" fontId="14" fillId="7" borderId="5" xfId="0" applyFont="1" applyFill="1" applyBorder="1" applyAlignment="1" applyProtection="1">
      <alignment horizontal="center" vertical="center"/>
    </xf>
    <xf numFmtId="0" fontId="14" fillId="7" borderId="6" xfId="0" applyFont="1" applyFill="1" applyBorder="1" applyAlignment="1" applyProtection="1">
      <alignment horizontal="center" vertical="center"/>
    </xf>
    <xf numFmtId="0" fontId="14" fillId="7" borderId="21" xfId="0" applyFont="1" applyFill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wrapText="1"/>
    </xf>
    <xf numFmtId="0" fontId="0" fillId="3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11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38" fillId="0" borderId="95" xfId="0" applyFont="1" applyBorder="1" applyAlignment="1">
      <alignment horizontal="center"/>
    </xf>
    <xf numFmtId="0" fontId="38" fillId="0" borderId="124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8" fillId="0" borderId="25" xfId="0" applyFont="1" applyBorder="1" applyAlignment="1">
      <alignment horizontal="center"/>
    </xf>
    <xf numFmtId="0" fontId="38" fillId="0" borderId="125" xfId="0" applyFont="1" applyBorder="1" applyAlignment="1">
      <alignment horizontal="center" wrapText="1"/>
    </xf>
    <xf numFmtId="0" fontId="38" fillId="0" borderId="124" xfId="0" applyFont="1" applyBorder="1" applyAlignment="1">
      <alignment horizontal="center" wrapText="1"/>
    </xf>
    <xf numFmtId="0" fontId="38" fillId="0" borderId="21" xfId="0" applyFont="1" applyBorder="1" applyAlignment="1">
      <alignment horizontal="center" wrapText="1"/>
    </xf>
    <xf numFmtId="0" fontId="38" fillId="0" borderId="25" xfId="0" applyFont="1" applyBorder="1" applyAlignment="1">
      <alignment horizontal="center" wrapText="1"/>
    </xf>
    <xf numFmtId="0" fontId="13" fillId="0" borderId="125" xfId="0" applyFont="1" applyBorder="1" applyAlignment="1">
      <alignment horizontal="center" wrapText="1"/>
    </xf>
    <xf numFmtId="0" fontId="13" fillId="0" borderId="90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126" xfId="0" applyFont="1" applyBorder="1" applyAlignment="1">
      <alignment horizontal="center" wrapText="1"/>
    </xf>
    <xf numFmtId="0" fontId="13" fillId="0" borderId="89" xfId="0" applyFont="1" applyBorder="1" applyAlignment="1">
      <alignment horizontal="center"/>
    </xf>
    <xf numFmtId="0" fontId="13" fillId="0" borderId="95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13" fillId="0" borderId="91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94" xfId="0" applyFont="1" applyBorder="1" applyAlignment="1">
      <alignment horizontal="center"/>
    </xf>
    <xf numFmtId="0" fontId="9" fillId="12" borderId="99" xfId="0" applyFont="1" applyFill="1" applyBorder="1" applyAlignment="1" applyProtection="1">
      <alignment horizontal="center" vertical="center"/>
    </xf>
    <xf numFmtId="0" fontId="9" fillId="12" borderId="82" xfId="0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16" fillId="0" borderId="26" xfId="0" applyFont="1" applyBorder="1" applyAlignment="1" applyProtection="1">
      <alignment horizontal="right"/>
    </xf>
    <xf numFmtId="0" fontId="16" fillId="0" borderId="1" xfId="0" applyFont="1" applyBorder="1" applyAlignment="1" applyProtection="1">
      <alignment horizontal="right"/>
    </xf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7" fillId="12" borderId="1" xfId="0" applyFont="1" applyFill="1" applyBorder="1" applyAlignment="1" applyProtection="1">
      <alignment horizontal="left"/>
    </xf>
    <xf numFmtId="0" fontId="27" fillId="12" borderId="10" xfId="0" applyFont="1" applyFill="1" applyBorder="1" applyAlignment="1" applyProtection="1">
      <alignment horizontal="left"/>
    </xf>
    <xf numFmtId="0" fontId="16" fillId="0" borderId="53" xfId="0" applyFont="1" applyBorder="1" applyAlignment="1" applyProtection="1">
      <alignment horizontal="right"/>
    </xf>
    <xf numFmtId="0" fontId="0" fillId="0" borderId="5" xfId="0" applyBorder="1" applyAlignment="1" applyProtection="1">
      <alignment horizontal="center" vertical="center" wrapText="1"/>
    </xf>
    <xf numFmtId="0" fontId="0" fillId="0" borderId="87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70" xfId="0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64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16" fillId="0" borderId="11" xfId="0" applyFont="1" applyBorder="1" applyAlignment="1" applyProtection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16" fillId="0" borderId="52" xfId="0" applyFont="1" applyBorder="1" applyAlignment="1" applyProtection="1">
      <alignment horizontal="center" vertical="center" wrapText="1"/>
    </xf>
    <xf numFmtId="0" fontId="9" fillId="12" borderId="28" xfId="0" applyFont="1" applyFill="1" applyBorder="1" applyAlignment="1" applyProtection="1">
      <alignment horizontal="center"/>
    </xf>
    <xf numFmtId="0" fontId="9" fillId="12" borderId="53" xfId="0" applyFont="1" applyFill="1" applyBorder="1" applyAlignment="1" applyProtection="1">
      <alignment horizontal="center"/>
    </xf>
    <xf numFmtId="0" fontId="9" fillId="12" borderId="29" xfId="0" applyFont="1" applyFill="1" applyBorder="1" applyAlignment="1" applyProtection="1">
      <alignment horizontal="center"/>
    </xf>
    <xf numFmtId="0" fontId="9" fillId="12" borderId="114" xfId="0" applyFont="1" applyFill="1" applyBorder="1" applyAlignment="1" applyProtection="1">
      <alignment horizontal="center"/>
    </xf>
    <xf numFmtId="0" fontId="9" fillId="12" borderId="115" xfId="0" applyFont="1" applyFill="1" applyBorder="1" applyAlignment="1" applyProtection="1">
      <alignment horizontal="center"/>
    </xf>
    <xf numFmtId="0" fontId="9" fillId="12" borderId="66" xfId="0" applyFont="1" applyFill="1" applyBorder="1" applyAlignment="1" applyProtection="1">
      <alignment horizontal="center"/>
    </xf>
    <xf numFmtId="0" fontId="9" fillId="12" borderId="68" xfId="0" applyFont="1" applyFill="1" applyBorder="1" applyAlignment="1" applyProtection="1">
      <alignment horizontal="center"/>
    </xf>
    <xf numFmtId="0" fontId="9" fillId="12" borderId="67" xfId="0" applyFont="1" applyFill="1" applyBorder="1" applyAlignment="1" applyProtection="1">
      <alignment horizontal="center"/>
    </xf>
    <xf numFmtId="0" fontId="9" fillId="12" borderId="60" xfId="0" applyFont="1" applyFill="1" applyBorder="1" applyAlignment="1" applyProtection="1">
      <alignment horizontal="center"/>
    </xf>
    <xf numFmtId="0" fontId="9" fillId="12" borderId="58" xfId="0" applyFont="1" applyFill="1" applyBorder="1" applyAlignment="1" applyProtection="1">
      <alignment horizontal="center"/>
    </xf>
    <xf numFmtId="0" fontId="9" fillId="12" borderId="59" xfId="0" applyFont="1" applyFill="1" applyBorder="1" applyAlignment="1" applyProtection="1">
      <alignment horizontal="center"/>
    </xf>
    <xf numFmtId="165" fontId="26" fillId="2" borderId="80" xfId="0" applyNumberFormat="1" applyFont="1" applyFill="1" applyBorder="1" applyAlignment="1" applyProtection="1">
      <alignment horizontal="center" vertical="center"/>
      <protection locked="0"/>
    </xf>
    <xf numFmtId="165" fontId="26" fillId="2" borderId="83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27" fillId="12" borderId="12" xfId="0" applyFont="1" applyFill="1" applyBorder="1" applyAlignment="1" applyProtection="1">
      <alignment horizontal="left"/>
    </xf>
    <xf numFmtId="0" fontId="27" fillId="12" borderId="13" xfId="0" applyFont="1" applyFill="1" applyBorder="1" applyAlignment="1" applyProtection="1">
      <alignment horizontal="left"/>
    </xf>
    <xf numFmtId="0" fontId="9" fillId="0" borderId="95" xfId="0" applyFont="1" applyBorder="1" applyAlignment="1" applyProtection="1">
      <alignment horizontal="center" wrapText="1"/>
    </xf>
    <xf numFmtId="0" fontId="9" fillId="0" borderId="0" xfId="0" applyFont="1" applyBorder="1" applyAlignment="1" applyProtection="1">
      <alignment horizontal="center" wrapText="1"/>
    </xf>
    <xf numFmtId="0" fontId="9" fillId="0" borderId="90" xfId="0" applyFont="1" applyBorder="1" applyAlignment="1" applyProtection="1">
      <alignment horizontal="center" vertical="center" wrapText="1"/>
    </xf>
    <xf numFmtId="0" fontId="9" fillId="0" borderId="92" xfId="0" applyFont="1" applyBorder="1" applyAlignment="1" applyProtection="1">
      <alignment horizontal="center" vertical="center" wrapText="1"/>
    </xf>
    <xf numFmtId="0" fontId="27" fillId="12" borderId="53" xfId="0" applyFont="1" applyFill="1" applyBorder="1" applyAlignment="1" applyProtection="1">
      <alignment horizontal="left"/>
    </xf>
    <xf numFmtId="0" fontId="27" fillId="12" borderId="29" xfId="0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0" fillId="11" borderId="85" xfId="0" applyFill="1" applyBorder="1" applyAlignment="1" applyProtection="1">
      <alignment horizontal="center" vertical="center"/>
      <protection locked="0"/>
    </xf>
    <xf numFmtId="0" fontId="0" fillId="11" borderId="86" xfId="0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0" fontId="4" fillId="0" borderId="79" xfId="0" applyFont="1" applyBorder="1" applyAlignment="1" applyProtection="1">
      <alignment horizontal="center" vertical="center" wrapText="1"/>
    </xf>
    <xf numFmtId="0" fontId="5" fillId="0" borderId="80" xfId="0" applyFont="1" applyBorder="1" applyAlignment="1" applyProtection="1">
      <alignment horizontal="center" vertical="center" wrapText="1"/>
    </xf>
    <xf numFmtId="0" fontId="5" fillId="0" borderId="84" xfId="0" applyFont="1" applyBorder="1" applyAlignment="1" applyProtection="1">
      <alignment horizontal="center" vertical="center" wrapText="1"/>
    </xf>
    <xf numFmtId="0" fontId="5" fillId="0" borderId="85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165" fontId="26" fillId="2" borderId="81" xfId="0" applyNumberFormat="1" applyFont="1" applyFill="1" applyBorder="1" applyAlignment="1" applyProtection="1">
      <alignment horizontal="center" vertical="center"/>
      <protection locked="0"/>
    </xf>
    <xf numFmtId="165" fontId="26" fillId="2" borderId="82" xfId="0" applyNumberFormat="1" applyFont="1" applyFill="1" applyBorder="1" applyAlignment="1" applyProtection="1">
      <alignment horizontal="center" vertical="center"/>
      <protection locked="0"/>
    </xf>
    <xf numFmtId="165" fontId="9" fillId="9" borderId="0" xfId="0" applyNumberFormat="1" applyFont="1" applyFill="1" applyBorder="1" applyAlignment="1" applyProtection="1">
      <alignment horizontal="center" vertical="center"/>
      <protection locked="0"/>
    </xf>
    <xf numFmtId="165" fontId="15" fillId="9" borderId="23" xfId="0" applyNumberFormat="1" applyFont="1" applyFill="1" applyBorder="1" applyAlignment="1" applyProtection="1">
      <alignment horizontal="center" vertical="center" wrapText="1"/>
    </xf>
    <xf numFmtId="0" fontId="0" fillId="9" borderId="95" xfId="0" applyFill="1" applyBorder="1" applyAlignment="1" applyProtection="1"/>
    <xf numFmtId="0" fontId="0" fillId="0" borderId="11" xfId="0" applyBorder="1" applyAlignment="1" applyProtection="1">
      <alignment horizontal="center" vertical="center" wrapText="1"/>
    </xf>
    <xf numFmtId="0" fontId="16" fillId="0" borderId="51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30" fillId="0" borderId="60" xfId="0" applyFont="1" applyBorder="1" applyAlignment="1" applyProtection="1">
      <alignment horizontal="right" vertical="center" wrapText="1"/>
    </xf>
    <xf numFmtId="0" fontId="30" fillId="0" borderId="58" xfId="0" applyFont="1" applyBorder="1" applyAlignment="1" applyProtection="1">
      <alignment horizontal="right" vertical="center"/>
    </xf>
    <xf numFmtId="0" fontId="30" fillId="0" borderId="28" xfId="0" applyFont="1" applyBorder="1" applyAlignment="1" applyProtection="1">
      <alignment horizontal="right" vertical="center" wrapText="1"/>
    </xf>
    <xf numFmtId="0" fontId="30" fillId="0" borderId="53" xfId="0" applyFont="1" applyBorder="1" applyAlignment="1" applyProtection="1">
      <alignment horizontal="right" vertical="center" wrapText="1"/>
    </xf>
    <xf numFmtId="0" fontId="30" fillId="0" borderId="61" xfId="0" applyFont="1" applyBorder="1" applyAlignment="1" applyProtection="1">
      <alignment horizontal="right" vertical="center" wrapText="1"/>
    </xf>
    <xf numFmtId="0" fontId="30" fillId="0" borderId="43" xfId="0" applyFont="1" applyBorder="1" applyAlignment="1" applyProtection="1">
      <alignment horizontal="right" vertical="center" wrapText="1"/>
    </xf>
    <xf numFmtId="0" fontId="30" fillId="0" borderId="9" xfId="0" applyFont="1" applyBorder="1" applyAlignment="1" applyProtection="1">
      <alignment horizontal="right" vertical="center" wrapText="1"/>
    </xf>
    <xf numFmtId="0" fontId="30" fillId="0" borderId="1" xfId="0" applyFont="1" applyBorder="1" applyAlignment="1" applyProtection="1">
      <alignment horizontal="right" vertical="center" wrapText="1"/>
    </xf>
    <xf numFmtId="165" fontId="9" fillId="9" borderId="0" xfId="0" applyNumberFormat="1" applyFont="1" applyFill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 wrapText="1"/>
    </xf>
    <xf numFmtId="0" fontId="2" fillId="0" borderId="79" xfId="0" applyFont="1" applyBorder="1" applyAlignment="1" applyProtection="1">
      <alignment horizontal="center" vertical="center" wrapText="1"/>
    </xf>
    <xf numFmtId="164" fontId="9" fillId="9" borderId="69" xfId="0" applyNumberFormat="1" applyFont="1" applyFill="1" applyBorder="1" applyAlignment="1" applyProtection="1">
      <alignment vertical="center"/>
    </xf>
    <xf numFmtId="164" fontId="9" fillId="9" borderId="0" xfId="0" applyNumberFormat="1" applyFont="1" applyFill="1" applyBorder="1" applyAlignment="1" applyProtection="1">
      <alignment vertical="center"/>
    </xf>
    <xf numFmtId="0" fontId="5" fillId="0" borderId="27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71" xfId="0" applyFont="1" applyBorder="1" applyAlignment="1" applyProtection="1">
      <alignment horizontal="center" vertical="center" wrapText="1"/>
    </xf>
    <xf numFmtId="165" fontId="26" fillId="6" borderId="80" xfId="0" applyNumberFormat="1" applyFont="1" applyFill="1" applyBorder="1" applyAlignment="1" applyProtection="1">
      <alignment horizontal="center" vertical="center"/>
      <protection locked="0"/>
    </xf>
    <xf numFmtId="165" fontId="26" fillId="6" borderId="83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9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16" borderId="99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82" xfId="0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0" fontId="0" fillId="0" borderId="67" xfId="0" applyBorder="1" applyAlignment="1" applyProtection="1">
      <alignment horizontal="center"/>
    </xf>
    <xf numFmtId="0" fontId="30" fillId="0" borderId="75" xfId="0" applyFont="1" applyBorder="1" applyAlignment="1" applyProtection="1">
      <alignment horizontal="center" wrapText="1"/>
    </xf>
    <xf numFmtId="0" fontId="30" fillId="0" borderId="67" xfId="0" applyFont="1" applyBorder="1" applyAlignment="1" applyProtection="1">
      <alignment horizontal="center" wrapText="1"/>
    </xf>
    <xf numFmtId="0" fontId="0" fillId="0" borderId="75" xfId="0" applyBorder="1" applyAlignment="1" applyProtection="1">
      <alignment horizontal="center"/>
    </xf>
    <xf numFmtId="0" fontId="9" fillId="12" borderId="28" xfId="0" applyFont="1" applyFill="1" applyBorder="1" applyAlignment="1" applyProtection="1">
      <alignment horizontal="center" wrapText="1"/>
    </xf>
    <xf numFmtId="0" fontId="9" fillId="12" borderId="53" xfId="0" applyFont="1" applyFill="1" applyBorder="1" applyAlignment="1" applyProtection="1">
      <alignment horizontal="center" wrapText="1"/>
    </xf>
    <xf numFmtId="0" fontId="9" fillId="12" borderId="29" xfId="0" applyFont="1" applyFill="1" applyBorder="1" applyAlignment="1" applyProtection="1">
      <alignment horizontal="center" wrapText="1"/>
    </xf>
    <xf numFmtId="0" fontId="9" fillId="12" borderId="9" xfId="0" applyFont="1" applyFill="1" applyBorder="1" applyAlignment="1" applyProtection="1">
      <alignment horizontal="center" wrapText="1"/>
    </xf>
    <xf numFmtId="0" fontId="9" fillId="12" borderId="1" xfId="0" applyFont="1" applyFill="1" applyBorder="1" applyAlignment="1" applyProtection="1">
      <alignment horizontal="center" wrapText="1"/>
    </xf>
    <xf numFmtId="0" fontId="9" fillId="12" borderId="10" xfId="0" applyFont="1" applyFill="1" applyBorder="1" applyAlignment="1" applyProtection="1">
      <alignment horizontal="center" wrapText="1"/>
    </xf>
    <xf numFmtId="0" fontId="28" fillId="2" borderId="9" xfId="0" applyFont="1" applyFill="1" applyBorder="1" applyAlignment="1" applyProtection="1">
      <alignment horizontal="center"/>
    </xf>
    <xf numFmtId="0" fontId="28" fillId="2" borderId="1" xfId="0" applyFont="1" applyFill="1" applyBorder="1" applyAlignment="1" applyProtection="1">
      <alignment horizontal="center"/>
    </xf>
    <xf numFmtId="0" fontId="28" fillId="2" borderId="11" xfId="0" applyFont="1" applyFill="1" applyBorder="1" applyAlignment="1" applyProtection="1">
      <alignment horizontal="center"/>
    </xf>
    <xf numFmtId="0" fontId="28" fillId="2" borderId="12" xfId="0" applyFont="1" applyFill="1" applyBorder="1" applyAlignment="1" applyProtection="1">
      <alignment horizontal="center"/>
    </xf>
    <xf numFmtId="0" fontId="9" fillId="12" borderId="4" xfId="0" applyFont="1" applyFill="1" applyBorder="1" applyAlignment="1" applyProtection="1">
      <alignment horizontal="center"/>
    </xf>
    <xf numFmtId="0" fontId="9" fillId="12" borderId="5" xfId="0" applyFont="1" applyFill="1" applyBorder="1" applyAlignment="1" applyProtection="1">
      <alignment horizontal="center"/>
    </xf>
    <xf numFmtId="0" fontId="9" fillId="12" borderId="6" xfId="0" applyFont="1" applyFill="1" applyBorder="1" applyAlignment="1" applyProtection="1">
      <alignment horizontal="center"/>
    </xf>
    <xf numFmtId="165" fontId="30" fillId="0" borderId="63" xfId="0" applyNumberFormat="1" applyFont="1" applyFill="1" applyBorder="1" applyAlignment="1" applyProtection="1">
      <alignment horizontal="right" vertical="center" wrapText="1"/>
    </xf>
    <xf numFmtId="0" fontId="30" fillId="0" borderId="56" xfId="0" applyFont="1" applyBorder="1" applyAlignment="1" applyProtection="1">
      <alignment horizontal="right" vertical="center" wrapText="1"/>
    </xf>
    <xf numFmtId="0" fontId="0" fillId="0" borderId="11" xfId="0" applyBorder="1" applyAlignment="1" applyProtection="1">
      <alignment horizontal="right"/>
    </xf>
    <xf numFmtId="0" fontId="0" fillId="0" borderId="12" xfId="0" applyBorder="1" applyAlignment="1" applyProtection="1">
      <alignment horizontal="right"/>
    </xf>
    <xf numFmtId="0" fontId="9" fillId="12" borderId="74" xfId="0" applyFont="1" applyFill="1" applyBorder="1" applyAlignment="1" applyProtection="1">
      <alignment horizontal="center"/>
    </xf>
    <xf numFmtId="0" fontId="9" fillId="12" borderId="78" xfId="0" applyFont="1" applyFill="1" applyBorder="1" applyAlignment="1" applyProtection="1">
      <alignment horizontal="center"/>
    </xf>
    <xf numFmtId="0" fontId="9" fillId="12" borderId="77" xfId="0" applyFont="1" applyFill="1" applyBorder="1" applyAlignment="1" applyProtection="1">
      <alignment horizontal="center"/>
    </xf>
    <xf numFmtId="0" fontId="0" fillId="0" borderId="28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8" fillId="7" borderId="110" xfId="0" applyFont="1" applyFill="1" applyBorder="1" applyAlignment="1" applyProtection="1">
      <alignment horizontal="center" vertical="center" wrapText="1"/>
    </xf>
    <xf numFmtId="0" fontId="8" fillId="7" borderId="104" xfId="0" applyFont="1" applyFill="1" applyBorder="1" applyAlignment="1" applyProtection="1">
      <alignment horizontal="center" vertical="center" wrapText="1"/>
    </xf>
    <xf numFmtId="0" fontId="9" fillId="7" borderId="116" xfId="0" applyFont="1" applyFill="1" applyBorder="1" applyAlignment="1" applyProtection="1">
      <alignment horizontal="center" vertical="center" wrapText="1"/>
    </xf>
    <xf numFmtId="0" fontId="9" fillId="7" borderId="104" xfId="0" applyFont="1" applyFill="1" applyBorder="1" applyAlignment="1" applyProtection="1">
      <alignment horizontal="center" vertical="center" wrapText="1"/>
    </xf>
    <xf numFmtId="0" fontId="9" fillId="7" borderId="111" xfId="0" applyFont="1" applyFill="1" applyBorder="1" applyAlignment="1" applyProtection="1">
      <alignment horizontal="center" vertical="center" wrapText="1"/>
    </xf>
    <xf numFmtId="0" fontId="9" fillId="7" borderId="26" xfId="0" applyFont="1" applyFill="1" applyBorder="1" applyAlignment="1" applyProtection="1">
      <alignment horizontal="center" vertical="center" wrapText="1"/>
    </xf>
    <xf numFmtId="0" fontId="9" fillId="7" borderId="113" xfId="0" applyFont="1" applyFill="1" applyBorder="1" applyAlignment="1" applyProtection="1">
      <alignment horizontal="center" vertical="center" wrapText="1"/>
    </xf>
    <xf numFmtId="0" fontId="19" fillId="7" borderId="92" xfId="0" applyFont="1" applyFill="1" applyBorder="1" applyAlignment="1" applyProtection="1">
      <alignment horizontal="center" vertical="center" wrapText="1"/>
    </xf>
    <xf numFmtId="0" fontId="19" fillId="7" borderId="109" xfId="0" applyFont="1" applyFill="1" applyBorder="1" applyAlignment="1" applyProtection="1">
      <alignment horizontal="center" vertical="center" wrapText="1"/>
    </xf>
    <xf numFmtId="0" fontId="19" fillId="7" borderId="117" xfId="0" applyFont="1" applyFill="1" applyBorder="1" applyAlignment="1" applyProtection="1">
      <alignment horizontal="center" vertical="center" wrapText="1"/>
    </xf>
    <xf numFmtId="0" fontId="19" fillId="7" borderId="105" xfId="0" applyFont="1" applyFill="1" applyBorder="1" applyAlignment="1" applyProtection="1">
      <alignment horizontal="center" vertical="center" wrapText="1"/>
    </xf>
    <xf numFmtId="165" fontId="40" fillId="0" borderId="89" xfId="0" applyNumberFormat="1" applyFont="1" applyBorder="1" applyAlignment="1">
      <alignment horizontal="center" vertical="center" wrapText="1"/>
    </xf>
    <xf numFmtId="165" fontId="40" fillId="0" borderId="95" xfId="0" applyNumberFormat="1" applyFont="1" applyBorder="1" applyAlignment="1">
      <alignment horizontal="center" vertical="center" wrapText="1"/>
    </xf>
    <xf numFmtId="165" fontId="40" fillId="0" borderId="90" xfId="0" applyNumberFormat="1" applyFont="1" applyBorder="1" applyAlignment="1">
      <alignment horizontal="center" vertical="center" wrapText="1"/>
    </xf>
    <xf numFmtId="165" fontId="40" fillId="0" borderId="91" xfId="0" applyNumberFormat="1" applyFont="1" applyBorder="1" applyAlignment="1">
      <alignment horizontal="center" vertical="center" wrapText="1"/>
    </xf>
    <xf numFmtId="165" fontId="40" fillId="0" borderId="0" xfId="0" applyNumberFormat="1" applyFont="1" applyBorder="1" applyAlignment="1">
      <alignment horizontal="center" vertical="center" wrapText="1"/>
    </xf>
    <xf numFmtId="165" fontId="40" fillId="0" borderId="92" xfId="0" applyNumberFormat="1" applyFont="1" applyBorder="1" applyAlignment="1">
      <alignment horizontal="center" vertical="center" wrapText="1"/>
    </xf>
    <xf numFmtId="165" fontId="40" fillId="0" borderId="93" xfId="0" applyNumberFormat="1" applyFont="1" applyBorder="1" applyAlignment="1">
      <alignment horizontal="center" vertical="center" wrapText="1"/>
    </xf>
    <xf numFmtId="165" fontId="40" fillId="0" borderId="23" xfId="0" applyNumberFormat="1" applyFont="1" applyBorder="1" applyAlignment="1">
      <alignment horizontal="center" vertical="center" wrapText="1"/>
    </xf>
    <xf numFmtId="165" fontId="40" fillId="0" borderId="94" xfId="0" applyNumberFormat="1" applyFont="1" applyBorder="1" applyAlignment="1">
      <alignment horizontal="center" vertical="center" wrapText="1"/>
    </xf>
    <xf numFmtId="0" fontId="40" fillId="0" borderId="89" xfId="0" applyFont="1" applyBorder="1" applyAlignment="1">
      <alignment horizontal="center" vertical="center"/>
    </xf>
    <xf numFmtId="0" fontId="40" fillId="0" borderId="90" xfId="0" applyFont="1" applyBorder="1" applyAlignment="1">
      <alignment horizontal="center" vertical="center"/>
    </xf>
    <xf numFmtId="0" fontId="40" fillId="0" borderId="91" xfId="0" applyFont="1" applyBorder="1" applyAlignment="1">
      <alignment horizontal="center" vertical="center"/>
    </xf>
    <xf numFmtId="0" fontId="40" fillId="0" borderId="92" xfId="0" applyFont="1" applyBorder="1" applyAlignment="1">
      <alignment horizontal="center" vertical="center"/>
    </xf>
    <xf numFmtId="0" fontId="40" fillId="0" borderId="93" xfId="0" applyFont="1" applyBorder="1" applyAlignment="1">
      <alignment horizontal="center" vertical="center"/>
    </xf>
    <xf numFmtId="0" fontId="40" fillId="0" borderId="94" xfId="0" applyFont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36" fillId="0" borderId="5" xfId="0" applyFont="1" applyBorder="1" applyAlignment="1" applyProtection="1">
      <alignment horizontal="center" vertical="center"/>
    </xf>
    <xf numFmtId="0" fontId="36" fillId="0" borderId="6" xfId="0" applyFont="1" applyBorder="1" applyAlignment="1" applyProtection="1">
      <alignment horizontal="center" vertical="center"/>
    </xf>
    <xf numFmtId="0" fontId="36" fillId="0" borderId="2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6" fillId="0" borderId="22" xfId="0" applyFont="1" applyBorder="1" applyAlignment="1" applyProtection="1">
      <alignment horizontal="center" vertical="center"/>
    </xf>
    <xf numFmtId="0" fontId="36" fillId="0" borderId="47" xfId="0" applyFont="1" applyBorder="1" applyAlignment="1" applyProtection="1">
      <alignment horizontal="center" vertical="center"/>
    </xf>
    <xf numFmtId="0" fontId="36" fillId="0" borderId="23" xfId="0" applyFont="1" applyBorder="1" applyAlignment="1" applyProtection="1">
      <alignment horizontal="center" vertical="center"/>
    </xf>
    <xf numFmtId="0" fontId="36" fillId="0" borderId="54" xfId="0" applyFont="1" applyBorder="1" applyAlignment="1" applyProtection="1">
      <alignment horizontal="center" vertical="center"/>
    </xf>
    <xf numFmtId="0" fontId="0" fillId="7" borderId="48" xfId="0" applyFill="1" applyBorder="1" applyAlignment="1" applyProtection="1"/>
    <xf numFmtId="0" fontId="0" fillId="7" borderId="3" xfId="0" applyFill="1" applyBorder="1" applyAlignment="1" applyProtection="1"/>
    <xf numFmtId="0" fontId="0" fillId="7" borderId="49" xfId="0" applyFill="1" applyBorder="1" applyAlignment="1" applyProtection="1"/>
    <xf numFmtId="0" fontId="9" fillId="7" borderId="36" xfId="0" applyFont="1" applyFill="1" applyBorder="1" applyAlignment="1" applyProtection="1">
      <alignment horizontal="center" vertical="center" wrapText="1"/>
    </xf>
    <xf numFmtId="0" fontId="9" fillId="7" borderId="103" xfId="0" applyFont="1" applyFill="1" applyBorder="1" applyAlignment="1" applyProtection="1">
      <alignment horizontal="center" vertical="center" wrapText="1"/>
    </xf>
    <xf numFmtId="0" fontId="9" fillId="7" borderId="37" xfId="0" applyFont="1" applyFill="1" applyBorder="1" applyAlignment="1" applyProtection="1">
      <alignment horizontal="center" vertical="center" wrapText="1"/>
    </xf>
    <xf numFmtId="0" fontId="9" fillId="7" borderId="79" xfId="0" applyFont="1" applyFill="1" applyBorder="1" applyAlignment="1" applyProtection="1">
      <alignment horizontal="center" vertical="center" wrapText="1"/>
    </xf>
    <xf numFmtId="0" fontId="9" fillId="7" borderId="80" xfId="0" applyFont="1" applyFill="1" applyBorder="1" applyAlignment="1" applyProtection="1">
      <alignment horizontal="center" vertical="center" wrapText="1"/>
    </xf>
    <xf numFmtId="0" fontId="9" fillId="7" borderId="83" xfId="0" applyFont="1" applyFill="1" applyBorder="1" applyAlignment="1" applyProtection="1">
      <alignment horizontal="center" vertical="center" wrapText="1"/>
    </xf>
    <xf numFmtId="0" fontId="9" fillId="7" borderId="79" xfId="0" applyFont="1" applyFill="1" applyBorder="1" applyAlignment="1" applyProtection="1">
      <alignment horizontal="center" vertical="center"/>
    </xf>
    <xf numFmtId="0" fontId="9" fillId="7" borderId="3" xfId="0" applyFont="1" applyFill="1" applyBorder="1" applyAlignment="1" applyProtection="1">
      <alignment horizontal="center" vertical="center"/>
    </xf>
    <xf numFmtId="0" fontId="9" fillId="7" borderId="83" xfId="0" applyFont="1" applyFill="1" applyBorder="1" applyAlignment="1" applyProtection="1">
      <alignment horizontal="center" vertical="center"/>
    </xf>
    <xf numFmtId="0" fontId="9" fillId="7" borderId="35" xfId="0" applyFont="1" applyFill="1" applyBorder="1" applyAlignment="1" applyProtection="1">
      <alignment horizontal="center" vertical="center" wrapText="1"/>
    </xf>
    <xf numFmtId="0" fontId="9" fillId="7" borderId="33" xfId="0" applyFont="1" applyFill="1" applyBorder="1" applyAlignment="1" applyProtection="1">
      <alignment horizontal="center" vertical="center" wrapText="1"/>
    </xf>
    <xf numFmtId="0" fontId="9" fillId="7" borderId="34" xfId="0" applyFont="1" applyFill="1" applyBorder="1" applyAlignment="1" applyProtection="1">
      <alignment horizontal="center" vertical="center" wrapText="1"/>
    </xf>
    <xf numFmtId="0" fontId="9" fillId="7" borderId="32" xfId="0" applyFont="1" applyFill="1" applyBorder="1" applyAlignment="1" applyProtection="1">
      <alignment horizontal="center" vertical="center" wrapText="1"/>
    </xf>
    <xf numFmtId="0" fontId="9" fillId="7" borderId="96" xfId="0" applyFont="1" applyFill="1" applyBorder="1" applyAlignment="1" applyProtection="1">
      <alignment horizontal="center" vertical="center" wrapText="1"/>
    </xf>
    <xf numFmtId="0" fontId="9" fillId="7" borderId="91" xfId="0" applyFont="1" applyFill="1" applyBorder="1" applyAlignment="1" applyProtection="1">
      <alignment horizontal="center" vertical="center" wrapText="1"/>
    </xf>
    <xf numFmtId="0" fontId="9" fillId="7" borderId="108" xfId="0" applyFont="1" applyFill="1" applyBorder="1" applyAlignment="1" applyProtection="1">
      <alignment horizontal="center" vertical="center" wrapText="1"/>
    </xf>
    <xf numFmtId="0" fontId="9" fillId="7" borderId="89" xfId="0" applyFont="1" applyFill="1" applyBorder="1" applyAlignment="1" applyProtection="1">
      <alignment horizontal="center" vertical="center" wrapText="1"/>
    </xf>
    <xf numFmtId="0" fontId="9" fillId="7" borderId="95" xfId="0" applyFont="1" applyFill="1" applyBorder="1" applyAlignment="1" applyProtection="1">
      <alignment horizontal="center" vertical="center" wrapText="1"/>
    </xf>
    <xf numFmtId="0" fontId="9" fillId="7" borderId="82" xfId="0" applyFont="1" applyFill="1" applyBorder="1" applyAlignment="1" applyProtection="1">
      <alignment horizontal="center" vertical="center" wrapText="1"/>
    </xf>
    <xf numFmtId="0" fontId="9" fillId="7" borderId="44" xfId="0" applyFont="1" applyFill="1" applyBorder="1" applyAlignment="1" applyProtection="1">
      <alignment horizontal="center" vertical="center" wrapText="1"/>
    </xf>
    <xf numFmtId="0" fontId="9" fillId="7" borderId="106" xfId="0" applyFont="1" applyFill="1" applyBorder="1" applyAlignment="1" applyProtection="1">
      <alignment horizontal="center" vertical="center" wrapText="1"/>
    </xf>
    <xf numFmtId="0" fontId="9" fillId="7" borderId="45" xfId="0" applyFont="1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9" fillId="7" borderId="18" xfId="0" applyFont="1" applyFill="1" applyBorder="1" applyAlignment="1" applyProtection="1">
      <alignment horizontal="center" vertical="center" wrapText="1"/>
    </xf>
    <xf numFmtId="0" fontId="8" fillId="7" borderId="112" xfId="0" applyFont="1" applyFill="1" applyBorder="1" applyAlignment="1" applyProtection="1">
      <alignment horizontal="center" vertical="center" wrapText="1"/>
    </xf>
    <xf numFmtId="0" fontId="8" fillId="7" borderId="105" xfId="0" applyFont="1" applyFill="1" applyBorder="1" applyAlignment="1" applyProtection="1">
      <alignment horizontal="center" vertical="center" wrapText="1"/>
    </xf>
    <xf numFmtId="0" fontId="8" fillId="7" borderId="111" xfId="0" applyFont="1" applyFill="1" applyBorder="1" applyAlignment="1" applyProtection="1">
      <alignment horizontal="center" vertical="center" wrapText="1"/>
    </xf>
    <xf numFmtId="0" fontId="8" fillId="7" borderId="26" xfId="0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стоимости</a:t>
            </a:r>
          </a:p>
        </c:rich>
      </c:tx>
      <c:layout>
        <c:manualLayout>
          <c:xMode val="edge"/>
          <c:yMode val="edge"/>
          <c:x val="3.0674934383202086E-2"/>
          <c:y val="2.46406517721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14712529354883"/>
          <c:y val="0.12579591325809641"/>
          <c:w val="0.55803354054427412"/>
          <c:h val="0.866118263289785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561404199475066"/>
                  <c:y val="0.1111748266100067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877165354330708E-2"/>
                  <c:y val="-0.2052622343099626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0.1216666666666666"/>
                  <c:y val="2.837878739536875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6842105263157897"/>
                  <c:y val="-8.3916068513835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14028871391081"/>
                  <c:y val="-0.196431266163017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0087664041994749E-2"/>
                  <c:y val="-0.171493762444283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4999999999999939E-2"/>
                  <c:y val="-0.1670088620114877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'результат '!$I$30:$I$36</c:f>
              <c:strCache>
                <c:ptCount val="7"/>
                <c:pt idx="0">
                  <c:v>РАБОТЫ</c:v>
                </c:pt>
                <c:pt idx="1">
                  <c:v>КОРПУС</c:v>
                </c:pt>
                <c:pt idx="2">
                  <c:v>СЕРДЕЧНИК</c:v>
                </c:pt>
                <c:pt idx="3">
                  <c:v>СОЕДИНЕНИЯ</c:v>
                </c:pt>
                <c:pt idx="4">
                  <c:v>ПРОЧЕЕ</c:v>
                </c:pt>
                <c:pt idx="5">
                  <c:v>КОФ</c:v>
                </c:pt>
                <c:pt idx="6">
                  <c:v>ЗИП</c:v>
                </c:pt>
              </c:strCache>
            </c:strRef>
          </c:cat>
          <c:val>
            <c:numRef>
              <c:f>'результат '!$J$30:$J$36</c:f>
              <c:numCache>
                <c:formatCode>#\ ##0\ "₽"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1356336.64</c:v>
                </c:pt>
                <c:pt idx="3">
                  <c:v>0</c:v>
                </c:pt>
                <c:pt idx="4">
                  <c:v>194700</c:v>
                </c:pt>
                <c:pt idx="5">
                  <c:v>0</c:v>
                </c:pt>
                <c:pt idx="6">
                  <c:v>58100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28</xdr:row>
      <xdr:rowOff>38100</xdr:rowOff>
    </xdr:from>
    <xdr:to>
      <xdr:col>17</xdr:col>
      <xdr:colOff>514350</xdr:colOff>
      <xdr:row>52</xdr:row>
      <xdr:rowOff>85726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L75"/>
  <sheetViews>
    <sheetView zoomScale="85" zoomScaleNormal="85" workbookViewId="0">
      <selection activeCell="H28" sqref="H28"/>
    </sheetView>
  </sheetViews>
  <sheetFormatPr defaultRowHeight="15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spans="5:11" ht="15" customHeight="1" x14ac:dyDescent="0.25"/>
    <row r="2" spans="5:11" ht="15" customHeight="1" x14ac:dyDescent="0.25"/>
    <row r="3" spans="5:11" ht="15" customHeight="1" x14ac:dyDescent="0.25"/>
    <row r="4" spans="5:11" ht="15" customHeight="1" x14ac:dyDescent="0.25">
      <c r="E4" s="453" t="s">
        <v>394</v>
      </c>
      <c r="F4" s="453"/>
      <c r="G4" s="453"/>
      <c r="H4" s="453"/>
      <c r="I4" s="453"/>
      <c r="J4" s="453"/>
      <c r="K4" s="453"/>
    </row>
    <row r="5" spans="5:11" ht="15" customHeight="1" x14ac:dyDescent="0.25">
      <c r="E5" s="454" t="s">
        <v>393</v>
      </c>
      <c r="F5" s="454"/>
      <c r="G5" s="454"/>
      <c r="H5" s="454"/>
      <c r="I5" s="454"/>
      <c r="J5" s="454"/>
      <c r="K5" s="454"/>
    </row>
    <row r="6" spans="5:11" ht="42.75" customHeight="1" x14ac:dyDescent="0.25">
      <c r="E6" s="455" t="s">
        <v>395</v>
      </c>
      <c r="F6" s="455"/>
      <c r="G6" s="455"/>
      <c r="H6" s="455"/>
      <c r="I6" s="455"/>
      <c r="J6" s="455"/>
      <c r="K6" s="455"/>
    </row>
    <row r="7" spans="5:11" ht="15" customHeight="1" x14ac:dyDescent="0.25">
      <c r="E7" s="456" t="s">
        <v>18</v>
      </c>
      <c r="F7" s="456"/>
      <c r="G7" s="456"/>
      <c r="H7" s="456"/>
      <c r="I7" s="456"/>
      <c r="J7" s="456"/>
      <c r="K7" s="456"/>
    </row>
    <row r="8" spans="5:11" ht="15" customHeight="1" x14ac:dyDescent="0.25">
      <c r="E8" s="457" t="s">
        <v>43</v>
      </c>
      <c r="F8" s="457"/>
      <c r="G8" s="457"/>
      <c r="H8" s="457"/>
      <c r="I8" s="457"/>
      <c r="J8" s="457"/>
      <c r="K8" s="457"/>
    </row>
    <row r="9" spans="5:11" ht="15" customHeight="1" x14ac:dyDescent="0.25"/>
    <row r="10" spans="5:11" ht="15" customHeight="1" x14ac:dyDescent="0.25"/>
    <row r="11" spans="5:11" ht="15" customHeight="1" x14ac:dyDescent="0.25"/>
    <row r="12" spans="5:11" ht="15" customHeight="1" x14ac:dyDescent="0.25"/>
    <row r="13" spans="5:11" ht="15" customHeight="1" x14ac:dyDescent="0.25"/>
    <row r="14" spans="5:11" ht="15" customHeight="1" x14ac:dyDescent="0.25"/>
    <row r="15" spans="5:11" ht="15" customHeight="1" x14ac:dyDescent="0.25"/>
    <row r="16" spans="5:11" ht="15" customHeight="1" x14ac:dyDescent="0.25"/>
    <row r="17" spans="4:22" ht="15" customHeight="1" x14ac:dyDescent="0.25"/>
    <row r="18" spans="4:22" ht="15" customHeight="1" x14ac:dyDescent="0.25"/>
    <row r="19" spans="4:22" ht="15" customHeight="1" x14ac:dyDescent="0.25"/>
    <row r="20" spans="4:22" ht="15" customHeight="1" x14ac:dyDescent="0.25"/>
    <row r="21" spans="4:22" ht="15" customHeight="1" x14ac:dyDescent="0.25"/>
    <row r="22" spans="4:22" ht="15" customHeight="1" x14ac:dyDescent="0.25"/>
    <row r="23" spans="4:22" ht="15" customHeight="1" thickBot="1" x14ac:dyDescent="0.3"/>
    <row r="24" spans="4:22" ht="15.75" thickTop="1" x14ac:dyDescent="0.25">
      <c r="D24" s="446" t="s">
        <v>387</v>
      </c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8"/>
    </row>
    <row r="25" spans="4:22" ht="121.5" customHeight="1" thickBot="1" x14ac:dyDescent="0.3">
      <c r="D25" s="449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1"/>
    </row>
    <row r="26" spans="4:22" ht="75.75" thickTop="1" x14ac:dyDescent="0.25">
      <c r="D26" s="12" t="s">
        <v>13</v>
      </c>
      <c r="E26" s="13" t="s">
        <v>2</v>
      </c>
      <c r="F26" s="13" t="s">
        <v>388</v>
      </c>
      <c r="G26" s="13" t="s">
        <v>4</v>
      </c>
      <c r="H26" s="14" t="s">
        <v>14</v>
      </c>
      <c r="I26" s="15" t="s">
        <v>32</v>
      </c>
      <c r="J26" s="16" t="s">
        <v>22</v>
      </c>
      <c r="K26" s="16" t="s">
        <v>23</v>
      </c>
      <c r="L26" s="16" t="s">
        <v>24</v>
      </c>
      <c r="M26" s="16" t="s">
        <v>25</v>
      </c>
      <c r="N26" s="14" t="s">
        <v>26</v>
      </c>
      <c r="O26" s="14" t="s">
        <v>27</v>
      </c>
      <c r="P26" s="13" t="s">
        <v>5</v>
      </c>
      <c r="Q26" s="13" t="s">
        <v>192</v>
      </c>
      <c r="R26" s="13" t="s">
        <v>21</v>
      </c>
      <c r="S26" s="13" t="s">
        <v>7</v>
      </c>
      <c r="T26" s="13" t="s">
        <v>199</v>
      </c>
      <c r="U26" s="156" t="s">
        <v>12</v>
      </c>
      <c r="V26" s="17" t="s">
        <v>198</v>
      </c>
    </row>
    <row r="27" spans="4:22" x14ac:dyDescent="0.25">
      <c r="D27" s="19">
        <v>1</v>
      </c>
      <c r="E27" s="4" t="s">
        <v>3</v>
      </c>
      <c r="F27" s="7" t="s">
        <v>389</v>
      </c>
      <c r="G27" s="7" t="s">
        <v>33</v>
      </c>
      <c r="H27" s="5" t="s">
        <v>398</v>
      </c>
      <c r="I27" s="4">
        <v>400</v>
      </c>
      <c r="J27" s="6">
        <v>22</v>
      </c>
      <c r="K27" s="6">
        <v>22</v>
      </c>
      <c r="L27" s="6">
        <v>100</v>
      </c>
      <c r="M27" s="6">
        <v>100</v>
      </c>
      <c r="N27" s="20">
        <f>AI73</f>
        <v>31.46</v>
      </c>
      <c r="O27" s="20">
        <f>AJ73</f>
        <v>31.46</v>
      </c>
      <c r="P27" s="7" t="s">
        <v>34</v>
      </c>
      <c r="Q27" s="7" t="str">
        <f>P27</f>
        <v>AISI 316L</v>
      </c>
      <c r="R27" s="7" t="s">
        <v>9</v>
      </c>
      <c r="S27" s="7" t="s">
        <v>10</v>
      </c>
      <c r="T27" s="4">
        <v>5</v>
      </c>
      <c r="U27" s="157">
        <v>1</v>
      </c>
      <c r="V27" s="159">
        <v>3</v>
      </c>
    </row>
    <row r="28" spans="4:22" ht="15.75" thickBot="1" x14ac:dyDescent="0.3">
      <c r="D28" s="21"/>
      <c r="E28" s="22"/>
      <c r="F28" s="22"/>
      <c r="G28" s="22"/>
      <c r="H28" s="22"/>
      <c r="I28" s="23"/>
      <c r="J28" s="24"/>
      <c r="K28" s="24"/>
      <c r="L28" s="24"/>
      <c r="M28" s="24"/>
      <c r="N28" s="22"/>
      <c r="O28" s="22"/>
      <c r="P28" s="22"/>
      <c r="Q28" s="22"/>
      <c r="R28" s="22"/>
      <c r="S28" s="22"/>
      <c r="T28" s="22"/>
      <c r="U28" s="31"/>
      <c r="V28" s="25"/>
    </row>
    <row r="29" spans="4:22" ht="15.75" thickTop="1" x14ac:dyDescent="0.25"/>
    <row r="56" spans="25:38" ht="15.75" thickBot="1" x14ac:dyDescent="0.3"/>
    <row r="57" spans="25:38" x14ac:dyDescent="0.25">
      <c r="Y57" s="257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9"/>
    </row>
    <row r="58" spans="25:38" ht="15.75" thickBot="1" x14ac:dyDescent="0.3">
      <c r="Y58" s="260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61"/>
    </row>
    <row r="59" spans="25:38" ht="45" x14ac:dyDescent="0.25">
      <c r="Y59" s="260"/>
      <c r="Z59" s="238" t="s">
        <v>242</v>
      </c>
      <c r="AA59" s="239" t="s">
        <v>243</v>
      </c>
      <c r="AB59" s="240"/>
      <c r="AC59" s="237"/>
      <c r="AD59" s="237"/>
      <c r="AE59" s="237"/>
      <c r="AF59" s="247" t="s">
        <v>246</v>
      </c>
      <c r="AG59" s="248" t="s">
        <v>247</v>
      </c>
      <c r="AH59" s="237"/>
      <c r="AI59" s="237"/>
      <c r="AJ59" s="247" t="s">
        <v>246</v>
      </c>
      <c r="AK59" s="248" t="s">
        <v>247</v>
      </c>
      <c r="AL59" s="261"/>
    </row>
    <row r="60" spans="25:38" x14ac:dyDescent="0.25">
      <c r="Y60" s="260">
        <v>1</v>
      </c>
      <c r="Z60" s="241">
        <v>20</v>
      </c>
      <c r="AA60" s="242">
        <v>183</v>
      </c>
      <c r="AB60" s="1"/>
      <c r="AC60" s="237"/>
      <c r="AD60" s="237"/>
      <c r="AE60" s="249">
        <f>MATCH(AF61,$Z$60:$Z$68)</f>
        <v>2</v>
      </c>
      <c r="AF60" s="250">
        <f>INDEX($Z$60:$Z$68,AE60,1)</f>
        <v>100</v>
      </c>
      <c r="AG60" s="251">
        <f>VLOOKUP(AF60,$Z$60:$AA$68,$AA$69)</f>
        <v>160</v>
      </c>
      <c r="AH60" s="237"/>
      <c r="AI60" s="249">
        <f>MATCH(AJ61,$Z$60:$Z$68)</f>
        <v>2</v>
      </c>
      <c r="AJ60" s="250">
        <f>INDEX($Z$60:$Z$68,AI60,1)</f>
        <v>100</v>
      </c>
      <c r="AK60" s="251">
        <f>VLOOKUP(AJ60,$Z$60:$AA$68,$AA$69)</f>
        <v>160</v>
      </c>
      <c r="AL60" s="261"/>
    </row>
    <row r="61" spans="25:38" x14ac:dyDescent="0.25">
      <c r="Y61" s="260">
        <v>2</v>
      </c>
      <c r="Z61" s="241">
        <v>100</v>
      </c>
      <c r="AA61" s="242">
        <v>160</v>
      </c>
      <c r="AB61" s="1"/>
      <c r="AC61" s="237"/>
      <c r="AD61" s="237"/>
      <c r="AE61" s="249"/>
      <c r="AF61" s="252">
        <f>L27</f>
        <v>100</v>
      </c>
      <c r="AG61" s="253">
        <f>_xlfn.FLOOR.PRECISE((AG62-AG60)/(AF62-AF60)*(AF61-AF60)+AG60,1)</f>
        <v>160</v>
      </c>
      <c r="AH61" s="237"/>
      <c r="AI61" s="249"/>
      <c r="AJ61" s="252">
        <f>M27</f>
        <v>100</v>
      </c>
      <c r="AK61" s="253">
        <f>_xlfn.FLOOR.PRECISE((AK62-AK60)/(AJ62-AJ60)*(AJ61-AJ60)+AK60,1)</f>
        <v>160</v>
      </c>
      <c r="AL61" s="261"/>
    </row>
    <row r="62" spans="25:38" ht="15.75" thickBot="1" x14ac:dyDescent="0.3">
      <c r="Y62" s="260">
        <v>3</v>
      </c>
      <c r="Z62" s="241">
        <v>150</v>
      </c>
      <c r="AA62" s="242">
        <v>154</v>
      </c>
      <c r="AB62" s="1"/>
      <c r="AC62" s="237"/>
      <c r="AD62" s="237"/>
      <c r="AE62" s="249">
        <f>AE60+1</f>
        <v>3</v>
      </c>
      <c r="AF62" s="254">
        <f>INDEX($Z$60:$Z$68,AE62,1)</f>
        <v>150</v>
      </c>
      <c r="AG62" s="255">
        <f>VLOOKUP(AF62,$Z$60:$AA$68,$AA$69)</f>
        <v>154</v>
      </c>
      <c r="AH62" s="237"/>
      <c r="AI62" s="249">
        <f>AI60+1</f>
        <v>3</v>
      </c>
      <c r="AJ62" s="254">
        <f>INDEX($Z$60:$Z$68,AI62,1)</f>
        <v>150</v>
      </c>
      <c r="AK62" s="255">
        <f>VLOOKUP(AJ62,$Z$60:$AA$68,$AA$69)</f>
        <v>154</v>
      </c>
      <c r="AL62" s="261"/>
    </row>
    <row r="63" spans="25:38" x14ac:dyDescent="0.25">
      <c r="Y63" s="260">
        <v>4</v>
      </c>
      <c r="Z63" s="241">
        <v>200</v>
      </c>
      <c r="AA63" s="242">
        <v>148</v>
      </c>
      <c r="AB63" s="1"/>
      <c r="AC63" s="237"/>
      <c r="AD63" s="237"/>
      <c r="AE63" s="237"/>
      <c r="AF63" s="237"/>
      <c r="AG63" s="237"/>
      <c r="AH63" s="237"/>
      <c r="AI63" s="237"/>
      <c r="AJ63" s="237"/>
      <c r="AK63" s="237"/>
      <c r="AL63" s="261"/>
    </row>
    <row r="64" spans="25:38" x14ac:dyDescent="0.25">
      <c r="Y64" s="260">
        <v>5</v>
      </c>
      <c r="Z64" s="241">
        <v>250</v>
      </c>
      <c r="AA64" s="242">
        <v>145</v>
      </c>
      <c r="AB64" s="1"/>
      <c r="AC64" s="237"/>
      <c r="AD64" s="237"/>
      <c r="AE64" s="237"/>
      <c r="AF64" s="237"/>
      <c r="AG64" s="237"/>
      <c r="AH64" s="237"/>
      <c r="AI64" s="237"/>
      <c r="AJ64" s="237"/>
      <c r="AK64" s="237"/>
      <c r="AL64" s="261"/>
    </row>
    <row r="65" spans="25:38" x14ac:dyDescent="0.25">
      <c r="Y65" s="260">
        <v>6</v>
      </c>
      <c r="Z65" s="241">
        <v>300</v>
      </c>
      <c r="AA65" s="242">
        <v>134</v>
      </c>
      <c r="AB65" s="1"/>
      <c r="AC65" s="237"/>
      <c r="AD65" s="237"/>
      <c r="AE65" s="237"/>
      <c r="AF65" s="237"/>
      <c r="AG65" s="237"/>
      <c r="AH65" s="237"/>
      <c r="AI65" s="237"/>
      <c r="AJ65" s="237"/>
      <c r="AK65" s="237"/>
      <c r="AL65" s="261"/>
    </row>
    <row r="66" spans="25:38" x14ac:dyDescent="0.25">
      <c r="Y66" s="260">
        <v>7</v>
      </c>
      <c r="Z66" s="241">
        <v>350</v>
      </c>
      <c r="AA66" s="242">
        <v>123</v>
      </c>
      <c r="AB66" s="1"/>
      <c r="AC66" s="237"/>
      <c r="AD66" s="237"/>
      <c r="AE66" s="237"/>
      <c r="AF66" s="237"/>
      <c r="AG66" s="237"/>
      <c r="AH66" s="237"/>
      <c r="AI66" s="237"/>
      <c r="AJ66" s="237"/>
      <c r="AK66" s="237"/>
      <c r="AL66" s="261"/>
    </row>
    <row r="67" spans="25:38" x14ac:dyDescent="0.25">
      <c r="Y67" s="260">
        <v>8</v>
      </c>
      <c r="Z67" s="241">
        <v>375</v>
      </c>
      <c r="AA67" s="242">
        <v>116</v>
      </c>
      <c r="AB67" s="1"/>
      <c r="AC67" s="237"/>
      <c r="AD67" s="237"/>
      <c r="AE67" s="237"/>
      <c r="AF67" s="237"/>
      <c r="AG67" s="237"/>
      <c r="AH67" s="237"/>
      <c r="AI67" s="237"/>
      <c r="AJ67" s="237"/>
      <c r="AK67" s="237"/>
      <c r="AL67" s="261"/>
    </row>
    <row r="68" spans="25:38" ht="15.75" thickBot="1" x14ac:dyDescent="0.3">
      <c r="Y68" s="260">
        <v>9</v>
      </c>
      <c r="Z68" s="243">
        <v>400</v>
      </c>
      <c r="AA68" s="244">
        <v>105</v>
      </c>
      <c r="AB68" s="1"/>
      <c r="AC68" s="237"/>
      <c r="AD68" s="237"/>
      <c r="AE68" s="237"/>
      <c r="AF68" s="237"/>
      <c r="AG68" s="237"/>
      <c r="AH68" s="237"/>
      <c r="AI68" s="237"/>
      <c r="AJ68" s="237"/>
      <c r="AK68" s="237"/>
      <c r="AL68" s="261"/>
    </row>
    <row r="69" spans="25:38" x14ac:dyDescent="0.25">
      <c r="Y69" s="260"/>
      <c r="Z69" s="237">
        <v>1</v>
      </c>
      <c r="AA69" s="237">
        <v>2</v>
      </c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61"/>
    </row>
    <row r="70" spans="25:38" x14ac:dyDescent="0.25">
      <c r="Y70" s="260"/>
      <c r="Z70" s="452" t="s">
        <v>244</v>
      </c>
      <c r="AA70" s="452"/>
      <c r="AB70" s="245"/>
      <c r="AC70" s="2">
        <v>1.2</v>
      </c>
      <c r="AD70" s="237"/>
      <c r="AE70" s="237"/>
      <c r="AF70" s="237"/>
      <c r="AG70" s="237"/>
      <c r="AH70" s="237"/>
      <c r="AI70" s="237"/>
      <c r="AJ70" s="237"/>
      <c r="AK70" s="237"/>
      <c r="AL70" s="261"/>
    </row>
    <row r="71" spans="25:38" x14ac:dyDescent="0.25">
      <c r="Y71" s="260"/>
      <c r="Z71" s="452" t="s">
        <v>245</v>
      </c>
      <c r="AA71" s="452"/>
      <c r="AB71" s="245"/>
      <c r="AC71" s="246">
        <f>_xlfn.CEILING.PRECISE(1.25*AC70*AA60/AF61,0.01)</f>
        <v>2.75</v>
      </c>
      <c r="AD71" s="237"/>
      <c r="AE71" s="237"/>
      <c r="AF71" s="237"/>
      <c r="AG71" s="237"/>
      <c r="AH71" s="237"/>
      <c r="AI71" s="237"/>
      <c r="AJ71" s="237"/>
      <c r="AK71" s="237"/>
      <c r="AL71" s="261"/>
    </row>
    <row r="72" spans="25:38" ht="45" x14ac:dyDescent="0.25">
      <c r="Y72" s="260"/>
      <c r="Z72" s="237"/>
      <c r="AA72" s="237"/>
      <c r="AB72" s="237"/>
      <c r="AC72" s="237"/>
      <c r="AD72" s="237"/>
      <c r="AE72" s="240" t="s">
        <v>248</v>
      </c>
      <c r="AF72" s="240" t="s">
        <v>249</v>
      </c>
      <c r="AG72" s="262" t="s">
        <v>250</v>
      </c>
      <c r="AH72" s="262" t="s">
        <v>251</v>
      </c>
      <c r="AI72" s="262" t="s">
        <v>252</v>
      </c>
      <c r="AJ72" s="262" t="s">
        <v>253</v>
      </c>
      <c r="AK72" s="237"/>
      <c r="AL72" s="261"/>
    </row>
    <row r="73" spans="25:38" x14ac:dyDescent="0.25">
      <c r="Y73" s="260"/>
      <c r="Z73" s="237"/>
      <c r="AA73" s="237"/>
      <c r="AB73" s="237"/>
      <c r="AC73" s="237"/>
      <c r="AD73" s="237"/>
      <c r="AE73" s="249">
        <f>AG61</f>
        <v>160</v>
      </c>
      <c r="AF73" s="249">
        <f>AK61</f>
        <v>160</v>
      </c>
      <c r="AG73" s="263">
        <f>J27</f>
        <v>22</v>
      </c>
      <c r="AH73" s="263">
        <f>K27</f>
        <v>22</v>
      </c>
      <c r="AI73" s="246">
        <f>_xlfn.CEILING.PRECISE(1.25*AG73*$AA$60/AE73,0.01)</f>
        <v>31.46</v>
      </c>
      <c r="AJ73" s="246">
        <f>_xlfn.CEILING.PRECISE(1.25*AH73*$AA$60/AF73,0.01)</f>
        <v>31.46</v>
      </c>
      <c r="AK73" s="237"/>
      <c r="AL73" s="261"/>
    </row>
    <row r="74" spans="25:38" x14ac:dyDescent="0.25">
      <c r="Y74" s="260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61"/>
    </row>
    <row r="75" spans="25:38" ht="15.75" thickBot="1" x14ac:dyDescent="0.3">
      <c r="Y75" s="264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6"/>
    </row>
  </sheetData>
  <mergeCells count="8">
    <mergeCell ref="D24:V25"/>
    <mergeCell ref="Z70:AA70"/>
    <mergeCell ref="Z71:AA71"/>
    <mergeCell ref="E4:K4"/>
    <mergeCell ref="E5:K5"/>
    <mergeCell ref="E6:K6"/>
    <mergeCell ref="E7:K7"/>
    <mergeCell ref="E8:K8"/>
  </mergeCells>
  <dataValidations count="6">
    <dataValidation type="list" allowBlank="1" showInputMessage="1" showErrorMessage="1" promptTitle="материал пластин" sqref="P27:Q27">
      <formula1>материал_пластин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promptTitle="материал корпуса" sqref="R27">
      <formula1>материал_корпуса</formula1>
    </dataValidation>
    <dataValidation type="list" allowBlank="1" showInputMessage="1" showErrorMessage="1" sqref="U27:V27">
      <formula1>толщина_пластины</formula1>
    </dataValidation>
    <dataValidation type="whole" allowBlank="1" showInputMessage="1" showErrorMessage="1" errorTitle="Внимание!" error="Введите значение температуры от 20 до 400." sqref="AF61 AJ61">
      <formula1>20</formula1>
      <formula2>400</formula2>
    </dataValidation>
    <dataValidation type="list" allowBlank="1" showInputMessage="1" showErrorMessage="1" sqref="F27">
      <formula1>тип_поставки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типоразмерыК4" prompt="выберите типоразмер">
          <x14:formula1>
            <xm:f>снабжение!$AM$40:$AM$52</xm:f>
          </x14:formula1>
          <xm:sqref>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62"/>
  <sheetViews>
    <sheetView tabSelected="1" topLeftCell="A89" zoomScaleNormal="100" workbookViewId="0">
      <selection activeCell="E97" sqref="E97"/>
    </sheetView>
  </sheetViews>
  <sheetFormatPr defaultRowHeight="15" x14ac:dyDescent="0.25"/>
  <cols>
    <col min="1" max="1" width="18.5703125" style="9" customWidth="1"/>
    <col min="2" max="2" width="15" style="9" customWidth="1"/>
    <col min="3" max="3" width="6.7109375" style="9" customWidth="1"/>
    <col min="4" max="4" width="21.7109375" style="9" customWidth="1"/>
    <col min="5" max="5" width="13" style="9" customWidth="1"/>
    <col min="6" max="6" width="12.140625" style="9" customWidth="1"/>
    <col min="7" max="7" width="13.7109375" style="9" customWidth="1"/>
    <col min="8" max="8" width="12.140625" style="9" customWidth="1"/>
    <col min="9" max="9" width="12.5703125" style="9" customWidth="1"/>
    <col min="10" max="10" width="12" style="9" customWidth="1"/>
    <col min="11" max="11" width="15.5703125" style="9" customWidth="1"/>
    <col min="12" max="12" width="12" style="9" customWidth="1"/>
    <col min="13" max="13" width="13.42578125" style="9" customWidth="1"/>
    <col min="14" max="14" width="10.7109375" style="9" customWidth="1"/>
    <col min="15" max="15" width="11.7109375" style="9" customWidth="1"/>
    <col min="16" max="16" width="14.140625" style="9" customWidth="1"/>
    <col min="17" max="17" width="11.5703125" style="9" customWidth="1"/>
    <col min="18" max="18" width="10.7109375" style="9" customWidth="1"/>
    <col min="19" max="19" width="11.42578125" style="9" customWidth="1"/>
    <col min="20" max="20" width="15.28515625" style="9" customWidth="1"/>
    <col min="21" max="21" width="12.42578125" style="9" customWidth="1"/>
    <col min="22" max="22" width="14.5703125" style="9" customWidth="1"/>
    <col min="23" max="24" width="15.7109375" style="9" customWidth="1"/>
    <col min="25" max="25" width="19.7109375" style="9" customWidth="1"/>
    <col min="26" max="33" width="15.7109375" style="9" customWidth="1"/>
    <col min="34" max="34" width="17.28515625" style="9" customWidth="1"/>
    <col min="35" max="35" width="16.42578125" style="9" customWidth="1"/>
    <col min="36" max="36" width="16.140625" style="9" customWidth="1"/>
    <col min="37" max="37" width="16" style="9" customWidth="1"/>
    <col min="38" max="38" width="13.42578125" style="9" bestFit="1" customWidth="1"/>
    <col min="39" max="39" width="11.7109375" style="9" customWidth="1"/>
    <col min="40" max="40" width="12.7109375" style="9" bestFit="1" customWidth="1"/>
    <col min="41" max="42" width="16.28515625" style="9" customWidth="1"/>
    <col min="43" max="43" width="13.85546875" style="9" bestFit="1" customWidth="1"/>
    <col min="44" max="44" width="13.5703125" style="9" bestFit="1" customWidth="1"/>
    <col min="45" max="45" width="17.85546875" style="9" customWidth="1"/>
    <col min="46" max="46" width="19.140625" style="9" customWidth="1"/>
    <col min="47" max="47" width="13.5703125" style="9" bestFit="1" customWidth="1"/>
    <col min="48" max="50" width="12.7109375" style="9" bestFit="1" customWidth="1"/>
    <col min="51" max="51" width="12.85546875" style="9" customWidth="1"/>
    <col min="52" max="52" width="12.7109375" style="9" bestFit="1" customWidth="1"/>
    <col min="53" max="53" width="13.85546875" style="9" bestFit="1" customWidth="1"/>
    <col min="54" max="54" width="13.85546875" style="9" customWidth="1"/>
    <col min="55" max="55" width="12.7109375" style="9" bestFit="1" customWidth="1"/>
    <col min="56" max="56" width="13.5703125" style="9" bestFit="1" customWidth="1"/>
    <col min="57" max="57" width="12.7109375" style="9" bestFit="1" customWidth="1"/>
    <col min="58" max="58" width="13.5703125" style="9" bestFit="1" customWidth="1"/>
    <col min="59" max="60" width="16" style="9" bestFit="1" customWidth="1"/>
    <col min="61" max="61" width="12.7109375" style="9" bestFit="1" customWidth="1"/>
    <col min="62" max="62" width="9.140625" style="9"/>
    <col min="63" max="63" width="12.5703125" style="9" bestFit="1" customWidth="1"/>
    <col min="64" max="16384" width="9.140625" style="9"/>
  </cols>
  <sheetData>
    <row r="1" spans="1:37" x14ac:dyDescent="0.25">
      <c r="A1" s="386" t="s">
        <v>214</v>
      </c>
      <c r="B1" s="115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7" ht="21" x14ac:dyDescent="0.35">
      <c r="A2" s="58"/>
      <c r="B2" s="527" t="s">
        <v>1</v>
      </c>
      <c r="C2" s="527"/>
      <c r="D2" s="527"/>
      <c r="E2" s="527"/>
      <c r="F2" s="3" t="s">
        <v>15</v>
      </c>
      <c r="G2" s="58"/>
      <c r="H2" s="58"/>
      <c r="I2" s="58"/>
      <c r="J2" s="58"/>
      <c r="K2" s="58"/>
      <c r="L2" s="58"/>
      <c r="M2" s="58"/>
      <c r="N2" s="453" t="s">
        <v>6</v>
      </c>
      <c r="O2" s="453"/>
      <c r="P2" s="453"/>
      <c r="Q2" s="453"/>
      <c r="R2" s="453"/>
      <c r="S2" s="453"/>
      <c r="T2" s="453"/>
      <c r="U2" s="186"/>
      <c r="V2" s="187"/>
      <c r="W2" s="187"/>
      <c r="X2" s="187"/>
      <c r="Y2" s="187"/>
      <c r="Z2" s="187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7" x14ac:dyDescent="0.25">
      <c r="A3" s="58"/>
      <c r="B3" s="58"/>
      <c r="C3" s="58"/>
      <c r="D3" s="58"/>
      <c r="E3" s="58"/>
      <c r="F3" s="107"/>
      <c r="G3" s="58"/>
      <c r="H3" s="58"/>
      <c r="I3" s="58"/>
      <c r="J3" s="58"/>
      <c r="K3" s="58"/>
      <c r="L3" s="58"/>
      <c r="M3" s="58"/>
      <c r="N3" s="454" t="s">
        <v>396</v>
      </c>
      <c r="O3" s="454"/>
      <c r="P3" s="454"/>
      <c r="Q3" s="454"/>
      <c r="R3" s="454"/>
      <c r="S3" s="454"/>
      <c r="T3" s="454"/>
      <c r="U3" s="186"/>
      <c r="V3" s="187"/>
      <c r="W3" s="187"/>
      <c r="X3" s="187"/>
      <c r="Y3" s="187"/>
      <c r="Z3" s="187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7" ht="33.75" x14ac:dyDescent="0.25">
      <c r="A4" s="58"/>
      <c r="B4" s="528" t="s">
        <v>0</v>
      </c>
      <c r="C4" s="528"/>
      <c r="D4" s="528"/>
      <c r="E4" s="528"/>
      <c r="F4" s="564"/>
      <c r="G4" s="564"/>
      <c r="H4" s="564"/>
      <c r="I4" s="564"/>
      <c r="J4" s="58"/>
      <c r="K4" s="58"/>
      <c r="L4" s="58"/>
      <c r="M4" s="58"/>
      <c r="N4" s="455" t="s">
        <v>397</v>
      </c>
      <c r="O4" s="455"/>
      <c r="P4" s="455"/>
      <c r="Q4" s="455"/>
      <c r="R4" s="455"/>
      <c r="S4" s="455"/>
      <c r="T4" s="455"/>
      <c r="U4" s="186"/>
      <c r="V4" s="187"/>
      <c r="W4" s="187"/>
      <c r="X4" s="187"/>
      <c r="Y4" s="187"/>
      <c r="Z4" s="187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 ht="15.75" thickBo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56" t="s">
        <v>18</v>
      </c>
      <c r="O5" s="456"/>
      <c r="P5" s="456"/>
      <c r="Q5" s="456"/>
      <c r="R5" s="456"/>
      <c r="S5" s="456"/>
      <c r="T5" s="456"/>
      <c r="U5" s="186"/>
      <c r="V5" s="187"/>
      <c r="W5" s="187"/>
      <c r="X5" s="187"/>
      <c r="Y5" s="187"/>
      <c r="Z5" s="187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7" x14ac:dyDescent="0.25">
      <c r="A6" s="58"/>
      <c r="B6" s="58"/>
      <c r="C6" s="58"/>
      <c r="D6" s="379" t="s">
        <v>367</v>
      </c>
      <c r="E6" s="380" t="s">
        <v>368</v>
      </c>
      <c r="F6" s="102"/>
      <c r="G6" s="102"/>
      <c r="H6" s="58"/>
      <c r="I6" s="58"/>
      <c r="J6" s="58"/>
      <c r="K6" s="58"/>
      <c r="L6" s="58"/>
      <c r="M6" s="58"/>
      <c r="N6" s="457" t="s">
        <v>43</v>
      </c>
      <c r="O6" s="457"/>
      <c r="P6" s="457"/>
      <c r="Q6" s="457"/>
      <c r="R6" s="457"/>
      <c r="S6" s="457"/>
      <c r="T6" s="457"/>
      <c r="U6" s="59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7" ht="29.25" thickBot="1" x14ac:dyDescent="0.3">
      <c r="A7" s="58"/>
      <c r="B7" s="58"/>
      <c r="C7" s="58"/>
      <c r="D7" s="381" t="str">
        <f>технолог!P27</f>
        <v>AISI 316L</v>
      </c>
      <c r="E7" s="382" t="str">
        <f>технолог!Q27</f>
        <v>AISI 316L</v>
      </c>
      <c r="F7" s="58"/>
      <c r="G7" s="58"/>
      <c r="H7" s="58"/>
      <c r="I7" s="529" t="s">
        <v>392</v>
      </c>
      <c r="J7" s="529"/>
      <c r="K7" s="529"/>
      <c r="L7" s="529"/>
      <c r="M7" s="529"/>
      <c r="N7" s="529"/>
      <c r="O7" s="102"/>
      <c r="P7" s="102"/>
      <c r="Q7" s="58"/>
      <c r="R7" s="58"/>
      <c r="S7" s="58"/>
      <c r="T7" s="58"/>
      <c r="U7" s="59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ht="44.25" customHeight="1" thickBot="1" x14ac:dyDescent="0.3">
      <c r="A8" s="533" t="s">
        <v>212</v>
      </c>
      <c r="B8" s="534"/>
      <c r="C8" s="534"/>
      <c r="D8" s="154">
        <v>700</v>
      </c>
      <c r="E8" s="155">
        <v>700</v>
      </c>
      <c r="F8" s="58"/>
      <c r="G8" s="58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8"/>
      <c r="S8" s="58"/>
      <c r="T8" s="58"/>
      <c r="U8" s="59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ht="32.25" customHeight="1" thickBot="1" x14ac:dyDescent="0.3">
      <c r="A9" s="535" t="s">
        <v>8</v>
      </c>
      <c r="B9" s="536"/>
      <c r="C9" s="536"/>
      <c r="D9" s="530" t="s">
        <v>9</v>
      </c>
      <c r="E9" s="531"/>
      <c r="F9" s="532"/>
      <c r="G9" s="532"/>
      <c r="H9" s="170" t="s">
        <v>17</v>
      </c>
      <c r="I9" s="171" t="s">
        <v>204</v>
      </c>
      <c r="J9" s="171" t="s">
        <v>14</v>
      </c>
      <c r="K9" s="172" t="s">
        <v>370</v>
      </c>
      <c r="L9" s="172" t="s">
        <v>205</v>
      </c>
      <c r="M9" s="173" t="s">
        <v>189</v>
      </c>
      <c r="N9" s="172" t="s">
        <v>206</v>
      </c>
      <c r="O9" s="172" t="s">
        <v>207</v>
      </c>
      <c r="P9" s="174" t="s">
        <v>208</v>
      </c>
      <c r="Q9" s="175" t="s">
        <v>209</v>
      </c>
      <c r="R9" s="58"/>
      <c r="S9" s="58"/>
      <c r="T9" s="58"/>
      <c r="U9" s="59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7" ht="46.5" customHeight="1" thickBot="1" x14ac:dyDescent="0.3">
      <c r="A10" s="556" t="s">
        <v>71</v>
      </c>
      <c r="B10" s="534"/>
      <c r="C10" s="534"/>
      <c r="D10" s="538"/>
      <c r="E10" s="539"/>
      <c r="F10" s="540"/>
      <c r="G10" s="540"/>
      <c r="H10" s="188" t="str">
        <f>технолог!E27</f>
        <v>Е-113</v>
      </c>
      <c r="I10" s="189" t="str">
        <f>технолог!G27</f>
        <v>К4-750</v>
      </c>
      <c r="J10" s="189" t="str">
        <f>технолог!H27</f>
        <v>1/6</v>
      </c>
      <c r="K10" s="190">
        <f>технолог!I27</f>
        <v>400</v>
      </c>
      <c r="L10" s="191" t="str">
        <f>технолог!S27</f>
        <v>гофра</v>
      </c>
      <c r="M10" s="176" t="str">
        <f>технолог!P27</f>
        <v>AISI 316L</v>
      </c>
      <c r="N10" s="177">
        <f>технолог!U27</f>
        <v>1</v>
      </c>
      <c r="O10" s="178">
        <f>технолог!T27</f>
        <v>5</v>
      </c>
      <c r="P10" s="179" t="str">
        <f>технолог!Q27</f>
        <v>AISI 316L</v>
      </c>
      <c r="Q10" s="180">
        <f>технолог!V27</f>
        <v>3</v>
      </c>
      <c r="R10" s="58"/>
      <c r="S10" s="58"/>
      <c r="T10" s="58"/>
      <c r="U10" s="59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ht="39" customHeight="1" thickBot="1" x14ac:dyDescent="0.3">
      <c r="A11" s="555" t="s">
        <v>70</v>
      </c>
      <c r="B11" s="534"/>
      <c r="C11" s="534"/>
      <c r="D11" s="515"/>
      <c r="E11" s="516"/>
      <c r="F11" s="554"/>
      <c r="G11" s="554"/>
      <c r="H11" s="114"/>
      <c r="I11" s="114"/>
      <c r="J11" s="114"/>
      <c r="K11" s="168"/>
      <c r="L11" s="169"/>
      <c r="M11" s="111"/>
      <c r="N11" s="542"/>
      <c r="O11" s="542"/>
      <c r="P11" s="109"/>
      <c r="Q11" s="58"/>
      <c r="R11" s="58"/>
      <c r="S11" s="58"/>
      <c r="T11" s="58"/>
      <c r="U11" s="59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7" ht="30" customHeight="1" thickBot="1" x14ac:dyDescent="0.3">
      <c r="A12" s="555" t="s">
        <v>11</v>
      </c>
      <c r="B12" s="534"/>
      <c r="C12" s="534"/>
      <c r="D12" s="562"/>
      <c r="E12" s="563"/>
      <c r="F12" s="114"/>
      <c r="G12" s="114"/>
      <c r="H12" s="110"/>
      <c r="I12" s="110"/>
      <c r="J12" s="110"/>
      <c r="K12" s="110"/>
      <c r="L12" s="112"/>
      <c r="M12" s="111"/>
      <c r="N12" s="113"/>
      <c r="O12" s="113"/>
      <c r="P12" s="109"/>
      <c r="Q12" s="58"/>
      <c r="R12" s="58"/>
      <c r="S12" s="58"/>
      <c r="T12" s="58"/>
      <c r="U12" s="59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7" ht="26.25" customHeight="1" thickTop="1" thickBot="1" x14ac:dyDescent="0.3">
      <c r="A13" s="559" t="s">
        <v>41</v>
      </c>
      <c r="B13" s="560"/>
      <c r="C13" s="561"/>
      <c r="D13" s="135"/>
      <c r="E13" s="557"/>
      <c r="F13" s="558"/>
      <c r="G13" s="558"/>
      <c r="H13" s="58"/>
      <c r="I13" s="58"/>
      <c r="J13" s="183" t="s">
        <v>213</v>
      </c>
      <c r="K13" s="192">
        <v>1</v>
      </c>
      <c r="L13" s="167"/>
      <c r="M13" s="108"/>
      <c r="N13" s="108"/>
      <c r="O13" s="212" t="s">
        <v>222</v>
      </c>
      <c r="P13" s="213">
        <v>120000</v>
      </c>
      <c r="Q13" s="58"/>
      <c r="R13" s="58"/>
      <c r="S13" s="58"/>
      <c r="T13" s="58"/>
      <c r="U13" s="59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7" ht="15" customHeight="1" thickBot="1" x14ac:dyDescent="0.3">
      <c r="A14" s="537" t="s">
        <v>39</v>
      </c>
      <c r="B14" s="537"/>
      <c r="C14" s="537"/>
      <c r="D14" s="136"/>
      <c r="E14" s="58"/>
      <c r="F14" s="58"/>
      <c r="G14" s="58"/>
      <c r="H14" s="58"/>
      <c r="I14" s="58"/>
      <c r="J14" s="184" t="s">
        <v>16</v>
      </c>
      <c r="K14" s="185">
        <f>K13*D12</f>
        <v>0</v>
      </c>
      <c r="L14" s="58"/>
      <c r="M14" s="58"/>
      <c r="N14" s="58"/>
      <c r="O14" s="210"/>
      <c r="P14" s="211"/>
      <c r="Q14" s="58"/>
      <c r="R14" s="58"/>
      <c r="S14" s="58"/>
      <c r="T14" s="58"/>
      <c r="U14" s="59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ht="16.5" thickTop="1" thickBot="1" x14ac:dyDescent="0.3">
      <c r="A15" s="544" t="s">
        <v>51</v>
      </c>
      <c r="B15" s="544"/>
      <c r="C15" s="544"/>
      <c r="D15" s="13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ht="15.75" thickBot="1" x14ac:dyDescent="0.3">
      <c r="A16" s="545" t="s">
        <v>52</v>
      </c>
      <c r="B16" s="545"/>
      <c r="C16" s="545"/>
      <c r="D16" s="13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35"/>
      <c r="W16" s="482" t="s">
        <v>241</v>
      </c>
      <c r="X16" s="483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ht="15.75" thickBot="1" x14ac:dyDescent="0.3">
      <c r="A17" s="545" t="s">
        <v>53</v>
      </c>
      <c r="B17" s="545"/>
      <c r="C17" s="545"/>
      <c r="D17" s="13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ht="15" customHeight="1" thickTop="1" thickBot="1" x14ac:dyDescent="0.3">
      <c r="A18" s="58"/>
      <c r="B18" s="509" t="s">
        <v>59</v>
      </c>
      <c r="C18" s="511"/>
      <c r="D18" s="511"/>
      <c r="E18" s="511"/>
      <c r="F18" s="511"/>
      <c r="G18" s="510"/>
      <c r="H18" s="509" t="s">
        <v>58</v>
      </c>
      <c r="I18" s="511"/>
      <c r="J18" s="511"/>
      <c r="K18" s="511"/>
      <c r="L18" s="511"/>
      <c r="M18" s="510"/>
      <c r="N18" s="58"/>
      <c r="O18" s="512" t="s">
        <v>116</v>
      </c>
      <c r="P18" s="513"/>
      <c r="Q18" s="514"/>
      <c r="R18" s="58"/>
      <c r="S18" s="58"/>
      <c r="T18" s="58"/>
      <c r="U18" s="59"/>
      <c r="V18" s="230">
        <f>'результат '!F26</f>
        <v>0</v>
      </c>
      <c r="W18" s="525" t="s">
        <v>231</v>
      </c>
      <c r="X18" s="525"/>
      <c r="Y18" s="526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1:37" ht="15.75" thickTop="1" x14ac:dyDescent="0.25">
      <c r="A19" s="58"/>
      <c r="B19" s="484" t="s">
        <v>54</v>
      </c>
      <c r="C19" s="486" t="s">
        <v>73</v>
      </c>
      <c r="D19" s="486"/>
      <c r="E19" s="383"/>
      <c r="F19" s="46" t="s">
        <v>56</v>
      </c>
      <c r="G19" s="47">
        <v>7850</v>
      </c>
      <c r="H19" s="484" t="s">
        <v>54</v>
      </c>
      <c r="I19" s="486" t="s">
        <v>73</v>
      </c>
      <c r="J19" s="486"/>
      <c r="K19" s="383"/>
      <c r="L19" s="46" t="s">
        <v>56</v>
      </c>
      <c r="M19" s="47">
        <v>7850</v>
      </c>
      <c r="N19" s="58"/>
      <c r="O19" s="54" t="s">
        <v>142</v>
      </c>
      <c r="P19" s="384">
        <v>88</v>
      </c>
      <c r="Q19" s="42"/>
      <c r="R19" s="58"/>
      <c r="S19" s="58"/>
      <c r="T19" s="58"/>
      <c r="U19" s="59"/>
      <c r="V19" s="231">
        <f>'результат '!G26</f>
        <v>0</v>
      </c>
      <c r="W19" s="490" t="s">
        <v>232</v>
      </c>
      <c r="X19" s="490"/>
      <c r="Y19" s="491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37" x14ac:dyDescent="0.25">
      <c r="A20" s="58"/>
      <c r="B20" s="485"/>
      <c r="C20" s="487" t="s">
        <v>57</v>
      </c>
      <c r="D20" s="487"/>
      <c r="E20" s="39"/>
      <c r="F20" s="34" t="s">
        <v>74</v>
      </c>
      <c r="G20" s="81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0</v>
      </c>
      <c r="H20" s="485"/>
      <c r="I20" s="487" t="s">
        <v>57</v>
      </c>
      <c r="J20" s="487"/>
      <c r="K20" s="39"/>
      <c r="L20" s="34" t="s">
        <v>74</v>
      </c>
      <c r="M20" s="81">
        <f>M21*K19*K19*M19</f>
        <v>0</v>
      </c>
      <c r="N20" s="58"/>
      <c r="O20" s="54" t="s">
        <v>122</v>
      </c>
      <c r="P20" s="119" t="s">
        <v>123</v>
      </c>
      <c r="Q20" s="42"/>
      <c r="R20" s="58"/>
      <c r="S20" s="58"/>
      <c r="T20" s="58"/>
      <c r="U20" s="59"/>
      <c r="V20" s="231">
        <f>'результат '!H26</f>
        <v>0</v>
      </c>
      <c r="W20" s="490" t="s">
        <v>233</v>
      </c>
      <c r="X20" s="490"/>
      <c r="Y20" s="491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ht="15.75" thickBot="1" x14ac:dyDescent="0.3">
      <c r="A21" s="58"/>
      <c r="B21" s="488" t="s">
        <v>55</v>
      </c>
      <c r="C21" s="489"/>
      <c r="D21" s="489"/>
      <c r="E21" s="39"/>
      <c r="F21" s="34"/>
      <c r="G21" s="128"/>
      <c r="H21" s="488" t="s">
        <v>62</v>
      </c>
      <c r="I21" s="489"/>
      <c r="J21" s="489"/>
      <c r="K21" s="39"/>
      <c r="L21" s="34" t="s">
        <v>75</v>
      </c>
      <c r="M21" s="74">
        <f>(технолог!T27+технолог!U27)*0.001*технолог!I27+2*E19+2*технолог!V27*0.001</f>
        <v>2.4059999999999997</v>
      </c>
      <c r="N21" s="58"/>
      <c r="O21" s="54" t="s">
        <v>118</v>
      </c>
      <c r="P21" s="119" t="s">
        <v>136</v>
      </c>
      <c r="Q21" s="42" t="s">
        <v>143</v>
      </c>
      <c r="R21" s="58"/>
      <c r="S21" s="58"/>
      <c r="T21" s="58"/>
      <c r="U21" s="59"/>
      <c r="V21" s="231">
        <f>'результат '!I26</f>
        <v>0</v>
      </c>
      <c r="W21" s="490" t="s">
        <v>234</v>
      </c>
      <c r="X21" s="490"/>
      <c r="Y21" s="491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ht="16.5" thickTop="1" thickBot="1" x14ac:dyDescent="0.3">
      <c r="A22" s="58"/>
      <c r="B22" s="106"/>
      <c r="C22" s="106"/>
      <c r="D22" s="106"/>
      <c r="E22" s="125"/>
      <c r="F22" s="129" t="s">
        <v>167</v>
      </c>
      <c r="G22" s="127">
        <f>IF(технолог!G27=снабжение!AM46,G20*D10+E20+E21,G20*D10*D16+E20+E21)</f>
        <v>0</v>
      </c>
      <c r="H22" s="106"/>
      <c r="I22" s="106"/>
      <c r="J22" s="106"/>
      <c r="K22" s="125"/>
      <c r="L22" s="126" t="s">
        <v>168</v>
      </c>
      <c r="M22" s="127">
        <f>IF(технолог!G27=снабжение!AM46,M20*D10*(D15+0.03)+K20+K21,M20*D10*D15+K20+K21)</f>
        <v>0</v>
      </c>
      <c r="N22" s="58"/>
      <c r="O22" s="54" t="s">
        <v>121</v>
      </c>
      <c r="P22" s="119" t="s">
        <v>127</v>
      </c>
      <c r="Q22" s="55"/>
      <c r="R22" s="58"/>
      <c r="S22" s="58"/>
      <c r="T22" s="58"/>
      <c r="U22" s="59"/>
      <c r="V22" s="231">
        <f>'результат '!J26</f>
        <v>0</v>
      </c>
      <c r="W22" s="490" t="s">
        <v>235</v>
      </c>
      <c r="X22" s="490"/>
      <c r="Y22" s="491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ht="16.5" thickTop="1" thickBot="1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4" t="s">
        <v>119</v>
      </c>
      <c r="P23" s="11" t="str">
        <f>P22</f>
        <v>М33</v>
      </c>
      <c r="Q23" s="55"/>
      <c r="R23" s="58"/>
      <c r="S23" s="58"/>
      <c r="T23" s="58"/>
      <c r="U23" s="59"/>
      <c r="V23" s="231">
        <f>'результат '!K26</f>
        <v>0</v>
      </c>
      <c r="W23" s="490" t="s">
        <v>175</v>
      </c>
      <c r="X23" s="490"/>
      <c r="Y23" s="491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1:37" ht="16.5" thickTop="1" thickBot="1" x14ac:dyDescent="0.3">
      <c r="A24" s="58"/>
      <c r="B24" s="509" t="s">
        <v>60</v>
      </c>
      <c r="C24" s="511"/>
      <c r="D24" s="511"/>
      <c r="E24" s="511"/>
      <c r="F24" s="511"/>
      <c r="G24" s="510"/>
      <c r="H24" s="509" t="s">
        <v>61</v>
      </c>
      <c r="I24" s="511"/>
      <c r="J24" s="511"/>
      <c r="K24" s="511"/>
      <c r="L24" s="511"/>
      <c r="M24" s="510"/>
      <c r="N24" s="58"/>
      <c r="O24" s="56" t="s">
        <v>120</v>
      </c>
      <c r="P24" s="11" t="str">
        <f>P22</f>
        <v>М33</v>
      </c>
      <c r="Q24" s="55"/>
      <c r="R24" s="58"/>
      <c r="S24" s="58"/>
      <c r="T24" s="58"/>
      <c r="U24" s="59"/>
      <c r="V24" s="231">
        <f>'результат '!L26</f>
        <v>0</v>
      </c>
      <c r="W24" s="490" t="s">
        <v>28</v>
      </c>
      <c r="X24" s="490"/>
      <c r="Y24" s="491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1:37" ht="16.5" thickTop="1" thickBot="1" x14ac:dyDescent="0.3">
      <c r="A25" s="58"/>
      <c r="B25" s="517" t="s">
        <v>161</v>
      </c>
      <c r="C25" s="492" t="s">
        <v>73</v>
      </c>
      <c r="D25" s="492"/>
      <c r="E25" s="385"/>
      <c r="F25" s="72" t="s">
        <v>56</v>
      </c>
      <c r="G25" s="73">
        <v>7850</v>
      </c>
      <c r="H25" s="517" t="s">
        <v>162</v>
      </c>
      <c r="I25" s="492" t="s">
        <v>73</v>
      </c>
      <c r="J25" s="492"/>
      <c r="K25" s="385"/>
      <c r="L25" s="72" t="s">
        <v>56</v>
      </c>
      <c r="M25" s="73">
        <v>7850</v>
      </c>
      <c r="N25" s="58"/>
      <c r="O25" s="58"/>
      <c r="P25" s="104" t="s">
        <v>16</v>
      </c>
      <c r="Q25" s="103">
        <f>(Q22+Q23+Q24)*P19</f>
        <v>0</v>
      </c>
      <c r="R25" s="58"/>
      <c r="S25" s="58"/>
      <c r="T25" s="58"/>
      <c r="U25" s="59"/>
      <c r="V25" s="231">
        <f>'результат '!M26</f>
        <v>0</v>
      </c>
      <c r="W25" s="490" t="s">
        <v>236</v>
      </c>
      <c r="X25" s="490"/>
      <c r="Y25" s="491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ht="16.5" thickTop="1" thickBot="1" x14ac:dyDescent="0.3">
      <c r="A26" s="58"/>
      <c r="B26" s="518"/>
      <c r="C26" s="487" t="s">
        <v>57</v>
      </c>
      <c r="D26" s="487"/>
      <c r="E26" s="39"/>
      <c r="F26" s="34" t="s">
        <v>74</v>
      </c>
      <c r="G26" s="81">
        <f>E25*G27*M21*G25</f>
        <v>0</v>
      </c>
      <c r="H26" s="518"/>
      <c r="I26" s="487" t="s">
        <v>57</v>
      </c>
      <c r="J26" s="487"/>
      <c r="K26" s="39"/>
      <c r="L26" s="34" t="s">
        <v>74</v>
      </c>
      <c r="M26" s="81">
        <f>K25*M27*M21*M25</f>
        <v>0</v>
      </c>
      <c r="N26" s="58"/>
      <c r="O26" s="58"/>
      <c r="P26" s="58"/>
      <c r="Q26" s="58"/>
      <c r="R26" s="58"/>
      <c r="S26" s="58"/>
      <c r="T26" s="58"/>
      <c r="U26" s="59"/>
      <c r="V26" s="231">
        <f>'результат '!N26</f>
        <v>1274416.6399999999</v>
      </c>
      <c r="W26" s="490" t="s">
        <v>237</v>
      </c>
      <c r="X26" s="490"/>
      <c r="Y26" s="491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16.5" thickTop="1" thickBot="1" x14ac:dyDescent="0.3">
      <c r="A27" s="58"/>
      <c r="B27" s="499" t="s">
        <v>163</v>
      </c>
      <c r="C27" s="500"/>
      <c r="D27" s="500"/>
      <c r="E27" s="77"/>
      <c r="F27" s="37" t="s">
        <v>76</v>
      </c>
      <c r="G27" s="78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499" t="s">
        <v>163</v>
      </c>
      <c r="I27" s="500"/>
      <c r="J27" s="500"/>
      <c r="K27" s="77"/>
      <c r="L27" s="37" t="s">
        <v>76</v>
      </c>
      <c r="M27" s="78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512" t="s">
        <v>115</v>
      </c>
      <c r="P27" s="513"/>
      <c r="Q27" s="513"/>
      <c r="R27" s="513"/>
      <c r="S27" s="513"/>
      <c r="T27" s="514"/>
      <c r="U27" s="59"/>
      <c r="V27" s="231">
        <f>'результат '!O26</f>
        <v>0</v>
      </c>
      <c r="W27" s="490" t="s">
        <v>238</v>
      </c>
      <c r="X27" s="490"/>
      <c r="Y27" s="491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15.75" thickTop="1" x14ac:dyDescent="0.25">
      <c r="A28" s="58"/>
      <c r="B28" s="52" t="s">
        <v>106</v>
      </c>
      <c r="C28" s="120" t="s">
        <v>99</v>
      </c>
      <c r="D28" s="120" t="s">
        <v>94</v>
      </c>
      <c r="E28" s="79" t="s">
        <v>108</v>
      </c>
      <c r="F28" s="80"/>
      <c r="G28" s="53"/>
      <c r="H28" s="52" t="s">
        <v>109</v>
      </c>
      <c r="I28" s="120" t="s">
        <v>101</v>
      </c>
      <c r="J28" s="120" t="s">
        <v>92</v>
      </c>
      <c r="K28" s="79" t="s">
        <v>108</v>
      </c>
      <c r="L28" s="80"/>
      <c r="M28" s="53"/>
      <c r="N28" s="58"/>
      <c r="O28" s="68" t="s">
        <v>106</v>
      </c>
      <c r="P28" s="48" t="str">
        <f>D28</f>
        <v>Ду600</v>
      </c>
      <c r="Q28" s="48" t="str">
        <f>C28</f>
        <v>Ру10</v>
      </c>
      <c r="R28" s="48"/>
      <c r="S28" s="48" t="s">
        <v>151</v>
      </c>
      <c r="T28" s="69">
        <f>F28</f>
        <v>0</v>
      </c>
      <c r="U28" s="59"/>
      <c r="V28" s="231">
        <f>'результат '!P26</f>
        <v>81920</v>
      </c>
      <c r="W28" s="490" t="s">
        <v>239</v>
      </c>
      <c r="X28" s="490"/>
      <c r="Y28" s="491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x14ac:dyDescent="0.25">
      <c r="A29" s="58"/>
      <c r="B29" s="41" t="s">
        <v>107</v>
      </c>
      <c r="C29" s="121" t="s">
        <v>102</v>
      </c>
      <c r="D29" s="121" t="s">
        <v>94</v>
      </c>
      <c r="E29" s="40" t="s">
        <v>108</v>
      </c>
      <c r="F29" s="39"/>
      <c r="G29" s="42"/>
      <c r="H29" s="41" t="s">
        <v>110</v>
      </c>
      <c r="I29" s="121" t="s">
        <v>103</v>
      </c>
      <c r="J29" s="121" t="s">
        <v>89</v>
      </c>
      <c r="K29" s="40" t="s">
        <v>108</v>
      </c>
      <c r="L29" s="39"/>
      <c r="M29" s="42"/>
      <c r="N29" s="58"/>
      <c r="O29" s="62" t="s">
        <v>144</v>
      </c>
      <c r="P29" s="119" t="s">
        <v>145</v>
      </c>
      <c r="Q29" s="119" t="s">
        <v>141</v>
      </c>
      <c r="R29" s="119" t="s">
        <v>136</v>
      </c>
      <c r="S29" s="57" t="s">
        <v>152</v>
      </c>
      <c r="T29" s="55"/>
      <c r="U29" s="59"/>
      <c r="V29" s="231">
        <f>'результат '!Q26</f>
        <v>0</v>
      </c>
      <c r="W29" s="490" t="s">
        <v>115</v>
      </c>
      <c r="X29" s="490"/>
      <c r="Y29" s="491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1:37" x14ac:dyDescent="0.25">
      <c r="A30" s="58"/>
      <c r="B30" s="41"/>
      <c r="C30" s="11"/>
      <c r="D30" s="11"/>
      <c r="E30" s="40" t="s">
        <v>111</v>
      </c>
      <c r="F30" s="39"/>
      <c r="G30" s="42"/>
      <c r="H30" s="41"/>
      <c r="I30" s="11"/>
      <c r="J30" s="11"/>
      <c r="K30" s="40" t="s">
        <v>113</v>
      </c>
      <c r="L30" s="39"/>
      <c r="M30" s="42"/>
      <c r="N30" s="58"/>
      <c r="O30" s="64"/>
      <c r="P30" s="49"/>
      <c r="Q30" s="49"/>
      <c r="R30" s="57" t="s">
        <v>150</v>
      </c>
      <c r="S30" s="60" t="s">
        <v>154</v>
      </c>
      <c r="T30" s="55"/>
      <c r="U30" s="59"/>
      <c r="V30" s="231">
        <f>'результат '!R26</f>
        <v>2000</v>
      </c>
      <c r="W30" s="490" t="s">
        <v>223</v>
      </c>
      <c r="X30" s="490"/>
      <c r="Y30" s="491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7" x14ac:dyDescent="0.25">
      <c r="A31" s="58"/>
      <c r="B31" s="41"/>
      <c r="C31" s="11"/>
      <c r="D31" s="11"/>
      <c r="E31" s="40" t="s">
        <v>112</v>
      </c>
      <c r="F31" s="39"/>
      <c r="G31" s="42"/>
      <c r="H31" s="41"/>
      <c r="I31" s="11"/>
      <c r="J31" s="11"/>
      <c r="K31" s="40" t="s">
        <v>114</v>
      </c>
      <c r="L31" s="39"/>
      <c r="M31" s="42"/>
      <c r="N31" s="58"/>
      <c r="O31" s="70"/>
      <c r="P31" s="50"/>
      <c r="Q31" s="50"/>
      <c r="R31" s="50"/>
      <c r="S31" s="61" t="s">
        <v>153</v>
      </c>
      <c r="T31" s="55"/>
      <c r="U31" s="59"/>
      <c r="V31" s="231">
        <f>'результат '!S26</f>
        <v>2700</v>
      </c>
      <c r="W31" s="490" t="s">
        <v>224</v>
      </c>
      <c r="X31" s="490"/>
      <c r="Y31" s="491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1:37" x14ac:dyDescent="0.25">
      <c r="A32" s="58"/>
      <c r="B32" s="41"/>
      <c r="C32" s="11"/>
      <c r="D32" s="11"/>
      <c r="E32" s="40" t="s">
        <v>165</v>
      </c>
      <c r="F32" s="39"/>
      <c r="G32" s="42"/>
      <c r="H32" s="41"/>
      <c r="I32" s="11"/>
      <c r="J32" s="11"/>
      <c r="K32" s="40" t="s">
        <v>165</v>
      </c>
      <c r="L32" s="39"/>
      <c r="M32" s="42"/>
      <c r="N32" s="58"/>
      <c r="O32" s="68" t="s">
        <v>107</v>
      </c>
      <c r="P32" s="48" t="str">
        <f>D29</f>
        <v>Ду600</v>
      </c>
      <c r="Q32" s="48" t="str">
        <f>C29</f>
        <v>Ру40</v>
      </c>
      <c r="R32" s="48"/>
      <c r="S32" s="48" t="s">
        <v>151</v>
      </c>
      <c r="T32" s="69">
        <f>F29</f>
        <v>0</v>
      </c>
      <c r="U32" s="59"/>
      <c r="V32" s="231">
        <f>'результат '!T26</f>
        <v>50000</v>
      </c>
      <c r="W32" s="490" t="s">
        <v>227</v>
      </c>
      <c r="X32" s="490"/>
      <c r="Y32" s="491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1:54" x14ac:dyDescent="0.25">
      <c r="A33" s="58"/>
      <c r="B33" s="41"/>
      <c r="C33" s="11"/>
      <c r="D33" s="11"/>
      <c r="E33" s="40" t="s">
        <v>166</v>
      </c>
      <c r="F33" s="39"/>
      <c r="G33" s="42"/>
      <c r="H33" s="41"/>
      <c r="I33" s="11"/>
      <c r="J33" s="11"/>
      <c r="K33" s="40" t="s">
        <v>166</v>
      </c>
      <c r="L33" s="39"/>
      <c r="M33" s="42"/>
      <c r="N33" s="58"/>
      <c r="O33" s="62" t="s">
        <v>144</v>
      </c>
      <c r="P33" s="119" t="s">
        <v>145</v>
      </c>
      <c r="Q33" s="119" t="s">
        <v>141</v>
      </c>
      <c r="R33" s="119" t="s">
        <v>136</v>
      </c>
      <c r="S33" s="57" t="s">
        <v>152</v>
      </c>
      <c r="T33" s="55"/>
      <c r="U33" s="59"/>
      <c r="V33" s="231">
        <f>'результат '!U26</f>
        <v>0</v>
      </c>
      <c r="W33" s="490" t="s">
        <v>240</v>
      </c>
      <c r="X33" s="490"/>
      <c r="Y33" s="491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spans="1:54" ht="15.75" thickBot="1" x14ac:dyDescent="0.3">
      <c r="A34" s="58"/>
      <c r="B34" s="43"/>
      <c r="C34" s="38" t="s">
        <v>156</v>
      </c>
      <c r="D34" s="130">
        <f>G26*D17*D11</f>
        <v>0</v>
      </c>
      <c r="E34" s="131" t="s">
        <v>157</v>
      </c>
      <c r="F34" s="130">
        <f>F28+F29+F30+F31+F32+F33</f>
        <v>0</v>
      </c>
      <c r="G34" s="132"/>
      <c r="H34" s="43"/>
      <c r="I34" s="38" t="s">
        <v>156</v>
      </c>
      <c r="J34" s="130">
        <f>M26*D17*D11</f>
        <v>0</v>
      </c>
      <c r="K34" s="131" t="s">
        <v>157</v>
      </c>
      <c r="L34" s="130">
        <f>L28+L29+L30+L31+L32+L33</f>
        <v>0</v>
      </c>
      <c r="M34" s="42"/>
      <c r="N34" s="58"/>
      <c r="O34" s="64"/>
      <c r="P34" s="49"/>
      <c r="Q34" s="49"/>
      <c r="R34" s="57" t="s">
        <v>150</v>
      </c>
      <c r="S34" s="60" t="s">
        <v>154</v>
      </c>
      <c r="T34" s="55"/>
      <c r="U34" s="59"/>
      <c r="V34" s="231">
        <f>'результат '!V26</f>
        <v>20000</v>
      </c>
      <c r="W34" s="490" t="s">
        <v>226</v>
      </c>
      <c r="X34" s="490"/>
      <c r="Y34" s="491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1:54" ht="16.5" thickTop="1" thickBot="1" x14ac:dyDescent="0.3">
      <c r="A35" s="58"/>
      <c r="B35" s="158"/>
      <c r="C35" s="158"/>
      <c r="D35" s="43"/>
      <c r="E35" s="44"/>
      <c r="F35" s="133" t="s">
        <v>160</v>
      </c>
      <c r="G35" s="103">
        <f>D34*2+F34</f>
        <v>0</v>
      </c>
      <c r="H35" s="58"/>
      <c r="I35" s="58"/>
      <c r="J35" s="43"/>
      <c r="K35" s="44"/>
      <c r="L35" s="45" t="s">
        <v>160</v>
      </c>
      <c r="M35" s="103">
        <f>J34*2+L34</f>
        <v>0</v>
      </c>
      <c r="N35" s="58"/>
      <c r="O35" s="70"/>
      <c r="P35" s="50"/>
      <c r="Q35" s="50"/>
      <c r="R35" s="50"/>
      <c r="S35" s="61" t="s">
        <v>153</v>
      </c>
      <c r="T35" s="55"/>
      <c r="U35" s="59"/>
      <c r="V35" s="231">
        <f>'результат '!W26</f>
        <v>58100</v>
      </c>
      <c r="W35" s="490" t="s">
        <v>174</v>
      </c>
      <c r="X35" s="490"/>
      <c r="Y35" s="491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Q35" s="163" t="s">
        <v>77</v>
      </c>
      <c r="AR35" s="147"/>
      <c r="AS35" s="164" t="s">
        <v>134</v>
      </c>
      <c r="AT35" s="146"/>
      <c r="AU35" s="146"/>
      <c r="AV35" s="146"/>
      <c r="AW35" s="163" t="s">
        <v>138</v>
      </c>
      <c r="AX35" s="146"/>
      <c r="AY35" s="147"/>
      <c r="AZ35" s="163" t="s">
        <v>200</v>
      </c>
      <c r="BA35" s="147"/>
      <c r="BB35" s="49"/>
    </row>
    <row r="36" spans="1:54" ht="16.5" thickTop="1" thickBot="1" x14ac:dyDescent="0.3">
      <c r="A36" s="58"/>
      <c r="B36" s="58"/>
      <c r="C36" s="102"/>
      <c r="D36" s="102"/>
      <c r="E36" s="102"/>
      <c r="F36" s="102"/>
      <c r="G36" s="58"/>
      <c r="H36" s="58"/>
      <c r="I36" s="58"/>
      <c r="J36" s="58"/>
      <c r="K36" s="58"/>
      <c r="L36" s="58"/>
      <c r="M36" s="58"/>
      <c r="N36" s="58"/>
      <c r="O36" s="68" t="s">
        <v>109</v>
      </c>
      <c r="P36" s="48" t="str">
        <f>J28</f>
        <v>Ду450</v>
      </c>
      <c r="Q36" s="48" t="str">
        <f>I28</f>
        <v>Ру25</v>
      </c>
      <c r="R36" s="48"/>
      <c r="S36" s="48" t="s">
        <v>151</v>
      </c>
      <c r="T36" s="69">
        <f>L28</f>
        <v>0</v>
      </c>
      <c r="U36" s="59"/>
      <c r="V36" s="232">
        <f>'результат '!X26</f>
        <v>120000</v>
      </c>
      <c r="W36" s="519" t="s">
        <v>36</v>
      </c>
      <c r="X36" s="519"/>
      <c r="Y36" s="520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Q36" s="142" t="s">
        <v>117</v>
      </c>
      <c r="AR36" s="143" t="s">
        <v>97</v>
      </c>
      <c r="AS36" s="49" t="s">
        <v>122</v>
      </c>
      <c r="AT36" s="49" t="s">
        <v>118</v>
      </c>
      <c r="AU36" s="49"/>
      <c r="AV36" s="49" t="s">
        <v>117</v>
      </c>
      <c r="AW36" s="151" t="s">
        <v>117</v>
      </c>
      <c r="AX36" s="51" t="s">
        <v>122</v>
      </c>
      <c r="AY36" s="152" t="s">
        <v>118</v>
      </c>
      <c r="AZ36" s="151" t="s">
        <v>10</v>
      </c>
      <c r="BA36" s="143"/>
      <c r="BB36" s="49"/>
    </row>
    <row r="37" spans="1:54" ht="16.5" thickTop="1" thickBot="1" x14ac:dyDescent="0.3">
      <c r="A37" s="58"/>
      <c r="B37" s="504" t="s">
        <v>164</v>
      </c>
      <c r="C37" s="505"/>
      <c r="D37" s="505"/>
      <c r="E37" s="505"/>
      <c r="F37" s="506"/>
      <c r="G37" s="58"/>
      <c r="H37" s="507" t="s">
        <v>171</v>
      </c>
      <c r="I37" s="508"/>
      <c r="J37" s="509" t="s">
        <v>172</v>
      </c>
      <c r="K37" s="510"/>
      <c r="L37" s="509" t="s">
        <v>173</v>
      </c>
      <c r="M37" s="510"/>
      <c r="N37" s="58"/>
      <c r="O37" s="62" t="s">
        <v>144</v>
      </c>
      <c r="P37" s="119" t="s">
        <v>145</v>
      </c>
      <c r="Q37" s="119" t="s">
        <v>141</v>
      </c>
      <c r="R37" s="119" t="s">
        <v>136</v>
      </c>
      <c r="S37" s="57" t="s">
        <v>152</v>
      </c>
      <c r="T37" s="55"/>
      <c r="U37" s="59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Q37" s="142" t="s">
        <v>78</v>
      </c>
      <c r="AR37" s="143" t="s">
        <v>98</v>
      </c>
      <c r="AS37" s="49" t="s">
        <v>123</v>
      </c>
      <c r="AT37" s="49" t="s">
        <v>136</v>
      </c>
      <c r="AU37" s="49"/>
      <c r="AV37" s="49" t="s">
        <v>132</v>
      </c>
      <c r="AW37" s="142" t="s">
        <v>139</v>
      </c>
      <c r="AX37" s="51" t="s">
        <v>140</v>
      </c>
      <c r="AY37" s="143" t="s">
        <v>136</v>
      </c>
      <c r="AZ37" s="151" t="s">
        <v>201</v>
      </c>
      <c r="BA37" s="143"/>
      <c r="BB37" s="49"/>
    </row>
    <row r="38" spans="1:54" ht="15" customHeight="1" thickTop="1" x14ac:dyDescent="0.25">
      <c r="A38" s="58"/>
      <c r="B38" s="41"/>
      <c r="C38" s="40" t="s">
        <v>155</v>
      </c>
      <c r="D38" s="75"/>
      <c r="E38" s="71" t="s">
        <v>159</v>
      </c>
      <c r="F38" s="76">
        <f>D38*4</f>
        <v>0</v>
      </c>
      <c r="G38" s="58"/>
      <c r="H38" s="52" t="s">
        <v>169</v>
      </c>
      <c r="I38" s="214">
        <v>1000</v>
      </c>
      <c r="J38" s="217" t="s">
        <v>169</v>
      </c>
      <c r="K38" s="218">
        <v>1500</v>
      </c>
      <c r="L38" s="217" t="s">
        <v>169</v>
      </c>
      <c r="M38" s="218">
        <v>0</v>
      </c>
      <c r="N38" s="58"/>
      <c r="O38" s="64"/>
      <c r="P38" s="49"/>
      <c r="Q38" s="49"/>
      <c r="R38" s="57" t="s">
        <v>150</v>
      </c>
      <c r="S38" s="60" t="s">
        <v>154</v>
      </c>
      <c r="T38" s="55"/>
      <c r="U38" s="59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443" t="s">
        <v>388</v>
      </c>
      <c r="AM38" s="141"/>
      <c r="AN38" s="165" t="s">
        <v>72</v>
      </c>
      <c r="AO38" s="521" t="s">
        <v>216</v>
      </c>
      <c r="AP38" s="523" t="s">
        <v>217</v>
      </c>
      <c r="AQ38" s="142" t="s">
        <v>80</v>
      </c>
      <c r="AR38" s="143" t="s">
        <v>99</v>
      </c>
      <c r="AS38" s="49" t="s">
        <v>126</v>
      </c>
      <c r="AT38" s="49" t="s">
        <v>135</v>
      </c>
      <c r="AU38" s="49"/>
      <c r="AV38" s="49" t="s">
        <v>133</v>
      </c>
      <c r="AW38" s="151" t="s">
        <v>145</v>
      </c>
      <c r="AX38" s="51" t="s">
        <v>141</v>
      </c>
      <c r="AY38" s="143" t="s">
        <v>135</v>
      </c>
      <c r="AZ38" s="151" t="s">
        <v>202</v>
      </c>
      <c r="BA38" s="143"/>
      <c r="BB38" s="49"/>
    </row>
    <row r="39" spans="1:54" ht="15.75" thickBot="1" x14ac:dyDescent="0.3">
      <c r="A39" s="58"/>
      <c r="B39" s="501" t="s">
        <v>158</v>
      </c>
      <c r="C39" s="502"/>
      <c r="D39" s="502"/>
      <c r="E39" s="503"/>
      <c r="F39" s="134">
        <v>2</v>
      </c>
      <c r="G39" s="58"/>
      <c r="H39" s="41" t="s">
        <v>170</v>
      </c>
      <c r="I39" s="82">
        <v>1000</v>
      </c>
      <c r="J39" s="41" t="s">
        <v>170</v>
      </c>
      <c r="K39" s="82">
        <v>1200</v>
      </c>
      <c r="L39" s="216" t="s">
        <v>170</v>
      </c>
      <c r="M39" s="82">
        <v>0</v>
      </c>
      <c r="N39" s="58"/>
      <c r="O39" s="70"/>
      <c r="P39" s="50"/>
      <c r="Q39" s="50"/>
      <c r="R39" s="50"/>
      <c r="S39" s="61" t="s">
        <v>153</v>
      </c>
      <c r="T39" s="55"/>
      <c r="U39" s="59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444" t="s">
        <v>389</v>
      </c>
      <c r="AM39" s="142"/>
      <c r="AN39" s="49" t="s">
        <v>188</v>
      </c>
      <c r="AO39" s="522"/>
      <c r="AP39" s="524"/>
      <c r="AQ39" s="142" t="s">
        <v>79</v>
      </c>
      <c r="AR39" s="143" t="s">
        <v>100</v>
      </c>
      <c r="AS39" s="49" t="s">
        <v>124</v>
      </c>
      <c r="AT39" s="49" t="s">
        <v>137</v>
      </c>
      <c r="AU39" s="49"/>
      <c r="AV39" s="49" t="s">
        <v>127</v>
      </c>
      <c r="AW39" s="151" t="s">
        <v>146</v>
      </c>
      <c r="AX39" s="51" t="s">
        <v>125</v>
      </c>
      <c r="AY39" s="143" t="s">
        <v>137</v>
      </c>
      <c r="AZ39" s="151" t="s">
        <v>121</v>
      </c>
      <c r="BA39" s="143"/>
      <c r="BB39" s="49"/>
    </row>
    <row r="40" spans="1:54" ht="16.5" thickTop="1" thickBot="1" x14ac:dyDescent="0.3">
      <c r="A40" s="58"/>
      <c r="B40" s="102"/>
      <c r="C40" s="102"/>
      <c r="D40" s="102"/>
      <c r="E40" s="100" t="s">
        <v>16</v>
      </c>
      <c r="F40" s="105">
        <f>F38+F39*F38</f>
        <v>0</v>
      </c>
      <c r="G40" s="58"/>
      <c r="H40" s="100" t="s">
        <v>16</v>
      </c>
      <c r="I40" s="215">
        <f>I38+I39</f>
        <v>2000</v>
      </c>
      <c r="J40" s="100" t="s">
        <v>16</v>
      </c>
      <c r="K40" s="215">
        <f>K38+K39</f>
        <v>2700</v>
      </c>
      <c r="L40" s="100" t="s">
        <v>16</v>
      </c>
      <c r="M40" s="215">
        <f>M38+M39</f>
        <v>0</v>
      </c>
      <c r="N40" s="58"/>
      <c r="O40" s="62" t="s">
        <v>110</v>
      </c>
      <c r="P40" s="49" t="str">
        <f>J29</f>
        <v>Ду300</v>
      </c>
      <c r="Q40" s="49" t="str">
        <f>I29</f>
        <v>Ру63</v>
      </c>
      <c r="R40" s="49"/>
      <c r="S40" s="49" t="s">
        <v>151</v>
      </c>
      <c r="T40" s="63">
        <f>L29</f>
        <v>0</v>
      </c>
      <c r="U40" s="59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44" t="s">
        <v>37</v>
      </c>
      <c r="AM40" s="144" t="s">
        <v>66</v>
      </c>
      <c r="AN40" s="60">
        <v>6.8000000000000005E-2</v>
      </c>
      <c r="AO40" s="60">
        <v>0.22500000000000001</v>
      </c>
      <c r="AP40" s="160">
        <v>0.22500000000000001</v>
      </c>
      <c r="AQ40" s="142" t="s">
        <v>81</v>
      </c>
      <c r="AR40" s="143" t="s">
        <v>101</v>
      </c>
      <c r="AS40" s="49" t="s">
        <v>125</v>
      </c>
      <c r="AT40" s="49"/>
      <c r="AU40" s="49"/>
      <c r="AV40" s="49" t="s">
        <v>130</v>
      </c>
      <c r="AW40" s="151" t="s">
        <v>147</v>
      </c>
      <c r="AX40" s="49"/>
      <c r="AY40" s="152" t="s">
        <v>149</v>
      </c>
      <c r="AZ40" s="151" t="s">
        <v>203</v>
      </c>
      <c r="BA40" s="143"/>
      <c r="BB40" s="49"/>
    </row>
    <row r="41" spans="1:54" ht="16.5" thickTop="1" thickBot="1" x14ac:dyDescent="0.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62" t="s">
        <v>144</v>
      </c>
      <c r="P41" s="119" t="s">
        <v>145</v>
      </c>
      <c r="Q41" s="119" t="s">
        <v>141</v>
      </c>
      <c r="R41" s="119" t="s">
        <v>136</v>
      </c>
      <c r="S41" s="57" t="s">
        <v>152</v>
      </c>
      <c r="T41" s="55"/>
      <c r="U41" s="59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444" t="s">
        <v>390</v>
      </c>
      <c r="AM41" s="144" t="s">
        <v>63</v>
      </c>
      <c r="AN41" s="57">
        <v>0.12</v>
      </c>
      <c r="AO41" s="57">
        <v>0.31</v>
      </c>
      <c r="AP41" s="161">
        <v>0.31</v>
      </c>
      <c r="AQ41" s="142" t="s">
        <v>82</v>
      </c>
      <c r="AR41" s="143" t="s">
        <v>102</v>
      </c>
      <c r="AS41" s="49"/>
      <c r="AT41" s="49"/>
      <c r="AU41" s="49"/>
      <c r="AV41" s="49" t="s">
        <v>128</v>
      </c>
      <c r="AW41" s="151" t="s">
        <v>132</v>
      </c>
      <c r="AX41" s="49"/>
      <c r="AY41" s="143"/>
      <c r="AZ41" s="142"/>
      <c r="BA41" s="143"/>
      <c r="BB41" s="49"/>
    </row>
    <row r="42" spans="1:54" ht="16.5" thickTop="1" thickBot="1" x14ac:dyDescent="0.3">
      <c r="A42" s="58"/>
      <c r="B42" s="602" t="s">
        <v>50</v>
      </c>
      <c r="C42" s="603"/>
      <c r="D42" s="603"/>
      <c r="E42" s="603"/>
      <c r="F42" s="603"/>
      <c r="G42" s="604"/>
      <c r="H42" s="58"/>
      <c r="I42" s="585" t="s">
        <v>369</v>
      </c>
      <c r="J42" s="586"/>
      <c r="K42" s="586"/>
      <c r="L42" s="586"/>
      <c r="M42" s="587"/>
      <c r="N42" s="58"/>
      <c r="O42" s="64"/>
      <c r="P42" s="49"/>
      <c r="Q42" s="49"/>
      <c r="R42" s="57" t="s">
        <v>150</v>
      </c>
      <c r="S42" s="60" t="s">
        <v>154</v>
      </c>
      <c r="T42" s="55"/>
      <c r="U42" s="59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44"/>
      <c r="AM42" s="144" t="s">
        <v>64</v>
      </c>
      <c r="AN42" s="57">
        <v>0.19</v>
      </c>
      <c r="AO42" s="57">
        <v>0.40200000000000002</v>
      </c>
      <c r="AP42" s="161">
        <v>0.40200000000000002</v>
      </c>
      <c r="AQ42" s="142" t="s">
        <v>83</v>
      </c>
      <c r="AR42" s="143" t="s">
        <v>103</v>
      </c>
      <c r="AS42" s="49"/>
      <c r="AT42" s="49"/>
      <c r="AU42" s="49"/>
      <c r="AV42" s="49" t="s">
        <v>129</v>
      </c>
      <c r="AW42" s="151" t="s">
        <v>148</v>
      </c>
      <c r="AX42" s="49"/>
      <c r="AY42" s="143"/>
      <c r="AZ42" s="148"/>
      <c r="BA42" s="145"/>
      <c r="BB42" s="49"/>
    </row>
    <row r="43" spans="1:54" ht="16.5" thickTop="1" thickBot="1" x14ac:dyDescent="0.3">
      <c r="A43" s="58"/>
      <c r="B43" s="546" t="s">
        <v>46</v>
      </c>
      <c r="C43" s="547"/>
      <c r="D43" s="83">
        <v>3300</v>
      </c>
      <c r="E43" s="548" t="s">
        <v>383</v>
      </c>
      <c r="F43" s="549"/>
      <c r="G43" s="86">
        <v>600</v>
      </c>
      <c r="H43" s="58"/>
      <c r="I43" s="588"/>
      <c r="J43" s="589"/>
      <c r="K43" s="589"/>
      <c r="L43" s="589"/>
      <c r="M43" s="590"/>
      <c r="N43" s="58"/>
      <c r="O43" s="65"/>
      <c r="P43" s="66"/>
      <c r="Q43" s="66"/>
      <c r="R43" s="66"/>
      <c r="S43" s="60" t="s">
        <v>153</v>
      </c>
      <c r="T43" s="67"/>
      <c r="U43" s="59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444"/>
      <c r="AM43" s="144" t="s">
        <v>65</v>
      </c>
      <c r="AN43" s="57">
        <v>0.28000000000000003</v>
      </c>
      <c r="AO43" s="57">
        <v>0.495</v>
      </c>
      <c r="AP43" s="161">
        <v>0.495</v>
      </c>
      <c r="AQ43" s="142" t="s">
        <v>84</v>
      </c>
      <c r="AR43" s="143" t="s">
        <v>104</v>
      </c>
      <c r="AS43" s="149"/>
      <c r="AT43" s="149"/>
      <c r="AU43" s="149"/>
      <c r="AV43" s="149" t="s">
        <v>131</v>
      </c>
      <c r="AW43" s="151" t="s">
        <v>133</v>
      </c>
      <c r="AX43" s="49"/>
      <c r="AY43" s="143"/>
    </row>
    <row r="44" spans="1:54" ht="16.5" thickTop="1" thickBot="1" x14ac:dyDescent="0.3">
      <c r="A44" s="58"/>
      <c r="B44" s="550" t="s">
        <v>47</v>
      </c>
      <c r="C44" s="551"/>
      <c r="D44" s="84">
        <v>1750</v>
      </c>
      <c r="E44" s="552" t="s">
        <v>384</v>
      </c>
      <c r="F44" s="553"/>
      <c r="G44" s="87">
        <v>87</v>
      </c>
      <c r="H44" s="58"/>
      <c r="I44" s="591" t="s">
        <v>391</v>
      </c>
      <c r="J44" s="592"/>
      <c r="K44" s="592"/>
      <c r="L44" s="592"/>
      <c r="M44" s="89">
        <v>50000</v>
      </c>
      <c r="N44" s="58"/>
      <c r="O44" s="58"/>
      <c r="P44" s="58"/>
      <c r="Q44" s="58"/>
      <c r="R44" s="58"/>
      <c r="S44" s="104" t="s">
        <v>16</v>
      </c>
      <c r="T44" s="105">
        <f>SUM(T28:T43)</f>
        <v>0</v>
      </c>
      <c r="U44" s="59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44"/>
      <c r="AM44" s="197" t="s">
        <v>184</v>
      </c>
      <c r="AN44" s="198">
        <v>0.27</v>
      </c>
      <c r="AO44" s="198">
        <v>0.61</v>
      </c>
      <c r="AP44" s="199">
        <v>0.38500000000000001</v>
      </c>
      <c r="AQ44" s="142" t="s">
        <v>85</v>
      </c>
      <c r="AR44" s="143" t="s">
        <v>105</v>
      </c>
      <c r="AS44" s="49"/>
      <c r="AT44" s="49"/>
      <c r="AU44" s="49"/>
      <c r="AV44" s="49"/>
      <c r="AW44" s="142" t="s">
        <v>130</v>
      </c>
      <c r="AX44" s="49"/>
      <c r="AY44" s="143"/>
    </row>
    <row r="45" spans="1:54" ht="16.5" thickTop="1" thickBot="1" x14ac:dyDescent="0.3">
      <c r="A45" s="58"/>
      <c r="B45" s="550" t="s">
        <v>48</v>
      </c>
      <c r="C45" s="551"/>
      <c r="D45" s="84">
        <v>2800</v>
      </c>
      <c r="E45" s="552" t="s">
        <v>385</v>
      </c>
      <c r="F45" s="553"/>
      <c r="G45" s="87">
        <v>50</v>
      </c>
      <c r="H45" s="58"/>
      <c r="I45" s="591" t="s">
        <v>181</v>
      </c>
      <c r="J45" s="592"/>
      <c r="K45" s="592"/>
      <c r="L45" s="592"/>
      <c r="M45" s="89">
        <v>0</v>
      </c>
      <c r="N45" s="58"/>
      <c r="O45" s="220" t="s">
        <v>226</v>
      </c>
      <c r="P45" s="219">
        <v>20000</v>
      </c>
      <c r="Q45" s="58"/>
      <c r="R45" s="58"/>
      <c r="S45" s="58"/>
      <c r="T45" s="58"/>
      <c r="U45" s="59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445"/>
      <c r="AM45" s="144" t="s">
        <v>67</v>
      </c>
      <c r="AN45" s="60">
        <v>0.46239999999999998</v>
      </c>
      <c r="AO45" s="60">
        <v>0.61599999999999999</v>
      </c>
      <c r="AP45" s="160">
        <v>0.61599999999999999</v>
      </c>
      <c r="AQ45" s="142" t="s">
        <v>86</v>
      </c>
      <c r="AR45" s="143"/>
      <c r="AS45" s="49"/>
      <c r="AT45" s="49"/>
      <c r="AU45" s="49"/>
      <c r="AV45" s="49"/>
      <c r="AW45" s="148" t="s">
        <v>129</v>
      </c>
      <c r="AX45" s="149"/>
      <c r="AY45" s="145"/>
    </row>
    <row r="46" spans="1:54" ht="16.5" thickTop="1" thickBot="1" x14ac:dyDescent="0.3">
      <c r="A46" s="58"/>
      <c r="B46" s="598" t="s">
        <v>49</v>
      </c>
      <c r="C46" s="599"/>
      <c r="D46" s="85">
        <v>1200</v>
      </c>
      <c r="E46" s="600"/>
      <c r="F46" s="601"/>
      <c r="G46" s="88"/>
      <c r="H46" s="58"/>
      <c r="I46" s="593" t="s">
        <v>181</v>
      </c>
      <c r="J46" s="594"/>
      <c r="K46" s="594"/>
      <c r="L46" s="594"/>
      <c r="M46" s="90">
        <v>0</v>
      </c>
      <c r="N46" s="58"/>
      <c r="O46" s="58"/>
      <c r="P46" s="58"/>
      <c r="Q46" s="58"/>
      <c r="R46" s="58"/>
      <c r="S46" s="58"/>
      <c r="T46" s="58"/>
      <c r="U46" s="59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66" t="s">
        <v>187</v>
      </c>
      <c r="AM46" s="144" t="s">
        <v>33</v>
      </c>
      <c r="AN46" s="60">
        <v>1</v>
      </c>
      <c r="AO46" s="60">
        <v>0.95</v>
      </c>
      <c r="AP46" s="160">
        <v>0.95</v>
      </c>
      <c r="AQ46" s="142" t="s">
        <v>87</v>
      </c>
      <c r="AR46" s="143"/>
      <c r="AS46" s="418" t="s">
        <v>189</v>
      </c>
      <c r="AT46" s="417" t="s">
        <v>56</v>
      </c>
      <c r="AU46" s="163" t="s">
        <v>193</v>
      </c>
      <c r="AV46" s="147"/>
    </row>
    <row r="47" spans="1:54" ht="16.5" thickTop="1" thickBot="1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62">
        <v>0.8</v>
      </c>
      <c r="AM47" s="193" t="s">
        <v>215</v>
      </c>
      <c r="AN47" s="57">
        <v>0.6</v>
      </c>
      <c r="AO47" s="57">
        <v>0.73499999999999999</v>
      </c>
      <c r="AP47" s="161">
        <v>0.73499999999999999</v>
      </c>
      <c r="AQ47" s="142" t="s">
        <v>88</v>
      </c>
      <c r="AR47" s="143"/>
      <c r="AS47" s="49" t="s">
        <v>34</v>
      </c>
      <c r="AT47" s="237">
        <f>7880/10^6</f>
        <v>7.8799999999999999E-3</v>
      </c>
      <c r="AU47" s="142" t="s">
        <v>197</v>
      </c>
      <c r="AV47" s="143">
        <v>7.7999999999999996E-3</v>
      </c>
    </row>
    <row r="48" spans="1:54" ht="16.5" thickTop="1" thickBot="1" x14ac:dyDescent="0.3">
      <c r="A48" s="58"/>
      <c r="B48" s="595" t="s">
        <v>174</v>
      </c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597"/>
      <c r="P48" s="58"/>
      <c r="Q48" s="58"/>
      <c r="R48" s="58"/>
      <c r="S48" s="58"/>
      <c r="T48" s="58"/>
      <c r="U48" s="59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62">
        <v>1</v>
      </c>
      <c r="AM48" s="197" t="s">
        <v>183</v>
      </c>
      <c r="AN48" s="198">
        <v>0.37</v>
      </c>
      <c r="AO48" s="198">
        <v>0.754</v>
      </c>
      <c r="AP48" s="199">
        <v>0.435</v>
      </c>
      <c r="AQ48" s="142" t="s">
        <v>89</v>
      </c>
      <c r="AR48" s="143"/>
      <c r="AS48" s="49" t="s">
        <v>35</v>
      </c>
      <c r="AT48" s="237">
        <f>8080/10^6</f>
        <v>8.0800000000000004E-3</v>
      </c>
      <c r="AU48" s="142" t="s">
        <v>194</v>
      </c>
      <c r="AV48" s="143">
        <v>7.7999999999999996E-3</v>
      </c>
    </row>
    <row r="49" spans="1:59" ht="16.5" thickTop="1" thickBot="1" x14ac:dyDescent="0.3">
      <c r="A49" s="58"/>
      <c r="B49" s="139"/>
      <c r="C49" s="140"/>
      <c r="D49" s="140"/>
      <c r="E49" s="140"/>
      <c r="F49" s="140"/>
      <c r="G49" s="140"/>
      <c r="H49" s="409" t="s">
        <v>143</v>
      </c>
      <c r="I49" s="410" t="s">
        <v>142</v>
      </c>
      <c r="J49" s="411" t="s">
        <v>176</v>
      </c>
      <c r="K49" s="140"/>
      <c r="L49" s="140"/>
      <c r="M49" s="409" t="s">
        <v>143</v>
      </c>
      <c r="N49" s="410" t="s">
        <v>142</v>
      </c>
      <c r="O49" s="411" t="s">
        <v>176</v>
      </c>
      <c r="P49" s="58"/>
      <c r="Q49" s="58"/>
      <c r="R49" s="58"/>
      <c r="S49" s="58"/>
      <c r="T49" s="58"/>
      <c r="U49" s="59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62">
        <v>1.2</v>
      </c>
      <c r="AM49" s="144" t="s">
        <v>68</v>
      </c>
      <c r="AN49" s="57">
        <v>1.63</v>
      </c>
      <c r="AO49" s="57">
        <v>1.24</v>
      </c>
      <c r="AP49" s="161">
        <v>1.24</v>
      </c>
      <c r="AQ49" s="419" t="s">
        <v>90</v>
      </c>
      <c r="AR49" s="143"/>
      <c r="AS49" s="49" t="s">
        <v>20</v>
      </c>
      <c r="AT49" s="267">
        <v>8.8900000000000003E-3</v>
      </c>
      <c r="AU49" s="142" t="s">
        <v>9</v>
      </c>
      <c r="AV49" s="143">
        <v>7.8499999999999993E-3</v>
      </c>
    </row>
    <row r="50" spans="1:59" ht="16.5" thickTop="1" thickBot="1" x14ac:dyDescent="0.3">
      <c r="A50" s="58"/>
      <c r="B50" s="605" t="s">
        <v>175</v>
      </c>
      <c r="C50" s="606"/>
      <c r="D50" s="387" t="str">
        <f>O22</f>
        <v>шпилька</v>
      </c>
      <c r="E50" s="387" t="str">
        <f>P22</f>
        <v>М33</v>
      </c>
      <c r="F50" s="387" t="str">
        <f>P20</f>
        <v>40Х</v>
      </c>
      <c r="G50" s="387" t="str">
        <f>P21</f>
        <v>Zn-Cr 9мкм</v>
      </c>
      <c r="H50" s="388">
        <f>Q22</f>
        <v>0</v>
      </c>
      <c r="I50" s="91">
        <v>10</v>
      </c>
      <c r="J50" s="94">
        <f>H50*I50</f>
        <v>0</v>
      </c>
      <c r="K50" s="580" t="s">
        <v>179</v>
      </c>
      <c r="L50" s="581"/>
      <c r="M50" s="406">
        <f>D38</f>
        <v>0</v>
      </c>
      <c r="N50" s="407">
        <v>0</v>
      </c>
      <c r="O50" s="408">
        <f t="shared" ref="O50:O52" si="0">M50*N50</f>
        <v>0</v>
      </c>
      <c r="P50" s="58"/>
      <c r="Q50" s="58"/>
      <c r="R50" s="58"/>
      <c r="S50" s="58"/>
      <c r="T50" s="58"/>
      <c r="U50" s="59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162">
        <v>1.5</v>
      </c>
      <c r="AM50" s="197" t="s">
        <v>185</v>
      </c>
      <c r="AN50" s="198">
        <v>1.01</v>
      </c>
      <c r="AO50" s="198">
        <v>1.24</v>
      </c>
      <c r="AP50" s="199">
        <v>0.75</v>
      </c>
      <c r="AQ50" s="142" t="s">
        <v>91</v>
      </c>
      <c r="AR50" s="143"/>
      <c r="AS50" s="49" t="s">
        <v>190</v>
      </c>
      <c r="AT50" s="267">
        <v>4.4999999999999997E-3</v>
      </c>
      <c r="AU50" s="151" t="s">
        <v>19</v>
      </c>
      <c r="AV50" s="143">
        <v>7.4000000000000003E-3</v>
      </c>
    </row>
    <row r="51" spans="1:59" ht="16.5" thickTop="1" thickBot="1" x14ac:dyDescent="0.3">
      <c r="A51" s="122"/>
      <c r="B51" s="485"/>
      <c r="C51" s="607"/>
      <c r="D51" s="389" t="str">
        <f t="shared" ref="D51:D52" si="1">O23</f>
        <v>гайка</v>
      </c>
      <c r="E51" s="389" t="str">
        <f t="shared" ref="E51:E52" si="2">P23</f>
        <v>М33</v>
      </c>
      <c r="F51" s="389" t="str">
        <f>P20</f>
        <v>40Х</v>
      </c>
      <c r="G51" s="389" t="str">
        <f>P21</f>
        <v>Zn-Cr 9мкм</v>
      </c>
      <c r="H51" s="390">
        <f t="shared" ref="H51:H52" si="3">Q23</f>
        <v>0</v>
      </c>
      <c r="I51" s="33">
        <v>10</v>
      </c>
      <c r="J51" s="95">
        <f t="shared" ref="J51:J52" si="4">H51*I51</f>
        <v>0</v>
      </c>
      <c r="K51" s="582" t="s">
        <v>180</v>
      </c>
      <c r="L51" s="583"/>
      <c r="M51" s="99">
        <v>5000</v>
      </c>
      <c r="N51" s="98">
        <v>1</v>
      </c>
      <c r="O51" s="93">
        <f t="shared" si="0"/>
        <v>5000</v>
      </c>
      <c r="P51" s="58"/>
      <c r="Q51" s="58"/>
      <c r="R51" s="58"/>
      <c r="S51" s="58"/>
      <c r="T51" s="58"/>
      <c r="U51" s="59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62">
        <v>2</v>
      </c>
      <c r="AM51" s="144" t="s">
        <v>69</v>
      </c>
      <c r="AN51" s="57">
        <v>2.4300000000000002</v>
      </c>
      <c r="AO51" s="57">
        <v>1.514</v>
      </c>
      <c r="AP51" s="161">
        <v>1.514</v>
      </c>
      <c r="AQ51" s="142" t="s">
        <v>92</v>
      </c>
      <c r="AR51" s="143"/>
      <c r="AS51" s="49" t="s">
        <v>191</v>
      </c>
      <c r="AT51" s="237">
        <v>7.4000000000000003E-3</v>
      </c>
      <c r="AU51" s="142" t="s">
        <v>191</v>
      </c>
      <c r="AV51" s="143">
        <v>7.4000000000000003E-3</v>
      </c>
    </row>
    <row r="52" spans="1:59" ht="17.25" customHeight="1" thickTop="1" thickBot="1" x14ac:dyDescent="0.3">
      <c r="A52" s="123"/>
      <c r="B52" s="608"/>
      <c r="C52" s="609"/>
      <c r="D52" s="391" t="str">
        <f t="shared" si="1"/>
        <v>шайба</v>
      </c>
      <c r="E52" s="391" t="str">
        <f t="shared" si="2"/>
        <v>М33</v>
      </c>
      <c r="F52" s="391" t="str">
        <f>P20</f>
        <v>40Х</v>
      </c>
      <c r="G52" s="391" t="str">
        <f>P21</f>
        <v>Zn-Cr 9мкм</v>
      </c>
      <c r="H52" s="392">
        <f t="shared" si="3"/>
        <v>0</v>
      </c>
      <c r="I52" s="33">
        <v>0</v>
      </c>
      <c r="J52" s="95">
        <f t="shared" si="4"/>
        <v>0</v>
      </c>
      <c r="K52" s="584" t="s">
        <v>182</v>
      </c>
      <c r="L52" s="581"/>
      <c r="M52" s="99">
        <v>7000</v>
      </c>
      <c r="N52" s="98">
        <v>1</v>
      </c>
      <c r="O52" s="93">
        <f t="shared" si="0"/>
        <v>7000</v>
      </c>
      <c r="P52" s="58"/>
      <c r="Q52" s="58"/>
      <c r="R52" s="58"/>
      <c r="S52" s="58"/>
      <c r="T52" s="58"/>
      <c r="U52" s="59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62">
        <v>3</v>
      </c>
      <c r="AM52" s="194" t="s">
        <v>186</v>
      </c>
      <c r="AN52" s="195">
        <v>1.53</v>
      </c>
      <c r="AO52" s="195">
        <v>1.514</v>
      </c>
      <c r="AP52" s="196">
        <v>0.94</v>
      </c>
      <c r="AQ52" s="142" t="s">
        <v>93</v>
      </c>
      <c r="AR52" s="143"/>
      <c r="AS52" s="49" t="s">
        <v>372</v>
      </c>
      <c r="AT52" s="237">
        <v>7.8600000000000007E-3</v>
      </c>
      <c r="AU52" s="142" t="s">
        <v>34</v>
      </c>
      <c r="AV52" s="143">
        <v>7.8799999999999999E-3</v>
      </c>
    </row>
    <row r="53" spans="1:59" ht="16.5" customHeight="1" thickTop="1" thickBot="1" x14ac:dyDescent="0.3">
      <c r="A53" s="123"/>
      <c r="B53" s="101"/>
      <c r="C53" s="102"/>
      <c r="D53" s="102"/>
      <c r="E53" s="102"/>
      <c r="F53" s="102"/>
      <c r="G53" s="102"/>
      <c r="H53" s="102"/>
      <c r="I53" s="100" t="s">
        <v>16</v>
      </c>
      <c r="J53" s="103">
        <f>J50+J51+J52</f>
        <v>0</v>
      </c>
      <c r="K53" s="403"/>
      <c r="L53" s="404"/>
      <c r="M53" s="405"/>
      <c r="N53" s="100" t="s">
        <v>16</v>
      </c>
      <c r="O53" s="103">
        <f>O50+O51+O52</f>
        <v>12000</v>
      </c>
      <c r="P53" s="58"/>
      <c r="Q53" s="58"/>
      <c r="R53" s="58"/>
      <c r="S53" s="58"/>
      <c r="T53" s="58"/>
      <c r="U53" s="59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53">
        <v>5</v>
      </c>
      <c r="AQ53" s="142" t="s">
        <v>94</v>
      </c>
      <c r="AR53" s="143"/>
      <c r="AS53" s="49" t="s">
        <v>256</v>
      </c>
      <c r="AT53" s="237">
        <v>8.0599999999999995E-3</v>
      </c>
      <c r="AU53" s="142" t="s">
        <v>195</v>
      </c>
      <c r="AV53" s="143">
        <v>7.4000000000000003E-3</v>
      </c>
    </row>
    <row r="54" spans="1:59" ht="19.5" customHeight="1" thickTop="1" thickBot="1" x14ac:dyDescent="0.3">
      <c r="A54" s="123"/>
      <c r="B54" s="517" t="s">
        <v>177</v>
      </c>
      <c r="C54" s="393" t="str">
        <f>P28</f>
        <v>Ду600</v>
      </c>
      <c r="D54" s="387" t="str">
        <f>O28</f>
        <v>Фланец №1</v>
      </c>
      <c r="E54" s="387" t="str">
        <f>P29</f>
        <v>М18</v>
      </c>
      <c r="F54" s="387" t="str">
        <f>Q29</f>
        <v>ст40Х</v>
      </c>
      <c r="G54" s="387" t="str">
        <f>R29</f>
        <v>Zn-Cr 9мкм</v>
      </c>
      <c r="H54" s="394">
        <v>100</v>
      </c>
      <c r="I54" s="96">
        <v>2</v>
      </c>
      <c r="J54" s="94">
        <f>H54*I54</f>
        <v>200</v>
      </c>
      <c r="K54" s="493" t="s">
        <v>178</v>
      </c>
      <c r="L54" s="494"/>
      <c r="M54" s="399">
        <f>T30</f>
        <v>0</v>
      </c>
      <c r="N54" s="91">
        <v>1</v>
      </c>
      <c r="O54" s="92">
        <f>M54*N54</f>
        <v>0</v>
      </c>
      <c r="P54" s="58"/>
      <c r="Q54" s="58"/>
      <c r="R54" s="58"/>
      <c r="S54" s="58"/>
      <c r="T54" s="58"/>
      <c r="U54" s="59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0"/>
      <c r="AQ54" s="142" t="s">
        <v>95</v>
      </c>
      <c r="AR54" s="143"/>
      <c r="AS54" s="149"/>
      <c r="AT54" s="145"/>
      <c r="AU54" s="148" t="s">
        <v>196</v>
      </c>
      <c r="AV54" s="145">
        <v>7.8600000000000007E-3</v>
      </c>
    </row>
    <row r="55" spans="1:59" ht="18" customHeight="1" thickBot="1" x14ac:dyDescent="0.3">
      <c r="A55" s="123"/>
      <c r="B55" s="518"/>
      <c r="C55" s="395" t="str">
        <f>P32</f>
        <v>Ду600</v>
      </c>
      <c r="D55" s="389" t="str">
        <f>O32</f>
        <v>Фланец №2</v>
      </c>
      <c r="E55" s="389" t="str">
        <f>P33</f>
        <v>М18</v>
      </c>
      <c r="F55" s="389" t="str">
        <f>Q33</f>
        <v>ст40Х</v>
      </c>
      <c r="G55" s="389" t="str">
        <f>R33</f>
        <v>Zn-Cr 9мкм</v>
      </c>
      <c r="H55" s="396">
        <v>100</v>
      </c>
      <c r="I55" s="97">
        <v>2</v>
      </c>
      <c r="J55" s="95">
        <f>H55*I55</f>
        <v>200</v>
      </c>
      <c r="K55" s="495"/>
      <c r="L55" s="496"/>
      <c r="M55" s="400">
        <v>15000</v>
      </c>
      <c r="N55" s="33">
        <v>1</v>
      </c>
      <c r="O55" s="93">
        <f t="shared" ref="O55:O57" si="5">M55*N55</f>
        <v>15000</v>
      </c>
      <c r="P55" s="58"/>
      <c r="Q55" s="58"/>
      <c r="R55" s="58"/>
      <c r="S55" s="58"/>
      <c r="T55" s="58"/>
      <c r="U55" s="233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Q55" s="150" t="s">
        <v>96</v>
      </c>
      <c r="AR55" s="145"/>
    </row>
    <row r="56" spans="1:59" ht="18" customHeight="1" x14ac:dyDescent="0.25">
      <c r="A56" s="122"/>
      <c r="B56" s="518"/>
      <c r="C56" s="395" t="str">
        <f>P36</f>
        <v>Ду450</v>
      </c>
      <c r="D56" s="389" t="str">
        <f>O36</f>
        <v>Фланец №3</v>
      </c>
      <c r="E56" s="389" t="str">
        <f>P37</f>
        <v>М18</v>
      </c>
      <c r="F56" s="389" t="str">
        <f>Q37</f>
        <v>ст40Х</v>
      </c>
      <c r="G56" s="389" t="str">
        <f>R37</f>
        <v>Zn-Cr 9мкм</v>
      </c>
      <c r="H56" s="396">
        <v>200</v>
      </c>
      <c r="I56" s="97">
        <v>2</v>
      </c>
      <c r="J56" s="95">
        <f>H56*I56</f>
        <v>400</v>
      </c>
      <c r="K56" s="495"/>
      <c r="L56" s="496"/>
      <c r="M56" s="400">
        <f>T38</f>
        <v>0</v>
      </c>
      <c r="N56" s="33">
        <v>1</v>
      </c>
      <c r="O56" s="93">
        <f t="shared" si="5"/>
        <v>0</v>
      </c>
      <c r="P56" s="58"/>
      <c r="Q56" s="58"/>
      <c r="R56" s="58"/>
      <c r="S56" s="58"/>
      <c r="T56" s="58"/>
      <c r="U56" s="235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35"/>
    </row>
    <row r="57" spans="1:59" s="8" customFormat="1" ht="27" customHeight="1" thickBot="1" x14ac:dyDescent="0.3">
      <c r="A57" s="124"/>
      <c r="B57" s="543"/>
      <c r="C57" s="397" t="str">
        <f>P40</f>
        <v>Ду300</v>
      </c>
      <c r="D57" s="391" t="str">
        <f>O40</f>
        <v>Фланец №4</v>
      </c>
      <c r="E57" s="391" t="str">
        <f>P41</f>
        <v>М18</v>
      </c>
      <c r="F57" s="391" t="str">
        <f>Q41</f>
        <v>ст40Х</v>
      </c>
      <c r="G57" s="391" t="str">
        <f>R41</f>
        <v>Zn-Cr 9мкм</v>
      </c>
      <c r="H57" s="398">
        <v>150</v>
      </c>
      <c r="I57" s="97">
        <v>2</v>
      </c>
      <c r="J57" s="95">
        <f>H57*I57</f>
        <v>300</v>
      </c>
      <c r="K57" s="497"/>
      <c r="L57" s="498"/>
      <c r="M57" s="401">
        <v>30000</v>
      </c>
      <c r="N57" s="33">
        <v>1</v>
      </c>
      <c r="O57" s="93">
        <f t="shared" si="5"/>
        <v>30000</v>
      </c>
      <c r="P57" s="107"/>
      <c r="Q57" s="107"/>
      <c r="R57" s="108"/>
      <c r="S57" s="108"/>
      <c r="T57" s="108"/>
      <c r="U57" s="23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8"/>
      <c r="AM57" s="117"/>
    </row>
    <row r="58" spans="1:59" ht="16.5" thickTop="1" thickBot="1" x14ac:dyDescent="0.3">
      <c r="A58" s="102"/>
      <c r="B58" s="102"/>
      <c r="C58" s="102"/>
      <c r="D58" s="102"/>
      <c r="E58" s="102"/>
      <c r="F58" s="102"/>
      <c r="G58" s="102"/>
      <c r="H58" s="102"/>
      <c r="I58" s="100" t="s">
        <v>16</v>
      </c>
      <c r="J58" s="103">
        <f>J54+J55+J56+J57</f>
        <v>1100</v>
      </c>
      <c r="K58" s="402"/>
      <c r="L58" s="402"/>
      <c r="M58" s="402"/>
      <c r="N58" s="100" t="s">
        <v>16</v>
      </c>
      <c r="O58" s="103">
        <f>O54+O55+O56+O57</f>
        <v>45000</v>
      </c>
      <c r="P58" s="58"/>
      <c r="Q58" s="58"/>
      <c r="R58" s="58"/>
      <c r="S58" s="58"/>
      <c r="T58" s="58"/>
      <c r="U58" s="23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35"/>
      <c r="AM58" s="35"/>
    </row>
    <row r="59" spans="1:59" ht="15.75" thickTop="1" x14ac:dyDescent="0.25">
      <c r="A59" s="106"/>
      <c r="B59" s="102"/>
      <c r="C59" s="102"/>
      <c r="D59" s="102"/>
      <c r="E59" s="102"/>
      <c r="F59" s="102"/>
      <c r="G59" s="102"/>
      <c r="H59" s="102"/>
      <c r="I59" s="58"/>
      <c r="J59" s="58"/>
      <c r="K59" s="102"/>
      <c r="L59" s="102"/>
      <c r="M59" s="102"/>
      <c r="N59" s="58"/>
      <c r="O59" s="58"/>
      <c r="P59" s="58"/>
      <c r="Q59" s="58"/>
      <c r="R59" s="58"/>
      <c r="S59" s="58"/>
      <c r="T59" s="58"/>
      <c r="U59" s="23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35"/>
      <c r="AM59" s="35"/>
    </row>
    <row r="62" spans="1:59" ht="15.75" thickBot="1" x14ac:dyDescent="0.3"/>
    <row r="63" spans="1:59" x14ac:dyDescent="0.25">
      <c r="BE63" s="163" t="s">
        <v>254</v>
      </c>
      <c r="BF63" s="146"/>
      <c r="BG63" s="147"/>
    </row>
    <row r="64" spans="1:59" x14ac:dyDescent="0.25">
      <c r="BE64" s="260" t="s">
        <v>191</v>
      </c>
      <c r="BF64" s="237">
        <v>7.4000000000000003E-3</v>
      </c>
      <c r="BG64" s="261" t="s">
        <v>255</v>
      </c>
    </row>
    <row r="65" spans="3:59" x14ac:dyDescent="0.25">
      <c r="BE65" s="260" t="s">
        <v>34</v>
      </c>
      <c r="BF65" s="237">
        <f>7880/10^6</f>
        <v>7.8799999999999999E-3</v>
      </c>
      <c r="BG65" s="261" t="s">
        <v>255</v>
      </c>
    </row>
    <row r="66" spans="3:59" x14ac:dyDescent="0.25">
      <c r="BE66" s="268" t="s">
        <v>196</v>
      </c>
      <c r="BF66" s="237">
        <v>7.8600000000000007E-3</v>
      </c>
      <c r="BG66" s="261" t="s">
        <v>255</v>
      </c>
    </row>
    <row r="67" spans="3:59" x14ac:dyDescent="0.25">
      <c r="BE67" s="268" t="s">
        <v>19</v>
      </c>
      <c r="BF67" s="237">
        <v>7.9000000000000008E-3</v>
      </c>
      <c r="BG67" s="261" t="s">
        <v>255</v>
      </c>
    </row>
    <row r="68" spans="3:59" x14ac:dyDescent="0.25">
      <c r="BE68" s="268" t="s">
        <v>256</v>
      </c>
      <c r="BF68" s="237">
        <v>8.0599999999999995E-3</v>
      </c>
      <c r="BG68" s="261" t="s">
        <v>255</v>
      </c>
    </row>
    <row r="69" spans="3:59" x14ac:dyDescent="0.25">
      <c r="BE69" s="260" t="s">
        <v>35</v>
      </c>
      <c r="BF69" s="237">
        <f>8080/10^6</f>
        <v>8.0800000000000004E-3</v>
      </c>
      <c r="BG69" s="261" t="s">
        <v>255</v>
      </c>
    </row>
    <row r="70" spans="3:59" x14ac:dyDescent="0.25">
      <c r="BE70" s="268" t="s">
        <v>257</v>
      </c>
      <c r="BF70" s="267">
        <v>7.9600000000000001E-3</v>
      </c>
      <c r="BG70" s="261" t="s">
        <v>255</v>
      </c>
    </row>
    <row r="71" spans="3:59" x14ac:dyDescent="0.25">
      <c r="BE71" s="268" t="s">
        <v>258</v>
      </c>
      <c r="BF71" s="267">
        <v>4.4999999999999997E-3</v>
      </c>
      <c r="BG71" s="261" t="s">
        <v>255</v>
      </c>
    </row>
    <row r="72" spans="3:59" x14ac:dyDescent="0.25">
      <c r="BE72" s="268" t="s">
        <v>20</v>
      </c>
      <c r="BF72" s="267">
        <v>8.8900000000000003E-3</v>
      </c>
      <c r="BG72" s="261" t="s">
        <v>255</v>
      </c>
    </row>
    <row r="73" spans="3:59" ht="15.75" thickBot="1" x14ac:dyDescent="0.3">
      <c r="BE73" s="269" t="s">
        <v>259</v>
      </c>
      <c r="BF73" s="270">
        <v>8.3000000000000001E-3</v>
      </c>
      <c r="BG73" s="266" t="s">
        <v>255</v>
      </c>
    </row>
    <row r="74" spans="3:59" ht="15.75" thickBot="1" x14ac:dyDescent="0.3"/>
    <row r="75" spans="3:59" ht="15" customHeight="1" x14ac:dyDescent="0.25">
      <c r="C75" s="458" t="s">
        <v>260</v>
      </c>
      <c r="D75" s="459"/>
      <c r="E75" s="459"/>
      <c r="F75" s="459"/>
      <c r="G75" s="460"/>
      <c r="H75" s="476" t="s">
        <v>0</v>
      </c>
      <c r="I75" s="477"/>
      <c r="J75" s="478"/>
      <c r="K75" s="464" t="s">
        <v>261</v>
      </c>
      <c r="L75" s="465"/>
      <c r="M75" s="468" t="s">
        <v>262</v>
      </c>
      <c r="N75" s="469"/>
      <c r="O75" s="472" t="s">
        <v>263</v>
      </c>
      <c r="P75" s="473"/>
    </row>
    <row r="76" spans="3:59" ht="15.75" customHeight="1" thickBot="1" x14ac:dyDescent="0.3">
      <c r="C76" s="461"/>
      <c r="D76" s="462"/>
      <c r="E76" s="462"/>
      <c r="F76" s="462"/>
      <c r="G76" s="463"/>
      <c r="H76" s="479"/>
      <c r="I76" s="480"/>
      <c r="J76" s="481"/>
      <c r="K76" s="466"/>
      <c r="L76" s="467"/>
      <c r="M76" s="470"/>
      <c r="N76" s="471"/>
      <c r="O76" s="474"/>
      <c r="P76" s="475"/>
    </row>
    <row r="77" spans="3:59" ht="90.75" thickTop="1" x14ac:dyDescent="0.25">
      <c r="C77" s="426" t="s">
        <v>371</v>
      </c>
      <c r="D77" s="415" t="s">
        <v>264</v>
      </c>
      <c r="E77" s="412" t="s">
        <v>380</v>
      </c>
      <c r="F77" s="413" t="s">
        <v>265</v>
      </c>
      <c r="G77" s="413" t="s">
        <v>266</v>
      </c>
      <c r="H77" s="423" t="s">
        <v>375</v>
      </c>
      <c r="I77" s="422" t="s">
        <v>379</v>
      </c>
      <c r="J77" s="414" t="s">
        <v>267</v>
      </c>
      <c r="K77" s="271" t="s">
        <v>376</v>
      </c>
      <c r="L77" s="272" t="s">
        <v>267</v>
      </c>
      <c r="M77" s="273" t="s">
        <v>268</v>
      </c>
      <c r="N77" s="274" t="s">
        <v>269</v>
      </c>
      <c r="O77" s="275" t="s">
        <v>270</v>
      </c>
      <c r="P77" s="297" t="s">
        <v>271</v>
      </c>
      <c r="Q77" s="9" t="s">
        <v>381</v>
      </c>
      <c r="R77" s="9" t="s">
        <v>382</v>
      </c>
    </row>
    <row r="78" spans="3:59" ht="15.75" thickBot="1" x14ac:dyDescent="0.3">
      <c r="C78" s="436">
        <f>технолог!V27</f>
        <v>3</v>
      </c>
      <c r="D78" s="416">
        <v>3</v>
      </c>
      <c r="E78" s="298">
        <f>E101</f>
        <v>118.68414720000001</v>
      </c>
      <c r="F78" s="299">
        <f>E105</f>
        <v>1820.5952</v>
      </c>
      <c r="G78" s="299">
        <f>E99+E100</f>
        <v>184.22491248</v>
      </c>
      <c r="H78" s="300">
        <f>VLOOKUP(технолог!G27,B110:BB122,53,0)</f>
        <v>31.238399999999999</v>
      </c>
      <c r="I78" s="424">
        <f>VLOOKUP(технолог!G27,B110:BA122,52,0)</f>
        <v>171.95000000000002</v>
      </c>
      <c r="J78" s="300">
        <f>VLOOKUP(технолог!G27,B110:BD122,55,0)</f>
        <v>1165.1499999999999</v>
      </c>
      <c r="K78" s="298">
        <f>VLOOKUP(технолог!G27,B110:BC122,54,0)</f>
        <v>171.95000000000002</v>
      </c>
      <c r="L78" s="300">
        <f>VLOOKUP(технолог!G27,B110:BD122,55,0)</f>
        <v>1165.1499999999999</v>
      </c>
      <c r="M78" s="298">
        <f>AX151</f>
        <v>26</v>
      </c>
      <c r="N78" s="300">
        <f>AX150+AX152+AY152+AX153</f>
        <v>8</v>
      </c>
      <c r="O78" s="298">
        <f>IF(VLOOKUP(D104,B110:BI122,60,0)&lt;0,0,VLOOKUP(D104,B110:BI122,60,0))+BG147*2</f>
        <v>60</v>
      </c>
      <c r="P78" s="425">
        <f>IF(BH147&gt;2000,8,0)</f>
        <v>8</v>
      </c>
      <c r="Q78" s="9">
        <f>M78*D44+N78*D43+O78*G44+P78*G43</f>
        <v>81920</v>
      </c>
      <c r="R78" s="9">
        <f>M78*D46+N78*D45+O78*G45</f>
        <v>56600</v>
      </c>
    </row>
    <row r="79" spans="3:59" x14ac:dyDescent="0.25">
      <c r="D79" s="2"/>
      <c r="E79" s="2"/>
      <c r="F79" s="2"/>
      <c r="G79" s="2"/>
      <c r="H79" s="267"/>
      <c r="I79" s="267"/>
      <c r="J79" s="267"/>
      <c r="K79" s="267"/>
      <c r="L79" s="267"/>
      <c r="M79" s="267"/>
      <c r="N79" s="267"/>
      <c r="O79" s="267"/>
    </row>
    <row r="80" spans="3:59" x14ac:dyDescent="0.25">
      <c r="D80" s="2"/>
      <c r="E80" s="2"/>
      <c r="F80" s="2"/>
      <c r="G80" s="2"/>
      <c r="H80" s="267"/>
      <c r="I80" s="267"/>
      <c r="J80" s="267"/>
      <c r="K80" s="267"/>
      <c r="L80" s="267"/>
      <c r="M80" s="267"/>
      <c r="N80" s="267"/>
      <c r="O80" s="267"/>
    </row>
    <row r="81" spans="4:46" x14ac:dyDescent="0.25">
      <c r="D81" s="2"/>
      <c r="E81" s="2"/>
      <c r="F81" s="2"/>
      <c r="G81" s="2"/>
      <c r="H81" s="267"/>
      <c r="I81" s="267"/>
      <c r="J81" s="267"/>
      <c r="K81" s="267"/>
      <c r="L81" s="267"/>
      <c r="M81" s="267"/>
      <c r="N81" s="267"/>
      <c r="O81" s="267"/>
    </row>
    <row r="82" spans="4:46" x14ac:dyDescent="0.25">
      <c r="D82" s="2"/>
      <c r="E82" s="2"/>
      <c r="F82" s="2"/>
      <c r="G82" s="2"/>
      <c r="H82" s="267"/>
      <c r="I82" s="267"/>
      <c r="J82" s="267"/>
      <c r="K82" s="267"/>
      <c r="L82" s="267"/>
      <c r="M82" s="267"/>
      <c r="N82" s="267"/>
      <c r="O82" s="267"/>
    </row>
    <row r="83" spans="4:46" x14ac:dyDescent="0.25">
      <c r="D83" s="2"/>
      <c r="E83" s="2"/>
      <c r="F83" s="2"/>
      <c r="G83" s="2"/>
      <c r="H83" s="267"/>
      <c r="I83" s="267"/>
      <c r="J83" s="267"/>
      <c r="K83" s="267"/>
      <c r="L83" s="267"/>
      <c r="M83" s="267"/>
      <c r="N83" s="267"/>
      <c r="O83" s="267"/>
    </row>
    <row r="84" spans="4:46" x14ac:dyDescent="0.25">
      <c r="D84" s="2"/>
      <c r="E84" s="2"/>
      <c r="F84" s="2"/>
      <c r="G84" s="2"/>
      <c r="H84" s="267"/>
      <c r="I84" s="267"/>
      <c r="J84" s="267"/>
      <c r="K84" s="267"/>
      <c r="L84" s="267"/>
      <c r="M84" s="267"/>
      <c r="N84" s="267"/>
      <c r="O84" s="267"/>
    </row>
    <row r="85" spans="4:46" x14ac:dyDescent="0.25">
      <c r="D85" s="2"/>
      <c r="E85" s="2"/>
      <c r="F85" s="2"/>
      <c r="G85" s="2"/>
      <c r="H85" s="267"/>
      <c r="I85" s="267"/>
      <c r="J85" s="267"/>
      <c r="K85" s="267"/>
      <c r="L85" s="267"/>
      <c r="M85" s="267"/>
      <c r="N85" s="267"/>
      <c r="O85" s="267"/>
    </row>
    <row r="86" spans="4:46" x14ac:dyDescent="0.25">
      <c r="D86" s="2"/>
      <c r="E86" s="2"/>
      <c r="F86" s="2"/>
      <c r="G86" s="2"/>
      <c r="H86" s="267"/>
      <c r="I86" s="267"/>
      <c r="J86" s="267"/>
      <c r="K86" s="267"/>
      <c r="L86" s="267"/>
      <c r="M86" s="267"/>
      <c r="N86" s="267"/>
      <c r="O86" s="267"/>
    </row>
    <row r="87" spans="4:46" x14ac:dyDescent="0.25">
      <c r="D87" s="2"/>
      <c r="E87" s="2"/>
      <c r="F87" s="2"/>
      <c r="G87" s="2"/>
      <c r="H87" s="267"/>
      <c r="I87" s="267"/>
      <c r="J87" s="267"/>
      <c r="K87" s="267"/>
      <c r="L87" s="267"/>
      <c r="M87" s="267"/>
      <c r="N87" s="267"/>
      <c r="O87" s="267"/>
    </row>
    <row r="91" spans="4:46" ht="15.75" thickBot="1" x14ac:dyDescent="0.3"/>
    <row r="92" spans="4:46" ht="15.75" thickBot="1" x14ac:dyDescent="0.3">
      <c r="D92" s="276" t="s">
        <v>272</v>
      </c>
      <c r="E92" s="277" t="s">
        <v>273</v>
      </c>
      <c r="G92" s="9" t="s">
        <v>373</v>
      </c>
    </row>
    <row r="93" spans="4:46" ht="15.75" thickBot="1" x14ac:dyDescent="0.3">
      <c r="D93" s="276" t="s">
        <v>274</v>
      </c>
      <c r="E93" s="278">
        <f>VLOOKUP(D104,B110:L122,11,0)</f>
        <v>29.625648000000002</v>
      </c>
      <c r="G93" s="421">
        <f>VLOOKUP(технолог!P27,AS47:AT53,2,)</f>
        <v>7.8799999999999999E-3</v>
      </c>
    </row>
    <row r="94" spans="4:46" ht="15.75" thickBot="1" x14ac:dyDescent="0.3">
      <c r="D94" s="276" t="s">
        <v>275</v>
      </c>
      <c r="E94" s="278">
        <f>VLOOKUP(D104,B110:O122,14,0)</f>
        <v>27.346752000000002</v>
      </c>
      <c r="AT94"/>
    </row>
    <row r="95" spans="4:46" ht="15.75" thickBot="1" x14ac:dyDescent="0.3">
      <c r="D95" s="276" t="s">
        <v>276</v>
      </c>
      <c r="E95" s="278">
        <f>VLOOKUP(D104,B110:R122,17,0)</f>
        <v>43.664025600000002</v>
      </c>
      <c r="G95" s="9" t="s">
        <v>374</v>
      </c>
      <c r="AT95"/>
    </row>
    <row r="96" spans="4:46" ht="15.75" thickBot="1" x14ac:dyDescent="0.3">
      <c r="D96" s="276" t="s">
        <v>277</v>
      </c>
      <c r="E96" s="278"/>
      <c r="G96" s="420">
        <f>VLOOKUP(технолог!Q27,AS47:AT53,2,)</f>
        <v>7.8799999999999999E-3</v>
      </c>
      <c r="AT96"/>
    </row>
    <row r="97" spans="2:61" ht="15.75" thickBot="1" x14ac:dyDescent="0.3">
      <c r="D97" s="276" t="s">
        <v>278</v>
      </c>
      <c r="E97" s="278">
        <f>VLOOKUP(D104,B110:AB122,27,0)</f>
        <v>9.0266976000000003</v>
      </c>
      <c r="AL97" s="237"/>
      <c r="AM97" s="237"/>
      <c r="AN97" s="237"/>
      <c r="AO97" s="237"/>
      <c r="AP97" s="237"/>
      <c r="AQ97" s="237"/>
      <c r="AR97" s="237"/>
      <c r="AS97" s="237"/>
      <c r="AT97"/>
    </row>
    <row r="98" spans="2:61" ht="15.75" thickBot="1" x14ac:dyDescent="0.3">
      <c r="D98" s="276" t="s">
        <v>279</v>
      </c>
      <c r="E98" s="278">
        <f>VLOOKUP(D104,B110:AE122,30,0)</f>
        <v>9.0210239999999988</v>
      </c>
      <c r="G98" s="279" t="s">
        <v>307</v>
      </c>
      <c r="H98" s="279" t="s">
        <v>308</v>
      </c>
      <c r="I98" s="276"/>
      <c r="AL98" s="237"/>
      <c r="AM98" s="237"/>
      <c r="AN98" s="237"/>
      <c r="AO98" s="237"/>
      <c r="AP98" s="237"/>
      <c r="AQ98" s="237"/>
      <c r="AR98" s="237"/>
      <c r="AS98" s="237"/>
      <c r="AT98"/>
    </row>
    <row r="99" spans="2:61" ht="15.75" thickBot="1" x14ac:dyDescent="0.3">
      <c r="D99" s="276" t="s">
        <v>280</v>
      </c>
      <c r="E99" s="278">
        <f>VLOOKUP(D104,B110:AH122,33,0)</f>
        <v>92.228906879999997</v>
      </c>
      <c r="G99" s="303">
        <f>технолог!T27+технолог!U27</f>
        <v>6</v>
      </c>
      <c r="H99" s="572">
        <f>G99*технолог!I27</f>
        <v>2400</v>
      </c>
      <c r="I99" s="573"/>
      <c r="AL99" s="237"/>
      <c r="AM99" s="237"/>
      <c r="AN99" s="237"/>
      <c r="AO99" s="237"/>
      <c r="AP99" s="237"/>
      <c r="AQ99" s="237"/>
      <c r="AR99" s="237"/>
      <c r="AS99" s="237"/>
      <c r="AT99"/>
    </row>
    <row r="100" spans="2:61" ht="15.75" thickBot="1" x14ac:dyDescent="0.3">
      <c r="D100" s="276" t="s">
        <v>281</v>
      </c>
      <c r="E100" s="278">
        <f>VLOOKUP(D104,B110:AK122,36,0)</f>
        <v>91.996005600000004</v>
      </c>
      <c r="AL100" s="237"/>
      <c r="AM100" s="237"/>
      <c r="AN100" s="237"/>
      <c r="AO100" s="237"/>
      <c r="AP100" s="237"/>
      <c r="AQ100" s="237"/>
      <c r="AR100" s="237"/>
      <c r="AS100" s="237"/>
      <c r="AT100"/>
    </row>
    <row r="101" spans="2:61" ht="15.75" thickBot="1" x14ac:dyDescent="0.3">
      <c r="D101" s="279" t="s">
        <v>16</v>
      </c>
      <c r="E101" s="280">
        <f>SUM(E93:E98)</f>
        <v>118.68414720000001</v>
      </c>
      <c r="AL101" s="237"/>
      <c r="AM101" s="237"/>
      <c r="AN101" s="237"/>
      <c r="AO101" s="237"/>
      <c r="AP101" s="237"/>
      <c r="AQ101" s="237"/>
      <c r="AR101" s="237"/>
      <c r="AS101" s="237"/>
      <c r="AT101"/>
    </row>
    <row r="102" spans="2:61" ht="15.75" thickBot="1" x14ac:dyDescent="0.3">
      <c r="D102"/>
      <c r="E102"/>
      <c r="AL102" s="237"/>
      <c r="AM102" s="237"/>
      <c r="AN102" s="237"/>
      <c r="AO102" s="237"/>
      <c r="AP102" s="237"/>
      <c r="AQ102" s="237"/>
      <c r="AR102" s="237"/>
      <c r="AS102" s="237"/>
      <c r="AT102"/>
    </row>
    <row r="103" spans="2:61" ht="15.75" thickBot="1" x14ac:dyDescent="0.3">
      <c r="D103" s="276" t="s">
        <v>282</v>
      </c>
      <c r="E103" s="276"/>
      <c r="AL103"/>
      <c r="AM103" t="s">
        <v>332</v>
      </c>
      <c r="AN103"/>
      <c r="AO103"/>
      <c r="AP103"/>
      <c r="AQ103" t="s">
        <v>333</v>
      </c>
      <c r="AR103"/>
      <c r="AS103"/>
      <c r="AT103"/>
    </row>
    <row r="104" spans="2:61" ht="15.75" thickBot="1" x14ac:dyDescent="0.3">
      <c r="D104" s="276" t="str">
        <f>технолог!G27</f>
        <v>К4-750</v>
      </c>
      <c r="E104" s="278">
        <f>VLOOKUP(D104,B110:H122,7,0)</f>
        <v>1820.5952</v>
      </c>
      <c r="AL104" s="257" t="s">
        <v>334</v>
      </c>
      <c r="AM104" s="258"/>
      <c r="AN104" s="259"/>
      <c r="AO104" s="310" t="s">
        <v>335</v>
      </c>
      <c r="AP104" s="257" t="s">
        <v>334</v>
      </c>
      <c r="AQ104" s="258"/>
      <c r="AR104" s="259"/>
      <c r="AS104" s="310" t="s">
        <v>335</v>
      </c>
      <c r="AT104"/>
    </row>
    <row r="105" spans="2:61" ht="15.75" thickBot="1" x14ac:dyDescent="0.3">
      <c r="D105" s="276" t="s">
        <v>16</v>
      </c>
      <c r="E105" s="280">
        <f>E104</f>
        <v>1820.5952</v>
      </c>
      <c r="AL105" s="264" t="str">
        <f>LEFT(технолог!H27)</f>
        <v>1</v>
      </c>
      <c r="AM105" s="265" t="str">
        <f>MID(технолог!H27,2,1)</f>
        <v>/</v>
      </c>
      <c r="AN105" s="266" t="str">
        <f>IF(AM105="/","",AM105)</f>
        <v/>
      </c>
      <c r="AO105" s="311">
        <f>VALUE(CONCATENATE(AL105,AN105))</f>
        <v>1</v>
      </c>
      <c r="AP105" s="264" t="str">
        <f>RIGHT(технолог!H27,2)</f>
        <v>/6</v>
      </c>
      <c r="AQ105" s="265" t="str">
        <f>LEFT(AP105)</f>
        <v>/</v>
      </c>
      <c r="AR105" s="266" t="str">
        <f>RIGHT(AP105)</f>
        <v>6</v>
      </c>
      <c r="AS105" s="311">
        <f>VALUE(IF(LEFT(AP105)="/",AR105,AP105))</f>
        <v>6</v>
      </c>
      <c r="AT105"/>
    </row>
    <row r="106" spans="2:61" x14ac:dyDescent="0.25">
      <c r="AO106" s="9" t="b">
        <f>ISEVEN(AO105)</f>
        <v>0</v>
      </c>
      <c r="AS106" s="9" t="b">
        <f>ISEVEN(AS105)</f>
        <v>1</v>
      </c>
    </row>
    <row r="107" spans="2:61" ht="15.75" thickBot="1" x14ac:dyDescent="0.3">
      <c r="T107" s="322"/>
      <c r="U107" s="322"/>
      <c r="V107" s="322" t="s">
        <v>309</v>
      </c>
      <c r="W107" s="322"/>
      <c r="X107" s="322"/>
      <c r="Y107" s="322"/>
    </row>
    <row r="108" spans="2:61" ht="15.75" thickBot="1" x14ac:dyDescent="0.3">
      <c r="B108" s="290" t="s">
        <v>283</v>
      </c>
      <c r="C108" s="326"/>
      <c r="D108" s="326"/>
      <c r="E108" s="327"/>
      <c r="F108" s="327"/>
      <c r="G108" s="326"/>
      <c r="H108" s="277"/>
      <c r="I108" s="276"/>
      <c r="J108" s="276" t="s">
        <v>284</v>
      </c>
      <c r="K108" s="279" t="s">
        <v>285</v>
      </c>
      <c r="L108" s="276" t="s">
        <v>286</v>
      </c>
      <c r="M108" s="276" t="s">
        <v>284</v>
      </c>
      <c r="N108" s="279" t="s">
        <v>285</v>
      </c>
      <c r="O108" s="279" t="s">
        <v>286</v>
      </c>
      <c r="P108" s="276" t="s">
        <v>285</v>
      </c>
      <c r="Q108" s="276" t="s">
        <v>284</v>
      </c>
      <c r="R108" s="279" t="s">
        <v>287</v>
      </c>
      <c r="S108" s="276" t="s">
        <v>284</v>
      </c>
      <c r="T108" s="312" t="s">
        <v>284</v>
      </c>
      <c r="U108" s="312" t="s">
        <v>285</v>
      </c>
      <c r="V108" s="312" t="s">
        <v>288</v>
      </c>
      <c r="W108" s="312" t="s">
        <v>284</v>
      </c>
      <c r="X108" s="312" t="s">
        <v>289</v>
      </c>
      <c r="Y108" s="312" t="s">
        <v>290</v>
      </c>
      <c r="Z108" s="279" t="s">
        <v>284</v>
      </c>
      <c r="AA108" s="279" t="s">
        <v>331</v>
      </c>
      <c r="AB108" s="279" t="s">
        <v>288</v>
      </c>
      <c r="AC108" s="279" t="s">
        <v>284</v>
      </c>
      <c r="AD108" s="279" t="s">
        <v>331</v>
      </c>
      <c r="AE108" s="279" t="s">
        <v>288</v>
      </c>
      <c r="AF108" s="281" t="s">
        <v>285</v>
      </c>
      <c r="AG108" s="282" t="s">
        <v>284</v>
      </c>
      <c r="AH108" s="282" t="s">
        <v>288</v>
      </c>
      <c r="AI108" s="282" t="s">
        <v>285</v>
      </c>
      <c r="AJ108" s="282" t="s">
        <v>284</v>
      </c>
      <c r="AK108" s="283" t="s">
        <v>288</v>
      </c>
      <c r="AO108" s="322" t="s">
        <v>330</v>
      </c>
    </row>
    <row r="109" spans="2:61" ht="75.75" customHeight="1" thickBot="1" x14ac:dyDescent="0.3">
      <c r="B109" s="257" t="s">
        <v>291</v>
      </c>
      <c r="C109" s="258" t="s">
        <v>285</v>
      </c>
      <c r="D109" s="258" t="s">
        <v>284</v>
      </c>
      <c r="E109" s="302" t="s">
        <v>304</v>
      </c>
      <c r="F109" s="302" t="s">
        <v>305</v>
      </c>
      <c r="G109" s="284" t="s">
        <v>292</v>
      </c>
      <c r="H109" s="279" t="s">
        <v>306</v>
      </c>
      <c r="I109" s="279" t="s">
        <v>293</v>
      </c>
      <c r="J109" s="566" t="s">
        <v>294</v>
      </c>
      <c r="K109" s="567"/>
      <c r="L109" s="568"/>
      <c r="M109" s="566" t="s">
        <v>295</v>
      </c>
      <c r="N109" s="567"/>
      <c r="O109" s="568"/>
      <c r="P109" s="574" t="s">
        <v>296</v>
      </c>
      <c r="Q109" s="575"/>
      <c r="R109" s="576"/>
      <c r="S109" s="309" t="s">
        <v>297</v>
      </c>
      <c r="T109" s="577" t="s">
        <v>298</v>
      </c>
      <c r="U109" s="578"/>
      <c r="V109" s="579"/>
      <c r="W109" s="577" t="s">
        <v>299</v>
      </c>
      <c r="X109" s="578"/>
      <c r="Y109" s="579"/>
      <c r="Z109" s="566" t="s">
        <v>300</v>
      </c>
      <c r="AA109" s="567"/>
      <c r="AB109" s="568"/>
      <c r="AC109" s="566" t="s">
        <v>301</v>
      </c>
      <c r="AD109" s="567"/>
      <c r="AE109" s="568"/>
      <c r="AF109" s="569" t="s">
        <v>302</v>
      </c>
      <c r="AG109" s="570"/>
      <c r="AH109" s="571"/>
      <c r="AI109" s="569" t="s">
        <v>303</v>
      </c>
      <c r="AJ109" s="570"/>
      <c r="AK109" s="571"/>
      <c r="AL109" s="257" t="s">
        <v>310</v>
      </c>
      <c r="AM109" s="258" t="s">
        <v>311</v>
      </c>
      <c r="AN109" s="258" t="s">
        <v>312</v>
      </c>
      <c r="AO109" s="314" t="s">
        <v>298</v>
      </c>
      <c r="AP109" s="258" t="s">
        <v>313</v>
      </c>
      <c r="AQ109" s="258" t="s">
        <v>314</v>
      </c>
      <c r="AR109" s="258" t="s">
        <v>315</v>
      </c>
      <c r="AS109" s="259" t="s">
        <v>316</v>
      </c>
      <c r="AT109" s="427" t="s">
        <v>317</v>
      </c>
      <c r="AU109" s="428" t="s">
        <v>318</v>
      </c>
      <c r="AV109" s="429" t="s">
        <v>319</v>
      </c>
      <c r="AW109" s="427" t="s">
        <v>302</v>
      </c>
      <c r="AX109" s="429" t="s">
        <v>320</v>
      </c>
      <c r="AY109" s="427" t="s">
        <v>321</v>
      </c>
      <c r="AZ109" s="429" t="s">
        <v>322</v>
      </c>
      <c r="BA109" s="431" t="s">
        <v>377</v>
      </c>
      <c r="BB109" s="435" t="s">
        <v>378</v>
      </c>
      <c r="BC109" s="432" t="s">
        <v>323</v>
      </c>
      <c r="BD109" s="430" t="s">
        <v>324</v>
      </c>
      <c r="BE109" s="431" t="s">
        <v>325</v>
      </c>
      <c r="BF109" s="432" t="s">
        <v>326</v>
      </c>
      <c r="BG109" s="290" t="s">
        <v>327</v>
      </c>
      <c r="BH109" s="277" t="s">
        <v>328</v>
      </c>
      <c r="BI109" s="310" t="s">
        <v>329</v>
      </c>
    </row>
    <row r="110" spans="2:61" ht="15.75" thickBot="1" x14ac:dyDescent="0.3">
      <c r="B110" s="260" t="s">
        <v>66</v>
      </c>
      <c r="C110" s="304">
        <v>143</v>
      </c>
      <c r="D110" s="304">
        <v>128</v>
      </c>
      <c r="E110" s="304">
        <v>162</v>
      </c>
      <c r="F110" s="304">
        <v>147</v>
      </c>
      <c r="G110" s="305">
        <f>технолог!U27</f>
        <v>1</v>
      </c>
      <c r="H110" s="323">
        <f>(E110+15)*(F110+15)*G110*$G$93/1000*(технолог!$I$27)</f>
        <v>90.380448000000001</v>
      </c>
      <c r="I110" s="281">
        <v>40</v>
      </c>
      <c r="J110" s="285">
        <f>I110+20</f>
        <v>60</v>
      </c>
      <c r="K110" s="286">
        <f t="shared" ref="K110:K122" si="6">$H$99+10</f>
        <v>2410</v>
      </c>
      <c r="L110" s="286">
        <f>J110*K110*$D$78*$G$93/1000*4</f>
        <v>13.673376000000001</v>
      </c>
      <c r="M110" s="285">
        <f>I110+10</f>
        <v>50</v>
      </c>
      <c r="N110" s="286">
        <f t="shared" ref="N110:N122" si="7">$H$99+10</f>
        <v>2410</v>
      </c>
      <c r="O110" s="259">
        <f>M110*N110*$D$78*$G$93/1000*4</f>
        <v>11.39448</v>
      </c>
      <c r="P110" s="285">
        <f>C110+2*I110+10</f>
        <v>233</v>
      </c>
      <c r="Q110" s="286">
        <f>D110+15+2*I110+10</f>
        <v>233</v>
      </c>
      <c r="R110" s="286">
        <f>P110*Q110*$D$78*$G$93/1000*2</f>
        <v>2.5667839199999998</v>
      </c>
      <c r="S110" s="309">
        <v>11</v>
      </c>
      <c r="T110" s="313">
        <f>S110+5</f>
        <v>16</v>
      </c>
      <c r="U110" s="314">
        <f>E125-49-49+6</f>
        <v>-92</v>
      </c>
      <c r="V110" s="315" t="e">
        <f>T110*U110*#REF!*D141/1000*8</f>
        <v>#REF!</v>
      </c>
      <c r="W110" s="314">
        <f>49+S110</f>
        <v>60</v>
      </c>
      <c r="X110" s="314">
        <f t="shared" ref="X110:X122" si="8">C110+S110*2</f>
        <v>165</v>
      </c>
      <c r="Y110" s="315">
        <f t="shared" ref="Y110:Y122" si="9">D110+S110*2</f>
        <v>150</v>
      </c>
      <c r="Z110" s="257">
        <f>S110+5</f>
        <v>16</v>
      </c>
      <c r="AA110" s="258">
        <f>($H$99+S110)*2+(C110+S110)*2</f>
        <v>5130</v>
      </c>
      <c r="AB110" s="259">
        <f>Z110*AA110*$D$78*$G$93/1000*2</f>
        <v>3.8807423999999999</v>
      </c>
      <c r="AC110" s="257">
        <f>S110+5</f>
        <v>16</v>
      </c>
      <c r="AD110" s="258">
        <f>($H$99+S110)*2+(D110+15+S110)*2</f>
        <v>5130</v>
      </c>
      <c r="AE110" s="259">
        <f>AC110*AD110*$D$78*$G$93/1000*2</f>
        <v>3.8807423999999999</v>
      </c>
      <c r="AF110" s="257">
        <f t="shared" ref="AF110:AF122" si="10">$H$99+S110+S110+3+10</f>
        <v>2435</v>
      </c>
      <c r="AG110" s="258">
        <f>C110+2*S110+10</f>
        <v>175</v>
      </c>
      <c r="AH110" s="259">
        <f>AF110*AG110*$C$78*$G$96/1000*2</f>
        <v>20.147189999999998</v>
      </c>
      <c r="AI110" s="257">
        <f t="shared" ref="AI110:AI122" si="11">$H$99+S110+S110+3+10</f>
        <v>2435</v>
      </c>
      <c r="AJ110" s="258">
        <f>D110+15+2*S110+10</f>
        <v>175</v>
      </c>
      <c r="AK110" s="259">
        <f>AI110*AJ110*$C$78*$G$96/1000*2</f>
        <v>20.147189999999998</v>
      </c>
      <c r="AL110" s="337">
        <f>(технолог!$I$27/2*((5+6)*2+технолог!$T$27-0.5)+J110*2+K110)/1000*4</f>
        <v>31.32</v>
      </c>
      <c r="AM110" s="337">
        <f>(M110*2+N110*2)/1000*4</f>
        <v>19.68</v>
      </c>
      <c r="AN110" s="337">
        <f>(P110*2+Q110*2)/1000*2</f>
        <v>1.8640000000000001</v>
      </c>
      <c r="AO110" s="377">
        <f>(S110*2+T110*2)/1000*8</f>
        <v>0.432</v>
      </c>
      <c r="AP110" s="337">
        <f>(AA110*2+S110*8)/1000*4</f>
        <v>41.392000000000003</v>
      </c>
      <c r="AQ110" s="337">
        <f>(AD110*2+S110*8)/1000*4</f>
        <v>41.392000000000003</v>
      </c>
      <c r="AR110" s="337">
        <f>((C110+20)*2+(50+I110)*2)/1000*($AO$105-1)</f>
        <v>0</v>
      </c>
      <c r="AS110" s="338">
        <f>((D110)*2+(50+I110)*2)/1000*($AS$105-1)</f>
        <v>2.1800000000000002</v>
      </c>
      <c r="AT110" s="336">
        <f>(40*2+(C110+20)*2)/1000*($AO$105-1)</f>
        <v>0</v>
      </c>
      <c r="AU110" s="337">
        <f>(40*2+(D110*2))/1000*($AS$105-1)</f>
        <v>1.6800000000000002</v>
      </c>
      <c r="AV110" s="338">
        <f>(C110*2+D110*2)*технолог!$I$27/1000</f>
        <v>216.8</v>
      </c>
      <c r="AW110" s="336">
        <f>(AF110*2+AG110*2)*2/1000+AY110</f>
        <v>11.484</v>
      </c>
      <c r="AX110" s="338">
        <f>(AI110*2+AJ110*2)*2/1000+AZ110</f>
        <v>11.484</v>
      </c>
      <c r="AY110" s="336">
        <f>(AF110/100+AG110/100)*20/1000*2</f>
        <v>1.044</v>
      </c>
      <c r="AZ110" s="337">
        <f>((AI110/100+AJ110/100)*20)/1000*2</f>
        <v>1.044</v>
      </c>
      <c r="BA110" s="336">
        <f>SUM(AL110:AN110,AP110:AS110)</f>
        <v>137.828</v>
      </c>
      <c r="BB110" s="337">
        <f>SUM(AW110:AZ110)</f>
        <v>25.056000000000001</v>
      </c>
      <c r="BC110" s="338">
        <f>SUM(AL110:AN110,AP110:AS110)</f>
        <v>137.828</v>
      </c>
      <c r="BD110" s="336">
        <f>SUM(AT110:AV110)</f>
        <v>218.48000000000002</v>
      </c>
      <c r="BE110" s="359">
        <f>$AZ$134+$BA$134</f>
        <v>14</v>
      </c>
      <c r="BF110" s="360">
        <f>$BC$134+$BD$134</f>
        <v>8</v>
      </c>
      <c r="BG110" s="329">
        <f>C110</f>
        <v>143</v>
      </c>
      <c r="BH110" s="329">
        <f>D110+15</f>
        <v>143</v>
      </c>
      <c r="BI110" s="364">
        <f>($AZ$134+$BA$134+$BC$134+$BD$134)*2</f>
        <v>44</v>
      </c>
    </row>
    <row r="111" spans="2:61" ht="15.75" thickBot="1" x14ac:dyDescent="0.3">
      <c r="B111" s="289" t="s">
        <v>63</v>
      </c>
      <c r="C111" s="288">
        <v>227</v>
      </c>
      <c r="D111" s="288">
        <v>212</v>
      </c>
      <c r="E111" s="288">
        <v>245</v>
      </c>
      <c r="F111" s="288">
        <v>235</v>
      </c>
      <c r="G111" s="305">
        <f>технолог!U27</f>
        <v>1</v>
      </c>
      <c r="H111" s="324">
        <f>(E111+15)*(F111+15)*G111*$G$93/1000*(технолог!$I$27)</f>
        <v>204.88000000000005</v>
      </c>
      <c r="I111" s="290">
        <v>40</v>
      </c>
      <c r="J111" s="287">
        <f t="shared" ref="J111:J122" si="12">I111+20</f>
        <v>60</v>
      </c>
      <c r="K111" s="288">
        <f t="shared" si="6"/>
        <v>2410</v>
      </c>
      <c r="L111" s="288">
        <f t="shared" ref="L111:L122" si="13">J111*K111*$D$78*$G$93/1000*4</f>
        <v>13.673376000000001</v>
      </c>
      <c r="M111" s="287">
        <f t="shared" ref="M111:M122" si="14">I111+10</f>
        <v>50</v>
      </c>
      <c r="N111" s="288">
        <f t="shared" si="7"/>
        <v>2410</v>
      </c>
      <c r="O111" s="261">
        <f t="shared" ref="O111:O122" si="15">M111*N111*$D$78*$G$93/1000*4</f>
        <v>11.39448</v>
      </c>
      <c r="P111" s="287">
        <f t="shared" ref="P111:P122" si="16">C111+2*I111+10</f>
        <v>317</v>
      </c>
      <c r="Q111" s="288">
        <f t="shared" ref="Q111:Q122" si="17">D111+15+2*I111+10</f>
        <v>317</v>
      </c>
      <c r="R111" s="288">
        <f t="shared" ref="R111:R122" si="18">P111*Q111*$D$78*$G$93/1000*2</f>
        <v>4.7511199199999998</v>
      </c>
      <c r="S111" s="260">
        <v>11</v>
      </c>
      <c r="T111" s="316">
        <f>S111+10</f>
        <v>21</v>
      </c>
      <c r="U111" s="317">
        <f>E125-49-49+6</f>
        <v>-92</v>
      </c>
      <c r="V111" s="318" t="e">
        <f>T111*U111*#REF!*D141/1000*8</f>
        <v>#REF!</v>
      </c>
      <c r="W111" s="317">
        <f t="shared" ref="W111:W120" si="19">49+S111</f>
        <v>60</v>
      </c>
      <c r="X111" s="317">
        <f t="shared" si="8"/>
        <v>249</v>
      </c>
      <c r="Y111" s="318">
        <f t="shared" si="9"/>
        <v>234</v>
      </c>
      <c r="Z111" s="260">
        <f t="shared" ref="Z111:Z122" si="20">S111+5</f>
        <v>16</v>
      </c>
      <c r="AA111" s="237">
        <f t="shared" ref="AA111:AA122" si="21">($H$99+S111)*2+(C111+S111)*2</f>
        <v>5298</v>
      </c>
      <c r="AB111" s="261">
        <f t="shared" ref="AB111:AB122" si="22">Z111*AA111*$D$78*$G$93/1000*2</f>
        <v>4.0078310400000001</v>
      </c>
      <c r="AC111" s="260">
        <f t="shared" ref="AC111:AC122" si="23">S111+5</f>
        <v>16</v>
      </c>
      <c r="AD111" s="237">
        <f t="shared" ref="AD111:AD122" si="24">($H$99+S111)*2+(D111+15+S111)*2</f>
        <v>5298</v>
      </c>
      <c r="AE111" s="261">
        <f t="shared" ref="AE111:AE122" si="25">AC111*AD111*$D$78*$G$93/1000*2</f>
        <v>4.0078310400000001</v>
      </c>
      <c r="AF111" s="260">
        <f t="shared" si="10"/>
        <v>2435</v>
      </c>
      <c r="AG111" s="237">
        <f t="shared" ref="AG111:AG122" si="26">C111+2*S111+10</f>
        <v>259</v>
      </c>
      <c r="AH111" s="261">
        <f t="shared" ref="AH111:AH122" si="27">AF111*AG111*$C$78*$G$96/1000*2</f>
        <v>29.8178412</v>
      </c>
      <c r="AI111" s="260">
        <f t="shared" si="11"/>
        <v>2435</v>
      </c>
      <c r="AJ111" s="237">
        <f t="shared" ref="AJ111:AJ122" si="28">D111+15+2*S111+10</f>
        <v>259</v>
      </c>
      <c r="AK111" s="261">
        <f t="shared" ref="AK111:AK122" si="29">AI111*AJ111*$C$78*$G$96/1000*2</f>
        <v>29.8178412</v>
      </c>
      <c r="AL111" s="329">
        <f>(технолог!$I$27/2*((5+6)*2+технолог!$T$27-0.5)+J111*2+K111)/1000*4</f>
        <v>31.32</v>
      </c>
      <c r="AM111" s="329">
        <f t="shared" ref="AM111:AM122" si="30">(M111*2+N111*2)/1000*4</f>
        <v>19.68</v>
      </c>
      <c r="AN111" s="329">
        <f t="shared" ref="AN111:AN122" si="31">(P111*2+Q111*2)/1000*2</f>
        <v>2.536</v>
      </c>
      <c r="AO111" s="330">
        <f t="shared" ref="AO111:AO121" si="32">(S111*2+T111*2)/1000*8</f>
        <v>0.51200000000000001</v>
      </c>
      <c r="AP111" s="329">
        <f t="shared" ref="AP111:AP122" si="33">(AA111*2+S111*8)/1000*4</f>
        <v>42.735999999999997</v>
      </c>
      <c r="AQ111" s="329">
        <f t="shared" ref="AQ111:AQ122" si="34">(AD111*2+S111*8)/1000*4</f>
        <v>42.735999999999997</v>
      </c>
      <c r="AR111" s="329">
        <f t="shared" ref="AR111:AR122" si="35">((C111+20)*2+(50+I111)*2)/1000*($AO$105-1)</f>
        <v>0</v>
      </c>
      <c r="AS111" s="331">
        <f t="shared" ref="AS111:AS122" si="36">((D111)*2+(50+I111)*2)/1000*($AS$105-1)</f>
        <v>3.02</v>
      </c>
      <c r="AT111" s="328">
        <f t="shared" ref="AT111:AT122" si="37">(40*2+(C111+20)*2)/1000*($AO$105-1)</f>
        <v>0</v>
      </c>
      <c r="AU111" s="329">
        <f t="shared" ref="AU111:AU122" si="38">(40*2+(D111*2))/1000*($AS$105-1)</f>
        <v>2.52</v>
      </c>
      <c r="AV111" s="331">
        <f>(C111*2+D111*2)*технолог!$I$27/1000</f>
        <v>351.2</v>
      </c>
      <c r="AW111" s="328">
        <f t="shared" ref="AW111:AW122" si="39">(AF111*2+AG111*2)*2/1000+AY111</f>
        <v>11.8536</v>
      </c>
      <c r="AX111" s="331">
        <f t="shared" ref="AX111:AX122" si="40">(AI111*2+AJ111*2)*2/1000+AZ111</f>
        <v>11.8536</v>
      </c>
      <c r="AY111" s="328">
        <f t="shared" ref="AY111:AY122" si="41">(AF111/100+AG111/100)*20/1000*2</f>
        <v>1.0776000000000001</v>
      </c>
      <c r="AZ111" s="329">
        <f t="shared" ref="AZ111:AZ122" si="42">((AI111/100+AJ111/100)*20)/1000*2</f>
        <v>1.0776000000000001</v>
      </c>
      <c r="BA111" s="328">
        <f t="shared" ref="BA111:BA122" si="43">SUM(AL111:AN111,AP111:AS111)</f>
        <v>142.02799999999999</v>
      </c>
      <c r="BB111" s="329">
        <f t="shared" ref="BB111:BB122" si="44">SUM(AW111:AZ111)</f>
        <v>25.862400000000001</v>
      </c>
      <c r="BC111" s="331">
        <f t="shared" ref="BC111:BC122" si="45">SUM(AL111:AN111,AP111:AS111)</f>
        <v>142.02799999999999</v>
      </c>
      <c r="BD111" s="328">
        <f t="shared" ref="BD111:BD122" si="46">SUM(AT111:AV111)</f>
        <v>353.71999999999997</v>
      </c>
      <c r="BE111" s="361">
        <f t="shared" ref="BE111:BE122" si="47">$AZ$134+$BA$134</f>
        <v>14</v>
      </c>
      <c r="BF111" s="362">
        <f t="shared" ref="BF111:BF122" si="48">$BC$134+$BD$134</f>
        <v>8</v>
      </c>
      <c r="BG111" s="329">
        <f t="shared" ref="BG111:BG122" si="49">C111</f>
        <v>227</v>
      </c>
      <c r="BH111" s="329">
        <f t="shared" ref="BH111:BH121" si="50">D111+15</f>
        <v>227</v>
      </c>
      <c r="BI111" s="365">
        <f t="shared" ref="BI111:BI122" si="51">($AZ$134+$BA$134+$BC$134+$BD$134)*2</f>
        <v>44</v>
      </c>
    </row>
    <row r="112" spans="2:61" ht="15.75" thickBot="1" x14ac:dyDescent="0.3">
      <c r="B112" s="291" t="s">
        <v>64</v>
      </c>
      <c r="C112" s="304">
        <v>302</v>
      </c>
      <c r="D112" s="304">
        <v>287</v>
      </c>
      <c r="E112" s="304">
        <v>320</v>
      </c>
      <c r="F112" s="304">
        <v>300</v>
      </c>
      <c r="G112" s="305">
        <f>технолог!U27</f>
        <v>1</v>
      </c>
      <c r="H112" s="324">
        <f>(E112+15)*(F112+15)*G112*$G$93/1000*(технолог!$I$27)</f>
        <v>332.61480000000006</v>
      </c>
      <c r="I112" s="290">
        <v>50</v>
      </c>
      <c r="J112" s="287">
        <f t="shared" si="12"/>
        <v>70</v>
      </c>
      <c r="K112" s="288">
        <f t="shared" si="6"/>
        <v>2410</v>
      </c>
      <c r="L112" s="288">
        <f t="shared" si="13"/>
        <v>15.952271999999999</v>
      </c>
      <c r="M112" s="287">
        <f t="shared" si="14"/>
        <v>60</v>
      </c>
      <c r="N112" s="288">
        <f t="shared" si="7"/>
        <v>2410</v>
      </c>
      <c r="O112" s="261">
        <f t="shared" si="15"/>
        <v>13.673376000000001</v>
      </c>
      <c r="P112" s="287">
        <f t="shared" si="16"/>
        <v>412</v>
      </c>
      <c r="Q112" s="288">
        <f t="shared" si="17"/>
        <v>412</v>
      </c>
      <c r="R112" s="288">
        <f t="shared" si="18"/>
        <v>8.0254963200000002</v>
      </c>
      <c r="S112" s="260">
        <v>11</v>
      </c>
      <c r="T112" s="316">
        <f t="shared" ref="T112:T120" si="52">S112+10</f>
        <v>21</v>
      </c>
      <c r="U112" s="317">
        <f>E125-49-49+6</f>
        <v>-92</v>
      </c>
      <c r="V112" s="318" t="e">
        <f>T112*U112*#REF!*D141/1000*8</f>
        <v>#REF!</v>
      </c>
      <c r="W112" s="317">
        <f t="shared" si="19"/>
        <v>60</v>
      </c>
      <c r="X112" s="317">
        <f t="shared" si="8"/>
        <v>324</v>
      </c>
      <c r="Y112" s="318">
        <f t="shared" si="9"/>
        <v>309</v>
      </c>
      <c r="Z112" s="260">
        <f t="shared" si="20"/>
        <v>16</v>
      </c>
      <c r="AA112" s="237">
        <f t="shared" si="21"/>
        <v>5448</v>
      </c>
      <c r="AB112" s="261">
        <f t="shared" si="22"/>
        <v>4.1213030399999999</v>
      </c>
      <c r="AC112" s="260">
        <f t="shared" si="23"/>
        <v>16</v>
      </c>
      <c r="AD112" s="237">
        <f t="shared" si="24"/>
        <v>5448</v>
      </c>
      <c r="AE112" s="261">
        <f t="shared" si="25"/>
        <v>4.1213030399999999</v>
      </c>
      <c r="AF112" s="260">
        <f t="shared" si="10"/>
        <v>2435</v>
      </c>
      <c r="AG112" s="237">
        <f t="shared" si="26"/>
        <v>334</v>
      </c>
      <c r="AH112" s="261">
        <f t="shared" si="27"/>
        <v>38.452351199999995</v>
      </c>
      <c r="AI112" s="260">
        <f t="shared" si="11"/>
        <v>2435</v>
      </c>
      <c r="AJ112" s="237">
        <f t="shared" si="28"/>
        <v>334</v>
      </c>
      <c r="AK112" s="261">
        <f t="shared" si="29"/>
        <v>38.452351199999995</v>
      </c>
      <c r="AL112" s="329">
        <f>(технолог!$I$27/2*((5+6)*2+технолог!$T$27-0.5)+J112*2+K112)/1000*4</f>
        <v>31.4</v>
      </c>
      <c r="AM112" s="329">
        <f t="shared" si="30"/>
        <v>19.760000000000002</v>
      </c>
      <c r="AN112" s="329">
        <f t="shared" si="31"/>
        <v>3.2959999999999998</v>
      </c>
      <c r="AO112" s="330">
        <f t="shared" si="32"/>
        <v>0.51200000000000001</v>
      </c>
      <c r="AP112" s="329">
        <f t="shared" si="33"/>
        <v>43.936</v>
      </c>
      <c r="AQ112" s="329">
        <f t="shared" si="34"/>
        <v>43.936</v>
      </c>
      <c r="AR112" s="329">
        <f t="shared" si="35"/>
        <v>0</v>
      </c>
      <c r="AS112" s="331">
        <f t="shared" si="36"/>
        <v>3.87</v>
      </c>
      <c r="AT112" s="328">
        <f t="shared" si="37"/>
        <v>0</v>
      </c>
      <c r="AU112" s="329">
        <f t="shared" si="38"/>
        <v>3.27</v>
      </c>
      <c r="AV112" s="331">
        <f>(C112*2+D112*2)*технолог!$I$27/1000</f>
        <v>471.2</v>
      </c>
      <c r="AW112" s="328">
        <f t="shared" si="39"/>
        <v>12.1836</v>
      </c>
      <c r="AX112" s="331">
        <f t="shared" si="40"/>
        <v>12.1836</v>
      </c>
      <c r="AY112" s="328">
        <f t="shared" si="41"/>
        <v>1.1076000000000001</v>
      </c>
      <c r="AZ112" s="329">
        <f t="shared" si="42"/>
        <v>1.1076000000000001</v>
      </c>
      <c r="BA112" s="328">
        <f t="shared" si="43"/>
        <v>146.19800000000001</v>
      </c>
      <c r="BB112" s="329">
        <f t="shared" si="44"/>
        <v>26.582400000000003</v>
      </c>
      <c r="BC112" s="331">
        <f t="shared" si="45"/>
        <v>146.19800000000001</v>
      </c>
      <c r="BD112" s="328">
        <f t="shared" si="46"/>
        <v>474.46999999999997</v>
      </c>
      <c r="BE112" s="361">
        <f t="shared" si="47"/>
        <v>14</v>
      </c>
      <c r="BF112" s="362">
        <f t="shared" si="48"/>
        <v>8</v>
      </c>
      <c r="BG112" s="329">
        <f t="shared" si="49"/>
        <v>302</v>
      </c>
      <c r="BH112" s="329">
        <f t="shared" si="50"/>
        <v>302</v>
      </c>
      <c r="BI112" s="365">
        <f t="shared" si="51"/>
        <v>44</v>
      </c>
    </row>
    <row r="113" spans="2:61" ht="15.75" thickBot="1" x14ac:dyDescent="0.3">
      <c r="B113" s="291" t="s">
        <v>65</v>
      </c>
      <c r="C113" s="304">
        <v>373</v>
      </c>
      <c r="D113" s="304">
        <v>360</v>
      </c>
      <c r="E113" s="304">
        <v>395</v>
      </c>
      <c r="F113" s="304">
        <v>380</v>
      </c>
      <c r="G113" s="305">
        <f>технолог!U27</f>
        <v>1</v>
      </c>
      <c r="H113" s="324">
        <f>(E113+15)*(F113+15)*G113*$G$93/1000*(технолог!$I$27)</f>
        <v>510.46639999999996</v>
      </c>
      <c r="I113" s="290">
        <v>60</v>
      </c>
      <c r="J113" s="287">
        <f t="shared" si="12"/>
        <v>80</v>
      </c>
      <c r="K113" s="288">
        <f t="shared" si="6"/>
        <v>2410</v>
      </c>
      <c r="L113" s="288">
        <f t="shared" si="13"/>
        <v>18.231167999999997</v>
      </c>
      <c r="M113" s="287">
        <f t="shared" si="14"/>
        <v>70</v>
      </c>
      <c r="N113" s="288">
        <f t="shared" si="7"/>
        <v>2410</v>
      </c>
      <c r="O113" s="261">
        <f t="shared" si="15"/>
        <v>15.952271999999999</v>
      </c>
      <c r="P113" s="287">
        <f t="shared" si="16"/>
        <v>503</v>
      </c>
      <c r="Q113" s="288">
        <f t="shared" si="17"/>
        <v>505</v>
      </c>
      <c r="R113" s="288">
        <f t="shared" si="18"/>
        <v>12.0098292</v>
      </c>
      <c r="S113" s="260">
        <v>14</v>
      </c>
      <c r="T113" s="316">
        <f t="shared" si="52"/>
        <v>24</v>
      </c>
      <c r="U113" s="317">
        <f>E125-49-49+6</f>
        <v>-92</v>
      </c>
      <c r="V113" s="318" t="e">
        <f>T113*U113*#REF!*D141/1000*8</f>
        <v>#REF!</v>
      </c>
      <c r="W113" s="317">
        <f t="shared" si="19"/>
        <v>63</v>
      </c>
      <c r="X113" s="317">
        <f t="shared" si="8"/>
        <v>401</v>
      </c>
      <c r="Y113" s="318">
        <f t="shared" si="9"/>
        <v>388</v>
      </c>
      <c r="Z113" s="260">
        <f t="shared" si="20"/>
        <v>19</v>
      </c>
      <c r="AA113" s="237">
        <f t="shared" si="21"/>
        <v>5602</v>
      </c>
      <c r="AB113" s="261">
        <f t="shared" si="22"/>
        <v>5.0323886399999997</v>
      </c>
      <c r="AC113" s="260">
        <f t="shared" si="23"/>
        <v>19</v>
      </c>
      <c r="AD113" s="237">
        <f t="shared" si="24"/>
        <v>5606</v>
      </c>
      <c r="AE113" s="261">
        <f t="shared" si="25"/>
        <v>5.0359819200000002</v>
      </c>
      <c r="AF113" s="260">
        <f t="shared" si="10"/>
        <v>2441</v>
      </c>
      <c r="AG113" s="237">
        <f t="shared" si="26"/>
        <v>411</v>
      </c>
      <c r="AH113" s="261">
        <f t="shared" si="27"/>
        <v>47.43370728</v>
      </c>
      <c r="AI113" s="260">
        <f t="shared" si="11"/>
        <v>2441</v>
      </c>
      <c r="AJ113" s="237">
        <f t="shared" si="28"/>
        <v>413</v>
      </c>
      <c r="AK113" s="261">
        <f t="shared" si="29"/>
        <v>47.664528240000003</v>
      </c>
      <c r="AL113" s="329">
        <f>(технолог!$I$27/2*((5+6)*2+технолог!$T$27-0.5)+J113*2+K113)/1000*4</f>
        <v>31.48</v>
      </c>
      <c r="AM113" s="329">
        <f t="shared" si="30"/>
        <v>19.84</v>
      </c>
      <c r="AN113" s="329">
        <f t="shared" si="31"/>
        <v>4.032</v>
      </c>
      <c r="AO113" s="330">
        <f t="shared" si="32"/>
        <v>0.60799999999999998</v>
      </c>
      <c r="AP113" s="329">
        <f t="shared" si="33"/>
        <v>45.264000000000003</v>
      </c>
      <c r="AQ113" s="329">
        <f t="shared" si="34"/>
        <v>45.295999999999999</v>
      </c>
      <c r="AR113" s="329">
        <f t="shared" si="35"/>
        <v>0</v>
      </c>
      <c r="AS113" s="331">
        <f t="shared" si="36"/>
        <v>4.6999999999999993</v>
      </c>
      <c r="AT113" s="328">
        <f t="shared" si="37"/>
        <v>0</v>
      </c>
      <c r="AU113" s="329">
        <f t="shared" si="38"/>
        <v>4</v>
      </c>
      <c r="AV113" s="331">
        <f>(C113*2+D113*2)*технолог!$I$27/1000</f>
        <v>586.4</v>
      </c>
      <c r="AW113" s="328">
        <f t="shared" si="39"/>
        <v>12.5488</v>
      </c>
      <c r="AX113" s="331">
        <f t="shared" si="40"/>
        <v>12.557600000000001</v>
      </c>
      <c r="AY113" s="328">
        <f t="shared" si="41"/>
        <v>1.1408</v>
      </c>
      <c r="AZ113" s="329">
        <f t="shared" si="42"/>
        <v>1.1415999999999999</v>
      </c>
      <c r="BA113" s="328">
        <f t="shared" si="43"/>
        <v>150.61199999999999</v>
      </c>
      <c r="BB113" s="329">
        <f t="shared" si="44"/>
        <v>27.3888</v>
      </c>
      <c r="BC113" s="331">
        <f t="shared" si="45"/>
        <v>150.61199999999999</v>
      </c>
      <c r="BD113" s="328">
        <f t="shared" si="46"/>
        <v>590.4</v>
      </c>
      <c r="BE113" s="361">
        <f t="shared" si="47"/>
        <v>14</v>
      </c>
      <c r="BF113" s="362">
        <f t="shared" si="48"/>
        <v>8</v>
      </c>
      <c r="BG113" s="329">
        <f t="shared" si="49"/>
        <v>373</v>
      </c>
      <c r="BH113" s="329">
        <f t="shared" si="50"/>
        <v>375</v>
      </c>
      <c r="BI113" s="365">
        <f t="shared" si="51"/>
        <v>44</v>
      </c>
    </row>
    <row r="114" spans="2:61" ht="15.75" thickBot="1" x14ac:dyDescent="0.3">
      <c r="B114" s="291" t="s">
        <v>67</v>
      </c>
      <c r="C114" s="304">
        <v>476</v>
      </c>
      <c r="D114" s="304">
        <v>455</v>
      </c>
      <c r="E114" s="304">
        <v>495</v>
      </c>
      <c r="F114" s="304">
        <v>495</v>
      </c>
      <c r="G114" s="305">
        <f>технолог!U27</f>
        <v>1</v>
      </c>
      <c r="H114" s="324">
        <f>(E114+15)*(F114+15)*G114*$G$93/1000*(технолог!$I$27)</f>
        <v>819.83519999999976</v>
      </c>
      <c r="I114" s="290">
        <v>70</v>
      </c>
      <c r="J114" s="287">
        <f t="shared" si="12"/>
        <v>90</v>
      </c>
      <c r="K114" s="288">
        <f t="shared" si="6"/>
        <v>2410</v>
      </c>
      <c r="L114" s="288">
        <f t="shared" si="13"/>
        <v>20.510064</v>
      </c>
      <c r="M114" s="287">
        <f t="shared" si="14"/>
        <v>80</v>
      </c>
      <c r="N114" s="288">
        <f t="shared" si="7"/>
        <v>2410</v>
      </c>
      <c r="O114" s="261">
        <f t="shared" si="15"/>
        <v>18.231167999999997</v>
      </c>
      <c r="P114" s="287">
        <f t="shared" si="16"/>
        <v>626</v>
      </c>
      <c r="Q114" s="288">
        <f t="shared" si="17"/>
        <v>620</v>
      </c>
      <c r="R114" s="288">
        <f t="shared" si="18"/>
        <v>18.3503136</v>
      </c>
      <c r="S114" s="260">
        <v>16</v>
      </c>
      <c r="T114" s="316">
        <f t="shared" si="52"/>
        <v>26</v>
      </c>
      <c r="U114" s="317">
        <f>E125-49-49+6</f>
        <v>-92</v>
      </c>
      <c r="V114" s="318" t="e">
        <f>T114*U114*#REF!*D141/1000*8</f>
        <v>#REF!</v>
      </c>
      <c r="W114" s="317">
        <f t="shared" si="19"/>
        <v>65</v>
      </c>
      <c r="X114" s="317">
        <f t="shared" si="8"/>
        <v>508</v>
      </c>
      <c r="Y114" s="318">
        <f t="shared" si="9"/>
        <v>487</v>
      </c>
      <c r="Z114" s="260">
        <f t="shared" si="20"/>
        <v>21</v>
      </c>
      <c r="AA114" s="237">
        <f t="shared" si="21"/>
        <v>5816</v>
      </c>
      <c r="AB114" s="261">
        <f t="shared" si="22"/>
        <v>5.7745900800000003</v>
      </c>
      <c r="AC114" s="260">
        <f t="shared" si="23"/>
        <v>21</v>
      </c>
      <c r="AD114" s="237">
        <f t="shared" si="24"/>
        <v>5804</v>
      </c>
      <c r="AE114" s="261">
        <f t="shared" si="25"/>
        <v>5.7626755200000002</v>
      </c>
      <c r="AF114" s="260">
        <f t="shared" si="10"/>
        <v>2445</v>
      </c>
      <c r="AG114" s="237">
        <f t="shared" si="26"/>
        <v>518</v>
      </c>
      <c r="AH114" s="261">
        <f t="shared" si="27"/>
        <v>59.880592799999995</v>
      </c>
      <c r="AI114" s="260">
        <f t="shared" si="11"/>
        <v>2445</v>
      </c>
      <c r="AJ114" s="237">
        <f t="shared" si="28"/>
        <v>512</v>
      </c>
      <c r="AK114" s="261">
        <f t="shared" si="29"/>
        <v>59.186995199999998</v>
      </c>
      <c r="AL114" s="329">
        <f>(технолог!$I$27/2*((5+6)*2+технолог!$T$27-0.5)+J114*2+K114)/1000*4</f>
        <v>31.56</v>
      </c>
      <c r="AM114" s="329">
        <f t="shared" si="30"/>
        <v>19.920000000000002</v>
      </c>
      <c r="AN114" s="329">
        <f t="shared" si="31"/>
        <v>4.984</v>
      </c>
      <c r="AO114" s="330">
        <f t="shared" si="32"/>
        <v>0.67200000000000004</v>
      </c>
      <c r="AP114" s="329">
        <f t="shared" si="33"/>
        <v>47.04</v>
      </c>
      <c r="AQ114" s="329">
        <f t="shared" si="34"/>
        <v>46.944000000000003</v>
      </c>
      <c r="AR114" s="329">
        <f t="shared" si="35"/>
        <v>0</v>
      </c>
      <c r="AS114" s="331">
        <f t="shared" si="36"/>
        <v>5.75</v>
      </c>
      <c r="AT114" s="328">
        <f t="shared" si="37"/>
        <v>0</v>
      </c>
      <c r="AU114" s="329">
        <f t="shared" si="38"/>
        <v>4.95</v>
      </c>
      <c r="AV114" s="331">
        <f>(C114*2+D114*2)*технолог!$I$27/1000</f>
        <v>744.8</v>
      </c>
      <c r="AW114" s="328">
        <f t="shared" si="39"/>
        <v>13.0372</v>
      </c>
      <c r="AX114" s="331">
        <f t="shared" si="40"/>
        <v>13.0108</v>
      </c>
      <c r="AY114" s="328">
        <f t="shared" si="41"/>
        <v>1.1852</v>
      </c>
      <c r="AZ114" s="329">
        <f t="shared" si="42"/>
        <v>1.1827999999999999</v>
      </c>
      <c r="BA114" s="328">
        <f t="shared" si="43"/>
        <v>156.19800000000001</v>
      </c>
      <c r="BB114" s="329">
        <f t="shared" si="44"/>
        <v>28.416000000000004</v>
      </c>
      <c r="BC114" s="331">
        <f t="shared" si="45"/>
        <v>156.19800000000001</v>
      </c>
      <c r="BD114" s="328">
        <f t="shared" si="46"/>
        <v>749.75</v>
      </c>
      <c r="BE114" s="361">
        <f t="shared" si="47"/>
        <v>14</v>
      </c>
      <c r="BF114" s="362">
        <f t="shared" si="48"/>
        <v>8</v>
      </c>
      <c r="BG114" s="329">
        <f t="shared" si="49"/>
        <v>476</v>
      </c>
      <c r="BH114" s="329">
        <f t="shared" si="50"/>
        <v>470</v>
      </c>
      <c r="BI114" s="365">
        <f t="shared" si="51"/>
        <v>44</v>
      </c>
    </row>
    <row r="115" spans="2:61" ht="15.75" thickBot="1" x14ac:dyDescent="0.3">
      <c r="B115" s="291" t="s">
        <v>184</v>
      </c>
      <c r="C115" s="288">
        <v>476</v>
      </c>
      <c r="D115" s="288">
        <v>240</v>
      </c>
      <c r="E115" s="288">
        <v>495</v>
      </c>
      <c r="F115" s="288">
        <v>246</v>
      </c>
      <c r="G115" s="305">
        <f>технолог!U27</f>
        <v>1</v>
      </c>
      <c r="H115" s="324">
        <f>(E115+15)*(F115+15)*G115*$G$93/1000*(технолог!$I$27)</f>
        <v>419.56271999999996</v>
      </c>
      <c r="I115" s="290">
        <v>70</v>
      </c>
      <c r="J115" s="287">
        <f t="shared" si="12"/>
        <v>90</v>
      </c>
      <c r="K115" s="288">
        <f t="shared" si="6"/>
        <v>2410</v>
      </c>
      <c r="L115" s="288">
        <f t="shared" si="13"/>
        <v>20.510064</v>
      </c>
      <c r="M115" s="287">
        <f t="shared" si="14"/>
        <v>80</v>
      </c>
      <c r="N115" s="288">
        <f t="shared" si="7"/>
        <v>2410</v>
      </c>
      <c r="O115" s="261">
        <f t="shared" si="15"/>
        <v>18.231167999999997</v>
      </c>
      <c r="P115" s="287">
        <f t="shared" si="16"/>
        <v>626</v>
      </c>
      <c r="Q115" s="288">
        <f t="shared" si="17"/>
        <v>405</v>
      </c>
      <c r="R115" s="288">
        <f t="shared" si="18"/>
        <v>11.986898399999999</v>
      </c>
      <c r="S115" s="260">
        <v>16</v>
      </c>
      <c r="T115" s="316">
        <f t="shared" si="52"/>
        <v>26</v>
      </c>
      <c r="U115" s="317">
        <f>E125-49-49+6</f>
        <v>-92</v>
      </c>
      <c r="V115" s="318" t="e">
        <f>T115*U115*#REF!*D141/1000*8</f>
        <v>#REF!</v>
      </c>
      <c r="W115" s="317">
        <f t="shared" si="19"/>
        <v>65</v>
      </c>
      <c r="X115" s="317">
        <f t="shared" si="8"/>
        <v>508</v>
      </c>
      <c r="Y115" s="318">
        <f t="shared" si="9"/>
        <v>272</v>
      </c>
      <c r="Z115" s="260">
        <f t="shared" si="20"/>
        <v>21</v>
      </c>
      <c r="AA115" s="237">
        <f t="shared" si="21"/>
        <v>5816</v>
      </c>
      <c r="AB115" s="261">
        <f t="shared" si="22"/>
        <v>5.7745900800000003</v>
      </c>
      <c r="AC115" s="260">
        <f t="shared" si="23"/>
        <v>21</v>
      </c>
      <c r="AD115" s="237">
        <f t="shared" si="24"/>
        <v>5374</v>
      </c>
      <c r="AE115" s="261">
        <f t="shared" si="25"/>
        <v>5.3357371200000001</v>
      </c>
      <c r="AF115" s="260">
        <f t="shared" si="10"/>
        <v>2445</v>
      </c>
      <c r="AG115" s="237">
        <f t="shared" si="26"/>
        <v>518</v>
      </c>
      <c r="AH115" s="261">
        <f t="shared" si="27"/>
        <v>59.880592799999995</v>
      </c>
      <c r="AI115" s="260">
        <f t="shared" si="11"/>
        <v>2445</v>
      </c>
      <c r="AJ115" s="237">
        <f t="shared" si="28"/>
        <v>297</v>
      </c>
      <c r="AK115" s="261">
        <f t="shared" si="29"/>
        <v>34.333081200000002</v>
      </c>
      <c r="AL115" s="329">
        <f>(технолог!$I$27/2*((5+6)*2+технолог!$T$27-0.5)+J115*2+K115)/1000*4</f>
        <v>31.56</v>
      </c>
      <c r="AM115" s="329">
        <f t="shared" si="30"/>
        <v>19.920000000000002</v>
      </c>
      <c r="AN115" s="329">
        <f t="shared" si="31"/>
        <v>4.1239999999999997</v>
      </c>
      <c r="AO115" s="330">
        <f t="shared" si="32"/>
        <v>0.67200000000000004</v>
      </c>
      <c r="AP115" s="329">
        <f t="shared" si="33"/>
        <v>47.04</v>
      </c>
      <c r="AQ115" s="329">
        <f t="shared" si="34"/>
        <v>43.503999999999998</v>
      </c>
      <c r="AR115" s="329">
        <f t="shared" si="35"/>
        <v>0</v>
      </c>
      <c r="AS115" s="331">
        <f t="shared" si="36"/>
        <v>3.5999999999999996</v>
      </c>
      <c r="AT115" s="328">
        <f t="shared" si="37"/>
        <v>0</v>
      </c>
      <c r="AU115" s="329">
        <f t="shared" si="38"/>
        <v>2.8000000000000003</v>
      </c>
      <c r="AV115" s="331">
        <f>(C115*2+D115*2)*технолог!$I$27/1000</f>
        <v>572.79999999999995</v>
      </c>
      <c r="AW115" s="328">
        <f t="shared" si="39"/>
        <v>13.0372</v>
      </c>
      <c r="AX115" s="331">
        <f t="shared" si="40"/>
        <v>12.0648</v>
      </c>
      <c r="AY115" s="328">
        <f t="shared" si="41"/>
        <v>1.1852</v>
      </c>
      <c r="AZ115" s="329">
        <f t="shared" si="42"/>
        <v>1.0968</v>
      </c>
      <c r="BA115" s="328">
        <f t="shared" si="43"/>
        <v>149.74799999999999</v>
      </c>
      <c r="BB115" s="329">
        <f t="shared" si="44"/>
        <v>27.384</v>
      </c>
      <c r="BC115" s="331">
        <f t="shared" si="45"/>
        <v>149.74799999999999</v>
      </c>
      <c r="BD115" s="328">
        <f t="shared" si="46"/>
        <v>575.59999999999991</v>
      </c>
      <c r="BE115" s="361">
        <f t="shared" si="47"/>
        <v>14</v>
      </c>
      <c r="BF115" s="362">
        <f t="shared" si="48"/>
        <v>8</v>
      </c>
      <c r="BG115" s="329">
        <f t="shared" si="49"/>
        <v>476</v>
      </c>
      <c r="BH115" s="329">
        <f t="shared" si="50"/>
        <v>255</v>
      </c>
      <c r="BI115" s="365">
        <f t="shared" si="51"/>
        <v>44</v>
      </c>
    </row>
    <row r="116" spans="2:61" ht="15.75" thickBot="1" x14ac:dyDescent="0.3">
      <c r="B116" s="289" t="s">
        <v>215</v>
      </c>
      <c r="C116" s="288">
        <v>595</v>
      </c>
      <c r="D116" s="288">
        <v>595</v>
      </c>
      <c r="E116" s="288">
        <v>615</v>
      </c>
      <c r="F116" s="288">
        <v>615</v>
      </c>
      <c r="G116" s="305">
        <f>технолог!U27</f>
        <v>1</v>
      </c>
      <c r="H116" s="324">
        <f>(E116+15)*(F116+15)*G116*$G$93/1000*(технолог!$I$27)</f>
        <v>1251.0288</v>
      </c>
      <c r="I116" s="290">
        <v>70</v>
      </c>
      <c r="J116" s="287">
        <f t="shared" si="12"/>
        <v>90</v>
      </c>
      <c r="K116" s="288">
        <f t="shared" si="6"/>
        <v>2410</v>
      </c>
      <c r="L116" s="288">
        <f t="shared" si="13"/>
        <v>20.510064</v>
      </c>
      <c r="M116" s="287">
        <f t="shared" si="14"/>
        <v>80</v>
      </c>
      <c r="N116" s="288">
        <f t="shared" si="7"/>
        <v>2410</v>
      </c>
      <c r="O116" s="261">
        <f t="shared" si="15"/>
        <v>18.231167999999997</v>
      </c>
      <c r="P116" s="287">
        <f t="shared" si="16"/>
        <v>745</v>
      </c>
      <c r="Q116" s="288">
        <f t="shared" si="17"/>
        <v>760</v>
      </c>
      <c r="R116" s="288">
        <f t="shared" si="18"/>
        <v>26.769935999999998</v>
      </c>
      <c r="S116" s="260">
        <v>16</v>
      </c>
      <c r="T116" s="316">
        <f t="shared" si="52"/>
        <v>26</v>
      </c>
      <c r="U116" s="317">
        <f>E125-49-49+6</f>
        <v>-92</v>
      </c>
      <c r="V116" s="318" t="e">
        <f>T116*U116*#REF!*D141/1000*8</f>
        <v>#REF!</v>
      </c>
      <c r="W116" s="317">
        <f t="shared" si="19"/>
        <v>65</v>
      </c>
      <c r="X116" s="317">
        <f t="shared" si="8"/>
        <v>627</v>
      </c>
      <c r="Y116" s="318">
        <f t="shared" si="9"/>
        <v>627</v>
      </c>
      <c r="Z116" s="260">
        <f t="shared" si="20"/>
        <v>21</v>
      </c>
      <c r="AA116" s="237">
        <f t="shared" si="21"/>
        <v>6054</v>
      </c>
      <c r="AB116" s="261">
        <f t="shared" si="22"/>
        <v>6.01089552</v>
      </c>
      <c r="AC116" s="260">
        <f t="shared" si="23"/>
        <v>21</v>
      </c>
      <c r="AD116" s="237">
        <f t="shared" si="24"/>
        <v>6084</v>
      </c>
      <c r="AE116" s="261">
        <f t="shared" si="25"/>
        <v>6.0406819199999999</v>
      </c>
      <c r="AF116" s="260">
        <f t="shared" si="10"/>
        <v>2445</v>
      </c>
      <c r="AG116" s="237">
        <f t="shared" si="26"/>
        <v>637</v>
      </c>
      <c r="AH116" s="261">
        <f t="shared" si="27"/>
        <v>73.6369452</v>
      </c>
      <c r="AI116" s="260">
        <f t="shared" si="11"/>
        <v>2445</v>
      </c>
      <c r="AJ116" s="237">
        <f t="shared" si="28"/>
        <v>652</v>
      </c>
      <c r="AK116" s="261">
        <f t="shared" si="29"/>
        <v>75.370939199999995</v>
      </c>
      <c r="AL116" s="329">
        <f>(технолог!$I$27/2*((5+6)*2+технолог!$T$27-0.5)+J116*2+K116)/1000*4</f>
        <v>31.56</v>
      </c>
      <c r="AM116" s="329">
        <f t="shared" si="30"/>
        <v>19.920000000000002</v>
      </c>
      <c r="AN116" s="329">
        <f t="shared" si="31"/>
        <v>6.02</v>
      </c>
      <c r="AO116" s="330">
        <f t="shared" si="32"/>
        <v>0.67200000000000004</v>
      </c>
      <c r="AP116" s="329">
        <f t="shared" si="33"/>
        <v>48.944000000000003</v>
      </c>
      <c r="AQ116" s="329">
        <f t="shared" si="34"/>
        <v>49.183999999999997</v>
      </c>
      <c r="AR116" s="329">
        <f t="shared" si="35"/>
        <v>0</v>
      </c>
      <c r="AS116" s="331">
        <f t="shared" si="36"/>
        <v>7.1499999999999995</v>
      </c>
      <c r="AT116" s="328">
        <f t="shared" si="37"/>
        <v>0</v>
      </c>
      <c r="AU116" s="329">
        <f t="shared" si="38"/>
        <v>6.35</v>
      </c>
      <c r="AV116" s="331">
        <f>(C116*2+D116*2)*технолог!$I$27/1000</f>
        <v>952</v>
      </c>
      <c r="AW116" s="328">
        <f t="shared" si="39"/>
        <v>13.560799999999999</v>
      </c>
      <c r="AX116" s="331">
        <f t="shared" si="40"/>
        <v>13.626799999999999</v>
      </c>
      <c r="AY116" s="328">
        <f t="shared" si="41"/>
        <v>1.2327999999999999</v>
      </c>
      <c r="AZ116" s="329">
        <f t="shared" si="42"/>
        <v>1.2387999999999999</v>
      </c>
      <c r="BA116" s="328">
        <f t="shared" si="43"/>
        <v>162.77799999999999</v>
      </c>
      <c r="BB116" s="329">
        <f t="shared" si="44"/>
        <v>29.659199999999998</v>
      </c>
      <c r="BC116" s="331">
        <f t="shared" si="45"/>
        <v>162.77799999999999</v>
      </c>
      <c r="BD116" s="328">
        <f t="shared" si="46"/>
        <v>958.35</v>
      </c>
      <c r="BE116" s="361">
        <f t="shared" si="47"/>
        <v>14</v>
      </c>
      <c r="BF116" s="362">
        <f t="shared" si="48"/>
        <v>8</v>
      </c>
      <c r="BG116" s="329">
        <f t="shared" si="49"/>
        <v>595</v>
      </c>
      <c r="BH116" s="329">
        <f t="shared" si="50"/>
        <v>610</v>
      </c>
      <c r="BI116" s="365">
        <f t="shared" si="51"/>
        <v>44</v>
      </c>
    </row>
    <row r="117" spans="2:61" ht="15.75" thickBot="1" x14ac:dyDescent="0.3">
      <c r="B117" s="289" t="s">
        <v>183</v>
      </c>
      <c r="C117" s="288">
        <v>595</v>
      </c>
      <c r="D117" s="288">
        <v>295</v>
      </c>
      <c r="E117" s="288">
        <v>615</v>
      </c>
      <c r="F117" s="288">
        <v>303</v>
      </c>
      <c r="G117" s="305">
        <f>технолог!U27</f>
        <v>1</v>
      </c>
      <c r="H117" s="324">
        <f>(E117+15)*(F117+15)*G117*$G$93/1000*(технолог!$I$27)</f>
        <v>631.47167999999999</v>
      </c>
      <c r="I117" s="290">
        <v>70</v>
      </c>
      <c r="J117" s="287">
        <f t="shared" si="12"/>
        <v>90</v>
      </c>
      <c r="K117" s="288">
        <f t="shared" si="6"/>
        <v>2410</v>
      </c>
      <c r="L117" s="288">
        <f t="shared" si="13"/>
        <v>20.510064</v>
      </c>
      <c r="M117" s="287">
        <f t="shared" si="14"/>
        <v>80</v>
      </c>
      <c r="N117" s="288">
        <f t="shared" si="7"/>
        <v>2410</v>
      </c>
      <c r="O117" s="261">
        <f t="shared" si="15"/>
        <v>18.231167999999997</v>
      </c>
      <c r="P117" s="287">
        <f t="shared" si="16"/>
        <v>745</v>
      </c>
      <c r="Q117" s="288">
        <f t="shared" si="17"/>
        <v>460</v>
      </c>
      <c r="R117" s="288">
        <f t="shared" si="18"/>
        <v>16.202856000000001</v>
      </c>
      <c r="S117" s="260">
        <v>16</v>
      </c>
      <c r="T117" s="316">
        <f t="shared" si="52"/>
        <v>26</v>
      </c>
      <c r="U117" s="317">
        <f>E125-49-49+6</f>
        <v>-92</v>
      </c>
      <c r="V117" s="318" t="e">
        <f>T117*U117*#REF!*D141/1000*8</f>
        <v>#REF!</v>
      </c>
      <c r="W117" s="317">
        <f t="shared" si="19"/>
        <v>65</v>
      </c>
      <c r="X117" s="317">
        <f t="shared" si="8"/>
        <v>627</v>
      </c>
      <c r="Y117" s="318">
        <f t="shared" si="9"/>
        <v>327</v>
      </c>
      <c r="Z117" s="260">
        <f t="shared" si="20"/>
        <v>21</v>
      </c>
      <c r="AA117" s="237">
        <f t="shared" si="21"/>
        <v>6054</v>
      </c>
      <c r="AB117" s="261">
        <f t="shared" si="22"/>
        <v>6.01089552</v>
      </c>
      <c r="AC117" s="260">
        <f t="shared" si="23"/>
        <v>21</v>
      </c>
      <c r="AD117" s="237">
        <f t="shared" si="24"/>
        <v>5484</v>
      </c>
      <c r="AE117" s="261">
        <f t="shared" si="25"/>
        <v>5.4449539199999997</v>
      </c>
      <c r="AF117" s="260">
        <f t="shared" si="10"/>
        <v>2445</v>
      </c>
      <c r="AG117" s="237">
        <f t="shared" si="26"/>
        <v>637</v>
      </c>
      <c r="AH117" s="261">
        <f t="shared" si="27"/>
        <v>73.6369452</v>
      </c>
      <c r="AI117" s="260">
        <f t="shared" si="11"/>
        <v>2445</v>
      </c>
      <c r="AJ117" s="237">
        <f t="shared" si="28"/>
        <v>352</v>
      </c>
      <c r="AK117" s="261">
        <f t="shared" si="29"/>
        <v>40.691059199999998</v>
      </c>
      <c r="AL117" s="329">
        <f>(технолог!$I$27/2*((5+6)*2+технолог!$T$27-0.5)+J117*2+K117)/1000*4</f>
        <v>31.56</v>
      </c>
      <c r="AM117" s="329">
        <f t="shared" si="30"/>
        <v>19.920000000000002</v>
      </c>
      <c r="AN117" s="329">
        <f t="shared" si="31"/>
        <v>4.82</v>
      </c>
      <c r="AO117" s="330">
        <f t="shared" si="32"/>
        <v>0.67200000000000004</v>
      </c>
      <c r="AP117" s="329">
        <f t="shared" si="33"/>
        <v>48.944000000000003</v>
      </c>
      <c r="AQ117" s="329">
        <f t="shared" si="34"/>
        <v>44.384</v>
      </c>
      <c r="AR117" s="329">
        <f t="shared" si="35"/>
        <v>0</v>
      </c>
      <c r="AS117" s="331">
        <f t="shared" si="36"/>
        <v>4.1499999999999995</v>
      </c>
      <c r="AT117" s="328">
        <f t="shared" si="37"/>
        <v>0</v>
      </c>
      <c r="AU117" s="329">
        <f t="shared" si="38"/>
        <v>3.35</v>
      </c>
      <c r="AV117" s="331">
        <f>(C117*2+D117*2)*технолог!$I$27/1000</f>
        <v>712</v>
      </c>
      <c r="AW117" s="328">
        <f t="shared" si="39"/>
        <v>13.560799999999999</v>
      </c>
      <c r="AX117" s="331">
        <f t="shared" si="40"/>
        <v>12.306800000000001</v>
      </c>
      <c r="AY117" s="328">
        <f t="shared" si="41"/>
        <v>1.2327999999999999</v>
      </c>
      <c r="AZ117" s="329">
        <f t="shared" si="42"/>
        <v>1.1188</v>
      </c>
      <c r="BA117" s="328">
        <f t="shared" si="43"/>
        <v>153.77799999999999</v>
      </c>
      <c r="BB117" s="329">
        <f t="shared" si="44"/>
        <v>28.219200000000001</v>
      </c>
      <c r="BC117" s="331">
        <f t="shared" si="45"/>
        <v>153.77799999999999</v>
      </c>
      <c r="BD117" s="328">
        <f t="shared" si="46"/>
        <v>715.35</v>
      </c>
      <c r="BE117" s="361">
        <f t="shared" si="47"/>
        <v>14</v>
      </c>
      <c r="BF117" s="362">
        <f t="shared" si="48"/>
        <v>8</v>
      </c>
      <c r="BG117" s="329">
        <f t="shared" si="49"/>
        <v>595</v>
      </c>
      <c r="BH117" s="329">
        <f t="shared" si="50"/>
        <v>310</v>
      </c>
      <c r="BI117" s="365">
        <f t="shared" si="51"/>
        <v>44</v>
      </c>
    </row>
    <row r="118" spans="2:61" ht="15.75" thickBot="1" x14ac:dyDescent="0.3">
      <c r="B118" s="291" t="s">
        <v>33</v>
      </c>
      <c r="C118" s="304">
        <v>732</v>
      </c>
      <c r="D118" s="304">
        <v>715</v>
      </c>
      <c r="E118" s="304">
        <v>745</v>
      </c>
      <c r="F118" s="304">
        <v>745</v>
      </c>
      <c r="G118" s="305">
        <f>технолог!U27</f>
        <v>1</v>
      </c>
      <c r="H118" s="324">
        <f>(E118+15)*(F118+15)*G118*$G$93/1000*(технолог!$I$27)</f>
        <v>1820.5952</v>
      </c>
      <c r="I118" s="290">
        <v>110</v>
      </c>
      <c r="J118" s="287">
        <f t="shared" si="12"/>
        <v>130</v>
      </c>
      <c r="K118" s="288">
        <f t="shared" si="6"/>
        <v>2410</v>
      </c>
      <c r="L118" s="288">
        <f t="shared" si="13"/>
        <v>29.625648000000002</v>
      </c>
      <c r="M118" s="287">
        <f t="shared" si="14"/>
        <v>120</v>
      </c>
      <c r="N118" s="288">
        <f t="shared" si="7"/>
        <v>2410</v>
      </c>
      <c r="O118" s="261">
        <f t="shared" si="15"/>
        <v>27.346752000000002</v>
      </c>
      <c r="P118" s="287">
        <f t="shared" si="16"/>
        <v>962</v>
      </c>
      <c r="Q118" s="288">
        <f t="shared" si="17"/>
        <v>960</v>
      </c>
      <c r="R118" s="288">
        <f t="shared" si="18"/>
        <v>43.664025600000002</v>
      </c>
      <c r="S118" s="260">
        <v>25</v>
      </c>
      <c r="T118" s="316">
        <f t="shared" si="52"/>
        <v>35</v>
      </c>
      <c r="U118" s="317">
        <f>E125-49-49+6</f>
        <v>-92</v>
      </c>
      <c r="V118" s="318" t="e">
        <f>T118*U118*#REF!*D141/1000*8</f>
        <v>#REF!</v>
      </c>
      <c r="W118" s="317">
        <f t="shared" si="19"/>
        <v>74</v>
      </c>
      <c r="X118" s="317">
        <f t="shared" si="8"/>
        <v>782</v>
      </c>
      <c r="Y118" s="318">
        <f t="shared" si="9"/>
        <v>765</v>
      </c>
      <c r="Z118" s="260">
        <f t="shared" si="20"/>
        <v>30</v>
      </c>
      <c r="AA118" s="237">
        <f t="shared" si="21"/>
        <v>6364</v>
      </c>
      <c r="AB118" s="261">
        <f t="shared" si="22"/>
        <v>9.0266976000000003</v>
      </c>
      <c r="AC118" s="260">
        <f t="shared" si="23"/>
        <v>30</v>
      </c>
      <c r="AD118" s="237">
        <f t="shared" si="24"/>
        <v>6360</v>
      </c>
      <c r="AE118" s="261">
        <f t="shared" si="25"/>
        <v>9.0210239999999988</v>
      </c>
      <c r="AF118" s="260">
        <f t="shared" si="10"/>
        <v>2463</v>
      </c>
      <c r="AG118" s="237">
        <f t="shared" si="26"/>
        <v>792</v>
      </c>
      <c r="AH118" s="261">
        <f t="shared" si="27"/>
        <v>92.228906879999997</v>
      </c>
      <c r="AI118" s="260">
        <f t="shared" si="11"/>
        <v>2463</v>
      </c>
      <c r="AJ118" s="237">
        <f t="shared" si="28"/>
        <v>790</v>
      </c>
      <c r="AK118" s="261">
        <f t="shared" si="29"/>
        <v>91.996005600000004</v>
      </c>
      <c r="AL118" s="329">
        <f>(технолог!$I$27/2*((5+6)*2+технолог!$T$27-0.5)+J118*2+K118)/1000*4</f>
        <v>31.88</v>
      </c>
      <c r="AM118" s="329">
        <f t="shared" si="30"/>
        <v>20.239999999999998</v>
      </c>
      <c r="AN118" s="329">
        <f t="shared" si="31"/>
        <v>7.6879999999999997</v>
      </c>
      <c r="AO118" s="330">
        <f t="shared" si="32"/>
        <v>0.96</v>
      </c>
      <c r="AP118" s="329">
        <f t="shared" si="33"/>
        <v>51.712000000000003</v>
      </c>
      <c r="AQ118" s="329">
        <f t="shared" si="34"/>
        <v>51.68</v>
      </c>
      <c r="AR118" s="329">
        <f t="shared" si="35"/>
        <v>0</v>
      </c>
      <c r="AS118" s="331">
        <f t="shared" si="36"/>
        <v>8.75</v>
      </c>
      <c r="AT118" s="328">
        <f t="shared" si="37"/>
        <v>0</v>
      </c>
      <c r="AU118" s="329">
        <f t="shared" si="38"/>
        <v>7.55</v>
      </c>
      <c r="AV118" s="331">
        <f>(C118*2+D118*2)*технолог!$I$27/1000</f>
        <v>1157.5999999999999</v>
      </c>
      <c r="AW118" s="328">
        <f t="shared" si="39"/>
        <v>14.321999999999999</v>
      </c>
      <c r="AX118" s="331">
        <f t="shared" si="40"/>
        <v>14.3132</v>
      </c>
      <c r="AY118" s="328">
        <f t="shared" si="41"/>
        <v>1.302</v>
      </c>
      <c r="AZ118" s="329">
        <f t="shared" si="42"/>
        <v>1.3012000000000001</v>
      </c>
      <c r="BA118" s="328">
        <f t="shared" si="43"/>
        <v>171.95000000000002</v>
      </c>
      <c r="BB118" s="329">
        <f t="shared" si="44"/>
        <v>31.238399999999999</v>
      </c>
      <c r="BC118" s="331">
        <f t="shared" si="45"/>
        <v>171.95000000000002</v>
      </c>
      <c r="BD118" s="328">
        <f t="shared" si="46"/>
        <v>1165.1499999999999</v>
      </c>
      <c r="BE118" s="361">
        <f t="shared" si="47"/>
        <v>14</v>
      </c>
      <c r="BF118" s="362">
        <f t="shared" si="48"/>
        <v>8</v>
      </c>
      <c r="BG118" s="329">
        <f t="shared" si="49"/>
        <v>732</v>
      </c>
      <c r="BH118" s="329">
        <f t="shared" si="50"/>
        <v>730</v>
      </c>
      <c r="BI118" s="365">
        <f t="shared" si="51"/>
        <v>44</v>
      </c>
    </row>
    <row r="119" spans="2:61" ht="15.75" thickBot="1" x14ac:dyDescent="0.3">
      <c r="B119" s="289" t="s">
        <v>185</v>
      </c>
      <c r="C119" s="288">
        <v>980</v>
      </c>
      <c r="D119" s="288">
        <v>480</v>
      </c>
      <c r="E119" s="288">
        <v>1000</v>
      </c>
      <c r="F119" s="288">
        <v>500</v>
      </c>
      <c r="G119" s="305">
        <f>технолог!U27</f>
        <v>1</v>
      </c>
      <c r="H119" s="324">
        <f>(E119+15)*(F119+15)*G119*$G$93/1000*(технолог!$I$27)</f>
        <v>1647.6292000000001</v>
      </c>
      <c r="I119" s="290">
        <v>70</v>
      </c>
      <c r="J119" s="287">
        <f t="shared" si="12"/>
        <v>90</v>
      </c>
      <c r="K119" s="288">
        <f t="shared" si="6"/>
        <v>2410</v>
      </c>
      <c r="L119" s="288">
        <f t="shared" si="13"/>
        <v>20.510064</v>
      </c>
      <c r="M119" s="287">
        <f t="shared" si="14"/>
        <v>80</v>
      </c>
      <c r="N119" s="288">
        <f t="shared" si="7"/>
        <v>2410</v>
      </c>
      <c r="O119" s="261">
        <f t="shared" si="15"/>
        <v>18.231167999999997</v>
      </c>
      <c r="P119" s="287">
        <f t="shared" si="16"/>
        <v>1130</v>
      </c>
      <c r="Q119" s="288">
        <f t="shared" si="17"/>
        <v>645</v>
      </c>
      <c r="R119" s="288">
        <f t="shared" si="18"/>
        <v>34.460028000000001</v>
      </c>
      <c r="S119" s="260">
        <v>16</v>
      </c>
      <c r="T119" s="316">
        <f t="shared" si="52"/>
        <v>26</v>
      </c>
      <c r="U119" s="317">
        <f>E125-49-49+6</f>
        <v>-92</v>
      </c>
      <c r="V119" s="318" t="e">
        <f>T119*U119*#REF!*D141/1000*8</f>
        <v>#REF!</v>
      </c>
      <c r="W119" s="317">
        <f t="shared" si="19"/>
        <v>65</v>
      </c>
      <c r="X119" s="317">
        <f t="shared" si="8"/>
        <v>1012</v>
      </c>
      <c r="Y119" s="318">
        <f t="shared" si="9"/>
        <v>512</v>
      </c>
      <c r="Z119" s="260">
        <f t="shared" si="20"/>
        <v>21</v>
      </c>
      <c r="AA119" s="237">
        <f t="shared" si="21"/>
        <v>6824</v>
      </c>
      <c r="AB119" s="261">
        <f t="shared" si="22"/>
        <v>6.7754131200000005</v>
      </c>
      <c r="AC119" s="260">
        <f t="shared" si="23"/>
        <v>21</v>
      </c>
      <c r="AD119" s="237">
        <f t="shared" si="24"/>
        <v>5854</v>
      </c>
      <c r="AE119" s="261">
        <f t="shared" si="25"/>
        <v>5.81231952</v>
      </c>
      <c r="AF119" s="260">
        <f t="shared" si="10"/>
        <v>2445</v>
      </c>
      <c r="AG119" s="237">
        <f t="shared" si="26"/>
        <v>1022</v>
      </c>
      <c r="AH119" s="261">
        <f t="shared" si="27"/>
        <v>118.14279119999999</v>
      </c>
      <c r="AI119" s="260">
        <f t="shared" si="11"/>
        <v>2445</v>
      </c>
      <c r="AJ119" s="237">
        <f t="shared" si="28"/>
        <v>537</v>
      </c>
      <c r="AK119" s="261">
        <f t="shared" si="29"/>
        <v>62.076985199999996</v>
      </c>
      <c r="AL119" s="329">
        <f>(технолог!$I$27/2*((5+6)*2+технолог!$T$27-0.5)+J119*2+K119)/1000*4</f>
        <v>31.56</v>
      </c>
      <c r="AM119" s="329">
        <f t="shared" si="30"/>
        <v>19.920000000000002</v>
      </c>
      <c r="AN119" s="329">
        <f t="shared" si="31"/>
        <v>7.1</v>
      </c>
      <c r="AO119" s="330">
        <f t="shared" si="32"/>
        <v>0.67200000000000004</v>
      </c>
      <c r="AP119" s="329">
        <f t="shared" si="33"/>
        <v>55.103999999999999</v>
      </c>
      <c r="AQ119" s="329">
        <f t="shared" si="34"/>
        <v>47.344000000000001</v>
      </c>
      <c r="AR119" s="329">
        <f t="shared" si="35"/>
        <v>0</v>
      </c>
      <c r="AS119" s="331">
        <f t="shared" si="36"/>
        <v>6</v>
      </c>
      <c r="AT119" s="328">
        <f t="shared" si="37"/>
        <v>0</v>
      </c>
      <c r="AU119" s="329">
        <f t="shared" si="38"/>
        <v>5.2</v>
      </c>
      <c r="AV119" s="331">
        <f>(C119*2+D119*2)*технолог!$I$27/1000</f>
        <v>1168</v>
      </c>
      <c r="AW119" s="328">
        <f t="shared" si="39"/>
        <v>15.254800000000001</v>
      </c>
      <c r="AX119" s="331">
        <f t="shared" si="40"/>
        <v>13.120800000000001</v>
      </c>
      <c r="AY119" s="328">
        <f t="shared" si="41"/>
        <v>1.3868000000000003</v>
      </c>
      <c r="AZ119" s="329">
        <f t="shared" si="42"/>
        <v>1.1927999999999999</v>
      </c>
      <c r="BA119" s="328">
        <f t="shared" si="43"/>
        <v>167.02799999999999</v>
      </c>
      <c r="BB119" s="329">
        <f t="shared" si="44"/>
        <v>30.955200000000001</v>
      </c>
      <c r="BC119" s="331">
        <f t="shared" si="45"/>
        <v>167.02799999999999</v>
      </c>
      <c r="BD119" s="328">
        <f t="shared" si="46"/>
        <v>1173.2</v>
      </c>
      <c r="BE119" s="361">
        <f t="shared" si="47"/>
        <v>14</v>
      </c>
      <c r="BF119" s="362">
        <f t="shared" si="48"/>
        <v>8</v>
      </c>
      <c r="BG119" s="329">
        <f t="shared" si="49"/>
        <v>980</v>
      </c>
      <c r="BH119" s="329">
        <f t="shared" si="50"/>
        <v>495</v>
      </c>
      <c r="BI119" s="365">
        <f t="shared" si="51"/>
        <v>44</v>
      </c>
    </row>
    <row r="120" spans="2:61" ht="15.75" thickBot="1" x14ac:dyDescent="0.3">
      <c r="B120" s="289" t="s">
        <v>68</v>
      </c>
      <c r="C120" s="288">
        <v>980</v>
      </c>
      <c r="D120" s="288">
        <v>965</v>
      </c>
      <c r="E120" s="288">
        <v>1000</v>
      </c>
      <c r="F120" s="288">
        <v>1000</v>
      </c>
      <c r="G120" s="305">
        <f>технолог!U27</f>
        <v>1</v>
      </c>
      <c r="H120" s="324">
        <f>(E120+15)*(F120+15)*G120*$G$93/1000*(технолог!$I$27)</f>
        <v>3247.2692000000002</v>
      </c>
      <c r="I120" s="290">
        <v>130</v>
      </c>
      <c r="J120" s="287">
        <f t="shared" si="12"/>
        <v>150</v>
      </c>
      <c r="K120" s="288">
        <f t="shared" si="6"/>
        <v>2410</v>
      </c>
      <c r="L120" s="288">
        <f t="shared" si="13"/>
        <v>34.183440000000004</v>
      </c>
      <c r="M120" s="287">
        <f t="shared" si="14"/>
        <v>140</v>
      </c>
      <c r="N120" s="288">
        <f t="shared" si="7"/>
        <v>2410</v>
      </c>
      <c r="O120" s="261">
        <f t="shared" si="15"/>
        <v>31.904543999999998</v>
      </c>
      <c r="P120" s="287">
        <f t="shared" si="16"/>
        <v>1250</v>
      </c>
      <c r="Q120" s="288">
        <f t="shared" si="17"/>
        <v>1250</v>
      </c>
      <c r="R120" s="288">
        <f t="shared" si="18"/>
        <v>73.875</v>
      </c>
      <c r="S120" s="260">
        <v>30</v>
      </c>
      <c r="T120" s="316">
        <f t="shared" si="52"/>
        <v>40</v>
      </c>
      <c r="U120" s="317"/>
      <c r="V120" s="318"/>
      <c r="W120" s="317">
        <f t="shared" si="19"/>
        <v>79</v>
      </c>
      <c r="X120" s="317">
        <f t="shared" si="8"/>
        <v>1040</v>
      </c>
      <c r="Y120" s="318">
        <f t="shared" si="9"/>
        <v>1025</v>
      </c>
      <c r="Z120" s="260">
        <f t="shared" si="20"/>
        <v>35</v>
      </c>
      <c r="AA120" s="237">
        <f t="shared" si="21"/>
        <v>6880</v>
      </c>
      <c r="AB120" s="261">
        <f t="shared" si="22"/>
        <v>11.385024</v>
      </c>
      <c r="AC120" s="260">
        <f t="shared" si="23"/>
        <v>35</v>
      </c>
      <c r="AD120" s="237">
        <f t="shared" si="24"/>
        <v>6880</v>
      </c>
      <c r="AE120" s="261">
        <f t="shared" si="25"/>
        <v>11.385024</v>
      </c>
      <c r="AF120" s="260">
        <f t="shared" si="10"/>
        <v>2473</v>
      </c>
      <c r="AG120" s="237">
        <f t="shared" si="26"/>
        <v>1050</v>
      </c>
      <c r="AH120" s="261">
        <f t="shared" si="27"/>
        <v>122.769612</v>
      </c>
      <c r="AI120" s="260">
        <f t="shared" si="11"/>
        <v>2473</v>
      </c>
      <c r="AJ120" s="237">
        <f t="shared" si="28"/>
        <v>1050</v>
      </c>
      <c r="AK120" s="261">
        <f t="shared" si="29"/>
        <v>122.769612</v>
      </c>
      <c r="AL120" s="329">
        <f>(технолог!$I$27/2*((5+6)*2+технолог!$T$27-0.5)+J120*2+K120)/1000*4</f>
        <v>32.04</v>
      </c>
      <c r="AM120" s="329">
        <f t="shared" si="30"/>
        <v>20.399999999999999</v>
      </c>
      <c r="AN120" s="329">
        <f t="shared" si="31"/>
        <v>10</v>
      </c>
      <c r="AO120" s="330">
        <f t="shared" si="32"/>
        <v>1.1200000000000001</v>
      </c>
      <c r="AP120" s="329">
        <f t="shared" si="33"/>
        <v>56</v>
      </c>
      <c r="AQ120" s="329">
        <f t="shared" si="34"/>
        <v>56</v>
      </c>
      <c r="AR120" s="329">
        <f t="shared" si="35"/>
        <v>0</v>
      </c>
      <c r="AS120" s="331">
        <f t="shared" si="36"/>
        <v>11.45</v>
      </c>
      <c r="AT120" s="328">
        <f t="shared" si="37"/>
        <v>0</v>
      </c>
      <c r="AU120" s="329">
        <f t="shared" si="38"/>
        <v>10.049999999999999</v>
      </c>
      <c r="AV120" s="331">
        <f>(C120*2+D120*2)*технолог!$I$27/1000</f>
        <v>1556</v>
      </c>
      <c r="AW120" s="328">
        <f t="shared" si="39"/>
        <v>15.501200000000001</v>
      </c>
      <c r="AX120" s="331">
        <f t="shared" si="40"/>
        <v>15.501200000000001</v>
      </c>
      <c r="AY120" s="328">
        <f t="shared" si="41"/>
        <v>1.4092000000000002</v>
      </c>
      <c r="AZ120" s="329">
        <f t="shared" si="42"/>
        <v>1.4092000000000002</v>
      </c>
      <c r="BA120" s="328">
        <f t="shared" si="43"/>
        <v>185.89</v>
      </c>
      <c r="BB120" s="329">
        <f t="shared" si="44"/>
        <v>33.820799999999998</v>
      </c>
      <c r="BC120" s="331">
        <f t="shared" si="45"/>
        <v>185.89</v>
      </c>
      <c r="BD120" s="328">
        <f t="shared" si="46"/>
        <v>1566.05</v>
      </c>
      <c r="BE120" s="361">
        <f t="shared" si="47"/>
        <v>14</v>
      </c>
      <c r="BF120" s="362">
        <f t="shared" si="48"/>
        <v>8</v>
      </c>
      <c r="BG120" s="329">
        <f t="shared" si="49"/>
        <v>980</v>
      </c>
      <c r="BH120" s="329">
        <f t="shared" si="50"/>
        <v>980</v>
      </c>
      <c r="BI120" s="365">
        <f t="shared" si="51"/>
        <v>44</v>
      </c>
    </row>
    <row r="121" spans="2:61" ht="15.75" thickBot="1" x14ac:dyDescent="0.3">
      <c r="B121" s="289" t="s">
        <v>69</v>
      </c>
      <c r="C121" s="288">
        <v>1180</v>
      </c>
      <c r="D121" s="288">
        <v>1160</v>
      </c>
      <c r="E121" s="288">
        <v>1250</v>
      </c>
      <c r="F121" s="288">
        <v>1200</v>
      </c>
      <c r="G121" s="305">
        <f>технолог!U27</f>
        <v>1</v>
      </c>
      <c r="H121" s="324">
        <f>(E121+15)*(F121+15)*G121*$G$93/1000*(технолог!$I$27)</f>
        <v>4844.5451999999996</v>
      </c>
      <c r="I121" s="290">
        <v>180</v>
      </c>
      <c r="J121" s="287">
        <f t="shared" si="12"/>
        <v>200</v>
      </c>
      <c r="K121" s="288">
        <f t="shared" si="6"/>
        <v>2410</v>
      </c>
      <c r="L121" s="288">
        <f t="shared" si="13"/>
        <v>45.577919999999999</v>
      </c>
      <c r="M121" s="287">
        <f t="shared" si="14"/>
        <v>190</v>
      </c>
      <c r="N121" s="288">
        <f t="shared" si="7"/>
        <v>2410</v>
      </c>
      <c r="O121" s="261">
        <f t="shared" si="15"/>
        <v>43.299023999999996</v>
      </c>
      <c r="P121" s="287">
        <f t="shared" si="16"/>
        <v>1550</v>
      </c>
      <c r="Q121" s="288">
        <f t="shared" si="17"/>
        <v>1545</v>
      </c>
      <c r="R121" s="288">
        <f t="shared" si="18"/>
        <v>113.22378</v>
      </c>
      <c r="S121" s="260">
        <v>35</v>
      </c>
      <c r="T121" s="316">
        <f>S121+10</f>
        <v>45</v>
      </c>
      <c r="U121" s="317">
        <f>E125-49-49+6</f>
        <v>-92</v>
      </c>
      <c r="V121" s="318" t="e">
        <f>T121*U121*#REF!*$F$181/1000*8</f>
        <v>#REF!</v>
      </c>
      <c r="W121" s="317">
        <f>49+S121</f>
        <v>84</v>
      </c>
      <c r="X121" s="317">
        <f t="shared" si="8"/>
        <v>1250</v>
      </c>
      <c r="Y121" s="318">
        <f t="shared" si="9"/>
        <v>1230</v>
      </c>
      <c r="Z121" s="260">
        <f t="shared" si="20"/>
        <v>40</v>
      </c>
      <c r="AA121" s="237">
        <f t="shared" si="21"/>
        <v>7300</v>
      </c>
      <c r="AB121" s="261">
        <f t="shared" si="22"/>
        <v>13.805759999999999</v>
      </c>
      <c r="AC121" s="260">
        <f t="shared" si="23"/>
        <v>40</v>
      </c>
      <c r="AD121" s="237">
        <f t="shared" si="24"/>
        <v>7290</v>
      </c>
      <c r="AE121" s="261">
        <f t="shared" si="25"/>
        <v>13.786847999999999</v>
      </c>
      <c r="AF121" s="260">
        <f t="shared" si="10"/>
        <v>2483</v>
      </c>
      <c r="AG121" s="237">
        <f t="shared" si="26"/>
        <v>1260</v>
      </c>
      <c r="AH121" s="261">
        <f t="shared" si="27"/>
        <v>147.91926240000001</v>
      </c>
      <c r="AI121" s="260">
        <f t="shared" si="11"/>
        <v>2483</v>
      </c>
      <c r="AJ121" s="237">
        <f t="shared" si="28"/>
        <v>1255</v>
      </c>
      <c r="AK121" s="261">
        <f t="shared" si="29"/>
        <v>147.33228120000001</v>
      </c>
      <c r="AL121" s="329">
        <f>(технолог!$I$27/2*((5+6)*2+технолог!$T$27-0.5)+J121*2+K121)/1000*4</f>
        <v>32.44</v>
      </c>
      <c r="AM121" s="329">
        <f t="shared" si="30"/>
        <v>20.8</v>
      </c>
      <c r="AN121" s="329">
        <f t="shared" si="31"/>
        <v>12.38</v>
      </c>
      <c r="AO121" s="330">
        <f t="shared" si="32"/>
        <v>1.28</v>
      </c>
      <c r="AP121" s="329">
        <f t="shared" si="33"/>
        <v>59.52</v>
      </c>
      <c r="AQ121" s="329">
        <f t="shared" si="34"/>
        <v>59.44</v>
      </c>
      <c r="AR121" s="329">
        <f t="shared" si="35"/>
        <v>0</v>
      </c>
      <c r="AS121" s="331">
        <f t="shared" si="36"/>
        <v>13.899999999999999</v>
      </c>
      <c r="AT121" s="328">
        <f t="shared" si="37"/>
        <v>0</v>
      </c>
      <c r="AU121" s="329">
        <f t="shared" si="38"/>
        <v>12</v>
      </c>
      <c r="AV121" s="331">
        <f>(C121*2+D121*2)*технолог!$I$27/1000</f>
        <v>1872</v>
      </c>
      <c r="AW121" s="328">
        <f t="shared" si="39"/>
        <v>16.469200000000001</v>
      </c>
      <c r="AX121" s="331">
        <f t="shared" si="40"/>
        <v>16.447199999999999</v>
      </c>
      <c r="AY121" s="328">
        <f t="shared" si="41"/>
        <v>1.4972000000000001</v>
      </c>
      <c r="AZ121" s="329">
        <f t="shared" si="42"/>
        <v>1.4951999999999999</v>
      </c>
      <c r="BA121" s="328">
        <f t="shared" si="43"/>
        <v>198.48</v>
      </c>
      <c r="BB121" s="329">
        <f t="shared" si="44"/>
        <v>35.908799999999992</v>
      </c>
      <c r="BC121" s="331">
        <f t="shared" si="45"/>
        <v>198.48</v>
      </c>
      <c r="BD121" s="328">
        <f t="shared" si="46"/>
        <v>1884</v>
      </c>
      <c r="BE121" s="361">
        <f t="shared" si="47"/>
        <v>14</v>
      </c>
      <c r="BF121" s="362">
        <f t="shared" si="48"/>
        <v>8</v>
      </c>
      <c r="BG121" s="329">
        <f t="shared" si="49"/>
        <v>1180</v>
      </c>
      <c r="BH121" s="329">
        <f t="shared" si="50"/>
        <v>1175</v>
      </c>
      <c r="BI121" s="365">
        <f t="shared" si="51"/>
        <v>44</v>
      </c>
    </row>
    <row r="122" spans="2:61" ht="15.75" thickBot="1" x14ac:dyDescent="0.3">
      <c r="B122" s="296" t="s">
        <v>186</v>
      </c>
      <c r="C122" s="306">
        <v>1180</v>
      </c>
      <c r="D122" s="306">
        <v>595</v>
      </c>
      <c r="E122" s="306">
        <v>1250</v>
      </c>
      <c r="F122" s="306">
        <v>620</v>
      </c>
      <c r="G122" s="307">
        <f>технолог!U27</f>
        <v>1</v>
      </c>
      <c r="H122" s="325">
        <f>(E122+15)*(F122+15)*G122*$G$93/1000*(технолог!$I$27)</f>
        <v>2531.9227999999998</v>
      </c>
      <c r="I122" s="281">
        <v>180</v>
      </c>
      <c r="J122" s="308">
        <f t="shared" si="12"/>
        <v>200</v>
      </c>
      <c r="K122" s="306">
        <f t="shared" si="6"/>
        <v>2410</v>
      </c>
      <c r="L122" s="306">
        <f t="shared" si="13"/>
        <v>45.577919999999999</v>
      </c>
      <c r="M122" s="308">
        <f t="shared" si="14"/>
        <v>190</v>
      </c>
      <c r="N122" s="306">
        <f t="shared" si="7"/>
        <v>2410</v>
      </c>
      <c r="O122" s="266">
        <f t="shared" si="15"/>
        <v>43.299023999999996</v>
      </c>
      <c r="P122" s="308">
        <f t="shared" si="16"/>
        <v>1550</v>
      </c>
      <c r="Q122" s="306">
        <f t="shared" si="17"/>
        <v>980</v>
      </c>
      <c r="R122" s="306">
        <f t="shared" si="18"/>
        <v>71.818319999999986</v>
      </c>
      <c r="S122" s="269">
        <v>35</v>
      </c>
      <c r="T122" s="319">
        <f>S122+10</f>
        <v>45</v>
      </c>
      <c r="U122" s="320">
        <f>E125-49-49+6</f>
        <v>-92</v>
      </c>
      <c r="V122" s="321" t="e">
        <f>T122*U122*#REF!*D141/1000*8</f>
        <v>#REF!</v>
      </c>
      <c r="W122" s="320">
        <f>49+S122</f>
        <v>84</v>
      </c>
      <c r="X122" s="320">
        <f t="shared" si="8"/>
        <v>1250</v>
      </c>
      <c r="Y122" s="321">
        <f t="shared" si="9"/>
        <v>665</v>
      </c>
      <c r="Z122" s="264">
        <f t="shared" si="20"/>
        <v>40</v>
      </c>
      <c r="AA122" s="265">
        <f t="shared" si="21"/>
        <v>7300</v>
      </c>
      <c r="AB122" s="266">
        <f t="shared" si="22"/>
        <v>13.805759999999999</v>
      </c>
      <c r="AC122" s="264">
        <f t="shared" si="23"/>
        <v>40</v>
      </c>
      <c r="AD122" s="265">
        <f t="shared" si="24"/>
        <v>6160</v>
      </c>
      <c r="AE122" s="266">
        <f t="shared" si="25"/>
        <v>11.649792</v>
      </c>
      <c r="AF122" s="264">
        <f t="shared" si="10"/>
        <v>2483</v>
      </c>
      <c r="AG122" s="265">
        <f t="shared" si="26"/>
        <v>1260</v>
      </c>
      <c r="AH122" s="266">
        <f t="shared" si="27"/>
        <v>147.91926240000001</v>
      </c>
      <c r="AI122" s="264">
        <f t="shared" si="11"/>
        <v>2483</v>
      </c>
      <c r="AJ122" s="265">
        <f t="shared" si="28"/>
        <v>690</v>
      </c>
      <c r="AK122" s="266">
        <f t="shared" si="29"/>
        <v>81.003405599999994</v>
      </c>
      <c r="AL122" s="333">
        <f>(технолог!$I$27/2*((5+6)*2+технолог!$T$27-0.5)+J122*2+K122)/1000*4</f>
        <v>32.44</v>
      </c>
      <c r="AM122" s="333">
        <f t="shared" si="30"/>
        <v>20.8</v>
      </c>
      <c r="AN122" s="333">
        <f t="shared" si="31"/>
        <v>10.119999999999999</v>
      </c>
      <c r="AO122" s="334"/>
      <c r="AP122" s="333">
        <f t="shared" si="33"/>
        <v>59.52</v>
      </c>
      <c r="AQ122" s="333">
        <f t="shared" si="34"/>
        <v>50.4</v>
      </c>
      <c r="AR122" s="333">
        <f t="shared" si="35"/>
        <v>0</v>
      </c>
      <c r="AS122" s="335">
        <f t="shared" si="36"/>
        <v>8.25</v>
      </c>
      <c r="AT122" s="332">
        <f t="shared" si="37"/>
        <v>0</v>
      </c>
      <c r="AU122" s="333">
        <f t="shared" si="38"/>
        <v>6.35</v>
      </c>
      <c r="AV122" s="335">
        <f>(C122*2+D122*2)*технолог!$I$27/1000</f>
        <v>1420</v>
      </c>
      <c r="AW122" s="332">
        <f t="shared" si="39"/>
        <v>16.469200000000001</v>
      </c>
      <c r="AX122" s="335">
        <f t="shared" si="40"/>
        <v>13.9612</v>
      </c>
      <c r="AY122" s="332">
        <f t="shared" si="41"/>
        <v>1.4972000000000001</v>
      </c>
      <c r="AZ122" s="333">
        <f t="shared" si="42"/>
        <v>1.2691999999999999</v>
      </c>
      <c r="BA122" s="332">
        <f t="shared" si="43"/>
        <v>181.53</v>
      </c>
      <c r="BB122" s="333">
        <f t="shared" si="44"/>
        <v>33.196799999999996</v>
      </c>
      <c r="BC122" s="335">
        <f t="shared" si="45"/>
        <v>181.53</v>
      </c>
      <c r="BD122" s="332">
        <f t="shared" si="46"/>
        <v>1426.35</v>
      </c>
      <c r="BE122" s="363">
        <f t="shared" si="47"/>
        <v>14</v>
      </c>
      <c r="BF122" s="372">
        <f t="shared" si="48"/>
        <v>8</v>
      </c>
      <c r="BG122" s="333">
        <f t="shared" si="49"/>
        <v>1180</v>
      </c>
      <c r="BH122" s="333">
        <f>D122+15</f>
        <v>610</v>
      </c>
      <c r="BI122" s="366">
        <f t="shared" si="51"/>
        <v>44</v>
      </c>
    </row>
    <row r="127" spans="2:61" x14ac:dyDescent="0.25">
      <c r="D127" s="292"/>
    </row>
    <row r="128" spans="2:61" ht="15.75" thickBot="1" x14ac:dyDescent="0.3">
      <c r="D128" s="292"/>
      <c r="AW128"/>
      <c r="AX128"/>
      <c r="AY128"/>
      <c r="AZ128" s="565" t="s">
        <v>336</v>
      </c>
      <c r="BA128" s="565"/>
      <c r="BB128" s="378"/>
      <c r="BF128" s="9" t="s">
        <v>366</v>
      </c>
    </row>
    <row r="129" spans="4:61" x14ac:dyDescent="0.25">
      <c r="D129" s="292"/>
      <c r="AW129" s="257"/>
      <c r="AX129" s="258"/>
      <c r="AY129" s="258"/>
      <c r="AZ129" s="258" t="s">
        <v>353</v>
      </c>
      <c r="BA129" s="146" t="s">
        <v>354</v>
      </c>
      <c r="BB129" s="146"/>
      <c r="BC129" s="258" t="s">
        <v>355</v>
      </c>
      <c r="BD129" s="367" t="s">
        <v>356</v>
      </c>
      <c r="BF129" s="9">
        <v>280</v>
      </c>
    </row>
    <row r="130" spans="4:61" ht="15.75" thickBot="1" x14ac:dyDescent="0.3">
      <c r="D130" s="292"/>
      <c r="AW130" s="260" t="s">
        <v>357</v>
      </c>
      <c r="AX130" s="237"/>
      <c r="AY130" s="237"/>
      <c r="AZ130" s="237">
        <f>ROUNDDOWN(IF($H$99&lt;=$BF$129,0,(ROUND($H$99/$BF$129,0))),0)</f>
        <v>9</v>
      </c>
      <c r="BA130" s="49">
        <f>ROUNDDOWN(IF(H99&lt;=$BF$129,0,(ROUND(H99/$BF$129,0))),0)</f>
        <v>9</v>
      </c>
      <c r="BB130" s="49"/>
      <c r="BC130" s="237">
        <f>ROUNDDOWN(IF(H99&lt;=$BF$129,0,(ROUND(H99/$BF$129,0))),0)</f>
        <v>9</v>
      </c>
      <c r="BD130" s="143">
        <f>ROUNDDOWN(IF(H99&lt;=$BF$129,0,(ROUND(H99/$BF$129,0))),0)</f>
        <v>9</v>
      </c>
    </row>
    <row r="131" spans="4:61" ht="15.75" thickBot="1" x14ac:dyDescent="0.3">
      <c r="D131" s="293"/>
      <c r="AW131" s="142" t="s">
        <v>358</v>
      </c>
      <c r="AX131" s="49"/>
      <c r="AY131" s="49"/>
      <c r="AZ131" s="370">
        <f>IF(H99/(AZ130+1)&lt;$BF$129,AZ130-1,AZ130)</f>
        <v>8</v>
      </c>
      <c r="BA131" s="327">
        <f>IF(H99/(BA130+1)&lt;$BF$129,BA130-1,BA130)</f>
        <v>8</v>
      </c>
      <c r="BB131" s="327"/>
      <c r="BC131" s="327">
        <f>IF(H99/(BC130+1)&lt;$BF$129,BC130-1,BC130)</f>
        <v>8</v>
      </c>
      <c r="BD131" s="371">
        <f>IF(H99/(BD130+1)&lt;$BF$129,BD130-1,BD130)</f>
        <v>8</v>
      </c>
    </row>
    <row r="132" spans="4:61" ht="15.75" thickBot="1" x14ac:dyDescent="0.3">
      <c r="D132" s="292"/>
      <c r="AW132" s="142" t="s">
        <v>359</v>
      </c>
      <c r="AX132" s="49"/>
      <c r="AY132" s="49"/>
      <c r="AZ132" s="49">
        <f>IF($AO$105=1,0,IF(AO106=FALSE,(AO105-1)/2,AO105/2))</f>
        <v>0</v>
      </c>
      <c r="BA132" s="49">
        <f>IF(AO106=FALSE,AZ132,AZ132-1)</f>
        <v>0</v>
      </c>
      <c r="BB132" s="49"/>
      <c r="BC132" s="49">
        <f>IF($AS$105=1,0,IF(AS106=FALSE,(AS105-1)/2,AS105/2))</f>
        <v>3</v>
      </c>
      <c r="BD132" s="143">
        <f>IF(AS106=FALSE,BC132,BC132-1)</f>
        <v>2</v>
      </c>
    </row>
    <row r="133" spans="4:61" ht="15.75" thickBot="1" x14ac:dyDescent="0.3">
      <c r="D133" s="292"/>
      <c r="AW133" s="260" t="s">
        <v>337</v>
      </c>
      <c r="AX133" s="237"/>
      <c r="AY133" s="237"/>
      <c r="AZ133" s="290" t="e">
        <f>IF(AO105=2,AZ138,IF(AO106=TRUE,AZ139,AZ140))</f>
        <v>#DIV/0!</v>
      </c>
      <c r="BA133" s="326" t="e">
        <f>IF(AO105=2,BA138,IF(AO106=TRUE,BA139,BA140))</f>
        <v>#DIV/0!</v>
      </c>
      <c r="BB133" s="326"/>
      <c r="BC133" s="326">
        <f>IF(AS105=2,BC138,IF(AS106=TRUE,BC139,BC140))</f>
        <v>2</v>
      </c>
      <c r="BD133" s="277">
        <f>IF(AS105=2,BD138,IF(AS106=TRUE,BD139,BD140))</f>
        <v>6</v>
      </c>
    </row>
    <row r="134" spans="4:61" ht="15.75" thickBot="1" x14ac:dyDescent="0.3">
      <c r="D134" s="294"/>
      <c r="AS134" s="9">
        <f>IF($H$99/$AS$105&gt;(1.5*$BF$129),ROUNDDOWN($H$99/$AS$105/$BF$129,0),0)</f>
        <v>0</v>
      </c>
      <c r="AW134" s="264" t="s">
        <v>364</v>
      </c>
      <c r="AX134" s="265"/>
      <c r="AY134" s="265"/>
      <c r="AZ134" s="265">
        <f>IF(AO105=1,AZ131-1,AZ133)</f>
        <v>7</v>
      </c>
      <c r="BA134" s="265">
        <f>IF(AO105=1,BA131-1,BA133)</f>
        <v>7</v>
      </c>
      <c r="BB134" s="265"/>
      <c r="BC134" s="265">
        <f>IF(AS105=1,BC131-1,BC133)</f>
        <v>2</v>
      </c>
      <c r="BD134" s="266">
        <f>IF(AS105=1,BD131-1,BD133)</f>
        <v>6</v>
      </c>
    </row>
    <row r="135" spans="4:61" x14ac:dyDescent="0.25">
      <c r="D135" s="293"/>
      <c r="AS135" s="9">
        <f>IF(($H$99-$H$99/$AS$105)/(ROUNDDOWN($AS$105/2,0))&gt;1.5*$BF$129,((ROUNDDOWN($H$99/($AS$105/2)/$BF$129,0))-1)*ROUNDDOWN($AS$105/2,0),0)</f>
        <v>3</v>
      </c>
      <c r="BI135"/>
    </row>
    <row r="136" spans="4:61" x14ac:dyDescent="0.25">
      <c r="D136" s="292"/>
      <c r="BI136"/>
    </row>
    <row r="137" spans="4:61" x14ac:dyDescent="0.25">
      <c r="D137" s="293"/>
      <c r="AY137" s="9" t="s">
        <v>363</v>
      </c>
      <c r="AZ137" s="9">
        <f>AZ131</f>
        <v>8</v>
      </c>
      <c r="BA137" s="9">
        <f t="shared" ref="BA137:BD137" si="53">BA131</f>
        <v>8</v>
      </c>
      <c r="BC137" s="9">
        <f t="shared" si="53"/>
        <v>8</v>
      </c>
      <c r="BD137" s="9">
        <f t="shared" si="53"/>
        <v>8</v>
      </c>
      <c r="BI137"/>
    </row>
    <row r="138" spans="4:61" x14ac:dyDescent="0.25">
      <c r="D138" s="292"/>
      <c r="AS138" s="9" t="b">
        <f>($H$99-$H$99/$AS$105)/(ROUNDDOWN($AS$105/2,0))&gt;1.5*$BF$129</f>
        <v>1</v>
      </c>
      <c r="AY138" s="9" t="s">
        <v>360</v>
      </c>
      <c r="AZ138" s="9">
        <f>IF($H$99/2&gt;=1.5*$BF$129,(ROUND($H$99/2/$BF$129,0)-1)*2)</f>
        <v>6</v>
      </c>
      <c r="BA138" s="9">
        <f>IF($H$99&gt;$BF$129,ROUNDDOWN($H$99/$BF$129,0)-1,0)</f>
        <v>7</v>
      </c>
      <c r="BC138" s="9">
        <f>IF($H$99/2&gt;=1.5*$BF$129,(ROUND($H$99/2/$BF$129,0)-1)*2)</f>
        <v>6</v>
      </c>
      <c r="BD138" s="9">
        <f>IF($H$99&gt;$BF$129,ROUNDDOWN($H$99/$BF$129,0)-1,0)</f>
        <v>7</v>
      </c>
      <c r="BI138"/>
    </row>
    <row r="139" spans="4:61" x14ac:dyDescent="0.25">
      <c r="D139" s="295"/>
      <c r="AY139" s="9" t="s">
        <v>361</v>
      </c>
      <c r="AZ139" s="9">
        <f>IF($H$99/$AO$105&gt;(1.5*$BF$129),(ROUND($H$99/$AO$105/$BF$129,0)-1)*2,0)+IF($H$99/$AO$105*2&gt;$BF$129,(ROUNDDOWN($H$99/$AO$105*2/$BF$129,0)-1)*($AO$105/2-1),0)</f>
        <v>8</v>
      </c>
      <c r="BA139" s="9">
        <f>IF($H$99/($AO$105/2)&gt;(1.5*$BF$129),ROUND(($H$99/($AO$105/2)/$BF$129)-1,0)*($AO$105/2),0)</f>
        <v>8</v>
      </c>
      <c r="BC139" s="9">
        <f>IF($H$99/$AS$105&gt;(1.5*$BF$129),(ROUND($H$99/$AS$105/$BF$129,0)-1)*2,0)+IF($H$99/$AS$105*2&gt;$BF$129,(ROUNDDOWN($H$99/$AS$105*2/$BF$129,0)-1)*($AS$105/2-1),0)</f>
        <v>2</v>
      </c>
      <c r="BD139" s="9">
        <f>IF($H$99/($AS$105/2)&gt;(1.5*$BF$129),ROUND(($H$99/($AS$105/2)/$BF$129)-1,0)*($AS$105/2),0)</f>
        <v>6</v>
      </c>
      <c r="BI139"/>
    </row>
    <row r="140" spans="4:61" x14ac:dyDescent="0.25">
      <c r="AY140" s="9" t="s">
        <v>362</v>
      </c>
      <c r="AZ140" s="9" t="e">
        <f>IF($H$99/$AO$105&gt;(1.5*$BF$129),ROUNDDOWN($H$99/$AO$105/$BF$129,0),0)+IF(($H$99-$H$99/$AO$105)/(ROUNDDOWN($AO$105/2,0))&gt;1.5*$BF$129,((ROUND($H$99/($AO$105/2)/$BF$129,0))-1)*ROUNDDOWN($AO$105/2,0),0)</f>
        <v>#DIV/0!</v>
      </c>
      <c r="BA140" s="9" t="e">
        <f>IF($H$99/$AO$105&gt;(1.5*$BF$129),ROUNDDOWN($H$99/$AO$105/$BF$129,0),0)+IF(($H$99-$H$99/$AO$105)/(ROUNDDOWN($AO$105/2,0))&gt;1.5*$BF$129,((ROUND($H$99/($AO$105/2)/$BF$129,0))-1)*ROUNDDOWN($AO$105/2,0),0)</f>
        <v>#DIV/0!</v>
      </c>
      <c r="BC140" s="9">
        <f>IF($H$99/$AS$105&gt;(1.5*$BF$129),ROUNDDOWN($H$99/$AS$105/$BF$129,0),0)+IF(($H$99-$H$99/$AS$105)/(ROUNDDOWN($AS$105/2,0))&gt;1.5*$BF$129,((ROUND($H$99/($AS$105/2)/$BF$129,0))-1)*ROUNDDOWN($AS$105/2,0),0)</f>
        <v>6</v>
      </c>
      <c r="BD140" s="9">
        <f>IF($H$99/$AS$105&gt;(1.5*$BF$129),ROUNDDOWN($H$99/$AS$105/$BF$129,0),0)+IF(($H$99-$H$99/$AS$105)/(ROUNDDOWN($AS$105/2,0))&gt;1.5*$BF$129,((ROUND($H$99/($AS$105/2)/$BF$129,0))-1)*ROUNDDOWN($AS$105/2,0),0)</f>
        <v>6</v>
      </c>
      <c r="BI140"/>
    </row>
    <row r="141" spans="4:61" x14ac:dyDescent="0.25">
      <c r="BI141"/>
    </row>
    <row r="142" spans="4:61" x14ac:dyDescent="0.25">
      <c r="BI142"/>
    </row>
    <row r="143" spans="4:61" x14ac:dyDescent="0.25">
      <c r="BI143"/>
    </row>
    <row r="144" spans="4:61" ht="15.75" thickBot="1" x14ac:dyDescent="0.3">
      <c r="BI144"/>
    </row>
    <row r="145" spans="49:61" ht="15.75" thickBot="1" x14ac:dyDescent="0.3">
      <c r="AW145" s="339"/>
      <c r="AX145" s="368" t="s">
        <v>338</v>
      </c>
      <c r="AY145" s="369"/>
      <c r="BA145"/>
      <c r="BB145"/>
      <c r="BC145"/>
      <c r="BD145"/>
      <c r="BE145" t="s">
        <v>347</v>
      </c>
      <c r="BF145"/>
      <c r="BG145"/>
      <c r="BH145" t="s">
        <v>348</v>
      </c>
      <c r="BI145"/>
    </row>
    <row r="146" spans="49:61" ht="30.75" thickBot="1" x14ac:dyDescent="0.45">
      <c r="AW146" s="340"/>
      <c r="AX146" s="341" t="s">
        <v>345</v>
      </c>
      <c r="AY146" s="342" t="s">
        <v>346</v>
      </c>
      <c r="BA146" s="351" t="s">
        <v>349</v>
      </c>
      <c r="BB146" s="433"/>
      <c r="BC146" s="352" t="s">
        <v>350</v>
      </c>
      <c r="BD146" s="352" t="s">
        <v>351</v>
      </c>
      <c r="BE146" s="353" t="s">
        <v>350</v>
      </c>
      <c r="BF146"/>
      <c r="BG146" s="350" t="s">
        <v>352</v>
      </c>
      <c r="BH146" s="350" t="s">
        <v>350</v>
      </c>
      <c r="BI146"/>
    </row>
    <row r="147" spans="49:61" ht="30.75" thickBot="1" x14ac:dyDescent="0.3">
      <c r="AW147" s="373" t="s">
        <v>339</v>
      </c>
      <c r="AX147" s="343">
        <f>IFERROR(ROUNDUP(BA147/ROUNDDOWN(1000/BC147,0),0),0)</f>
        <v>14</v>
      </c>
      <c r="AY147" s="344">
        <f>IFERROR(ROUNDUP(BD147/ROUNDDOWN(1000/BE147,0),0),0)</f>
        <v>8</v>
      </c>
      <c r="BA147" s="354">
        <f>IF(VLOOKUP(D104,B110:BE122,56,0)&lt;0,0,VLOOKUP(D104,B110:BE122,56,0))</f>
        <v>14</v>
      </c>
      <c r="BB147" s="434"/>
      <c r="BC147" s="355">
        <f>VLOOKUP(D104,B110:BG122,58,0)</f>
        <v>732</v>
      </c>
      <c r="BD147" s="356">
        <f>IF(VLOOKUP(D104,B110:BF122,56,0)&lt;0,0,VLOOKUP(D104,B110:BF122,57,0))</f>
        <v>8</v>
      </c>
      <c r="BE147" s="301">
        <f>VLOOKUP(D104,B110:BH122,59,0)</f>
        <v>730</v>
      </c>
      <c r="BF147"/>
      <c r="BG147" s="358">
        <v>8</v>
      </c>
      <c r="BH147" s="358">
        <f>H99</f>
        <v>2400</v>
      </c>
      <c r="BI147"/>
    </row>
    <row r="148" spans="49:61" ht="30" x14ac:dyDescent="0.25">
      <c r="AW148" s="373" t="s">
        <v>340</v>
      </c>
      <c r="AX148" s="343">
        <f>AX147+AY147</f>
        <v>22</v>
      </c>
      <c r="AY148" s="344"/>
      <c r="BA148" s="357"/>
      <c r="BB148" s="357"/>
      <c r="BC148" s="357"/>
      <c r="BD148" s="267"/>
      <c r="BE148" s="267"/>
      <c r="BF148"/>
      <c r="BG148" s="267"/>
      <c r="BH148" s="267"/>
      <c r="BI148"/>
    </row>
    <row r="149" spans="49:61" ht="60" x14ac:dyDescent="0.25">
      <c r="AW149" s="373" t="s">
        <v>365</v>
      </c>
      <c r="AX149" s="343">
        <f>IF(BH147&lt;1000,8,0)+IF(AND(BH147&gt;2500,BH147&lt;3000),8,0)+IF(AND(BH147&gt;2000,BH147&lt;2500),4,0)</f>
        <v>4</v>
      </c>
      <c r="AY149" s="344"/>
      <c r="BA149" s="357"/>
      <c r="BB149" s="357"/>
      <c r="BC149" s="357"/>
      <c r="BD149" s="267"/>
      <c r="BE149" s="267"/>
      <c r="BF149"/>
      <c r="BG149" s="267"/>
      <c r="BH149" s="267"/>
      <c r="BI149"/>
    </row>
    <row r="150" spans="49:61" ht="30" x14ac:dyDescent="0.25">
      <c r="AW150" s="373" t="s">
        <v>341</v>
      </c>
      <c r="AX150" s="345">
        <f>IF(BH147&gt;1000,8,0)+IF(AND(BH147&gt;3000,BH147&lt;4000),8,0)</f>
        <v>8</v>
      </c>
      <c r="AY150" s="344"/>
      <c r="BA150" s="357"/>
      <c r="BB150" s="357"/>
      <c r="BC150" s="357"/>
      <c r="BD150" s="267"/>
      <c r="BE150" s="267"/>
      <c r="BF150"/>
      <c r="BG150" s="267"/>
      <c r="BH150" s="267"/>
      <c r="BI150"/>
    </row>
    <row r="151" spans="49:61" ht="30.75" thickBot="1" x14ac:dyDescent="0.3">
      <c r="AW151" s="374" t="s">
        <v>342</v>
      </c>
      <c r="AX151" s="346">
        <f>AX147+AY147+AX149</f>
        <v>26</v>
      </c>
      <c r="AY151" s="347"/>
      <c r="BA151" s="357"/>
      <c r="BB151" s="357"/>
      <c r="BC151" s="357"/>
      <c r="BD151" s="267"/>
      <c r="BE151" s="267"/>
      <c r="BF151"/>
      <c r="BG151" s="267"/>
      <c r="BH151" s="267"/>
      <c r="BI151"/>
    </row>
    <row r="152" spans="49:61" ht="45" x14ac:dyDescent="0.25">
      <c r="AW152" s="375" t="s">
        <v>343</v>
      </c>
      <c r="AX152" s="258">
        <f>(IF(B121=D104,BA147,0))</f>
        <v>0</v>
      </c>
      <c r="AY152" s="259">
        <f>(IF(B121=D104,BD147,0))</f>
        <v>0</v>
      </c>
      <c r="BA152" s="357"/>
      <c r="BB152" s="357"/>
      <c r="BC152" s="357"/>
      <c r="BD152" s="267"/>
      <c r="BE152" s="267"/>
      <c r="BF152"/>
      <c r="BG152" s="267"/>
      <c r="BH152" s="267"/>
      <c r="BI152"/>
    </row>
    <row r="153" spans="49:61" ht="45.75" thickBot="1" x14ac:dyDescent="0.3">
      <c r="AW153" s="376" t="s">
        <v>344</v>
      </c>
      <c r="AX153" s="265">
        <f>(IF(B122=D104,BA147,0))</f>
        <v>0</v>
      </c>
      <c r="AY153" s="266"/>
      <c r="BA153" s="357"/>
      <c r="BB153" s="357"/>
      <c r="BC153" s="357"/>
      <c r="BD153" s="267"/>
      <c r="BE153" s="267"/>
      <c r="BF153"/>
      <c r="BG153" s="267"/>
      <c r="BH153" s="267"/>
      <c r="BI153"/>
    </row>
    <row r="154" spans="49:61" x14ac:dyDescent="0.25">
      <c r="BA154" s="357"/>
      <c r="BB154" s="357"/>
      <c r="BC154" s="357"/>
      <c r="BD154" s="267"/>
      <c r="BE154" s="267"/>
      <c r="BF154"/>
      <c r="BG154" s="267"/>
      <c r="BH154" s="267"/>
      <c r="BI154"/>
    </row>
    <row r="155" spans="49:61" x14ac:dyDescent="0.25">
      <c r="BA155" s="357"/>
      <c r="BB155" s="357"/>
      <c r="BC155" s="357"/>
      <c r="BD155" s="267"/>
      <c r="BE155" s="267"/>
      <c r="BF155"/>
      <c r="BG155" s="267"/>
      <c r="BH155" s="267"/>
      <c r="BI155"/>
    </row>
    <row r="156" spans="49:61" x14ac:dyDescent="0.25">
      <c r="BA156" s="256"/>
      <c r="BB156" s="256"/>
      <c r="BC156"/>
      <c r="BD156"/>
      <c r="BE156"/>
      <c r="BF156"/>
      <c r="BG156"/>
      <c r="BH156"/>
      <c r="BI156"/>
    </row>
    <row r="157" spans="49:61" x14ac:dyDescent="0.25">
      <c r="BA157" s="256"/>
      <c r="BB157" s="256"/>
      <c r="BC157"/>
      <c r="BD157"/>
      <c r="BE157"/>
      <c r="BF157"/>
      <c r="BG157"/>
      <c r="BH157"/>
      <c r="BI157"/>
    </row>
    <row r="158" spans="49:61" x14ac:dyDescent="0.25">
      <c r="BA158"/>
      <c r="BB158"/>
      <c r="BC158"/>
      <c r="BD158"/>
      <c r="BE158"/>
      <c r="BF158"/>
      <c r="BG158"/>
      <c r="BH158"/>
    </row>
    <row r="159" spans="49:61" x14ac:dyDescent="0.25">
      <c r="BA159"/>
      <c r="BB159"/>
      <c r="BC159"/>
      <c r="BD159"/>
      <c r="BE159"/>
      <c r="BF159"/>
      <c r="BG159"/>
      <c r="BH159"/>
    </row>
    <row r="160" spans="49:61" x14ac:dyDescent="0.25">
      <c r="BA160"/>
      <c r="BB160"/>
      <c r="BC160"/>
      <c r="BD160"/>
      <c r="BE160"/>
      <c r="BF160" s="348"/>
      <c r="BG160"/>
      <c r="BH160"/>
    </row>
    <row r="161" spans="53:60" x14ac:dyDescent="0.25">
      <c r="BA161"/>
      <c r="BB161"/>
      <c r="BC161"/>
      <c r="BD161"/>
      <c r="BE161"/>
      <c r="BF161" s="349"/>
      <c r="BG161"/>
      <c r="BH161"/>
    </row>
    <row r="162" spans="53:60" x14ac:dyDescent="0.25">
      <c r="BA162"/>
      <c r="BB162"/>
      <c r="BC162"/>
      <c r="BD162"/>
      <c r="BE162"/>
      <c r="BF162" s="349"/>
      <c r="BG162"/>
      <c r="BH162"/>
    </row>
  </sheetData>
  <mergeCells count="114">
    <mergeCell ref="F4:I4"/>
    <mergeCell ref="AZ128:BA128"/>
    <mergeCell ref="Z109:AB109"/>
    <mergeCell ref="AC109:AE109"/>
    <mergeCell ref="AF109:AH109"/>
    <mergeCell ref="AI109:AK109"/>
    <mergeCell ref="H99:I99"/>
    <mergeCell ref="J109:L109"/>
    <mergeCell ref="M109:O109"/>
    <mergeCell ref="P109:R109"/>
    <mergeCell ref="T109:V109"/>
    <mergeCell ref="W109:Y109"/>
    <mergeCell ref="K50:L50"/>
    <mergeCell ref="K51:L51"/>
    <mergeCell ref="K52:L52"/>
    <mergeCell ref="I42:M43"/>
    <mergeCell ref="I44:L44"/>
    <mergeCell ref="I45:L45"/>
    <mergeCell ref="I46:L46"/>
    <mergeCell ref="B48:O48"/>
    <mergeCell ref="B46:C46"/>
    <mergeCell ref="E46:F46"/>
    <mergeCell ref="B42:G42"/>
    <mergeCell ref="B50:C52"/>
    <mergeCell ref="B54:B57"/>
    <mergeCell ref="A15:C15"/>
    <mergeCell ref="A16:C16"/>
    <mergeCell ref="A17:C17"/>
    <mergeCell ref="B19:B20"/>
    <mergeCell ref="C20:D20"/>
    <mergeCell ref="B21:D21"/>
    <mergeCell ref="C25:D25"/>
    <mergeCell ref="B24:G24"/>
    <mergeCell ref="B25:B26"/>
    <mergeCell ref="C26:D26"/>
    <mergeCell ref="B43:C43"/>
    <mergeCell ref="E43:F43"/>
    <mergeCell ref="B44:C44"/>
    <mergeCell ref="E44:F44"/>
    <mergeCell ref="B45:C45"/>
    <mergeCell ref="E45:F45"/>
    <mergeCell ref="C19:D19"/>
    <mergeCell ref="B2:E2"/>
    <mergeCell ref="B4:E4"/>
    <mergeCell ref="I7:N7"/>
    <mergeCell ref="D9:E9"/>
    <mergeCell ref="F9:G9"/>
    <mergeCell ref="A8:C8"/>
    <mergeCell ref="A9:C9"/>
    <mergeCell ref="A14:C14"/>
    <mergeCell ref="D10:E10"/>
    <mergeCell ref="F10:G10"/>
    <mergeCell ref="H8:Q8"/>
    <mergeCell ref="N2:T2"/>
    <mergeCell ref="N4:T4"/>
    <mergeCell ref="N5:T5"/>
    <mergeCell ref="N6:T6"/>
    <mergeCell ref="N3:T3"/>
    <mergeCell ref="N11:O11"/>
    <mergeCell ref="F11:G11"/>
    <mergeCell ref="A11:C11"/>
    <mergeCell ref="A10:C10"/>
    <mergeCell ref="E13:G13"/>
    <mergeCell ref="A13:C13"/>
    <mergeCell ref="A12:C12"/>
    <mergeCell ref="D12:E12"/>
    <mergeCell ref="O18:Q18"/>
    <mergeCell ref="D11:E11"/>
    <mergeCell ref="O27:T27"/>
    <mergeCell ref="H18:M18"/>
    <mergeCell ref="H24:M24"/>
    <mergeCell ref="H25:H26"/>
    <mergeCell ref="W36:Y36"/>
    <mergeCell ref="AO38:AO39"/>
    <mergeCell ref="AP38:AP39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2:Y32"/>
    <mergeCell ref="W33:Y33"/>
    <mergeCell ref="C75:G76"/>
    <mergeCell ref="K75:L76"/>
    <mergeCell ref="M75:N76"/>
    <mergeCell ref="O75:P76"/>
    <mergeCell ref="H75:J76"/>
    <mergeCell ref="W16:X16"/>
    <mergeCell ref="H19:H20"/>
    <mergeCell ref="I19:J19"/>
    <mergeCell ref="I20:J20"/>
    <mergeCell ref="H21:J21"/>
    <mergeCell ref="W34:Y34"/>
    <mergeCell ref="W35:Y35"/>
    <mergeCell ref="W31:Y31"/>
    <mergeCell ref="I26:J26"/>
    <mergeCell ref="I25:J25"/>
    <mergeCell ref="K54:L57"/>
    <mergeCell ref="H27:J27"/>
    <mergeCell ref="B39:E39"/>
    <mergeCell ref="B37:F37"/>
    <mergeCell ref="H37:I37"/>
    <mergeCell ref="B27:D27"/>
    <mergeCell ref="J37:K37"/>
    <mergeCell ref="L37:M37"/>
    <mergeCell ref="B18:G18"/>
  </mergeCells>
  <dataValidations disablePrompts="1" xWindow="445" yWindow="1004" count="10">
    <dataValidation type="list" allowBlank="1" showInputMessage="1" showErrorMessage="1" promptTitle="Размер фланцев" prompt="ЗАПОЛНИ ОБЯЗАТЕЛЬНО!" sqref="D28:D29 J28:J29">
      <formula1>Фланцы</formula1>
    </dataValidation>
    <dataValidation type="list" allowBlank="1" showInputMessage="1" showErrorMessage="1" promptTitle="Размер фланцев" prompt="ЗАПОЛНИ ОБЯЗАТЕЛЬНО!" sqref="C28:C29 I28:I29">
      <formula1>Рядность_фланцев</formula1>
    </dataValidation>
    <dataValidation type="list" showInputMessage="1" showErrorMessage="1" promptTitle="материал" prompt="выбери обязательно" sqref="P20">
      <formula1>материал_крепежа_панелей</formula1>
    </dataValidation>
    <dataValidation type="list" allowBlank="1" showInputMessage="1" showErrorMessage="1" promptTitle="покрытие" prompt="выбери обязательно" sqref="P21">
      <formula1>покрытие_крепежа_панелей</formula1>
    </dataValidation>
    <dataValidation type="list" allowBlank="1" showInputMessage="1" showErrorMessage="1" promptTitle="размер" prompt="имеет значение" sqref="P22">
      <formula1>размер_крепежа_панелей</formula1>
    </dataValidation>
    <dataValidation type="list" allowBlank="1" showInputMessage="1" showErrorMessage="1" promptTitle="размер" prompt="имеет значение" sqref="P29 P33 P37 P41">
      <formula1>размер_крепежа_для_фланцев</formula1>
    </dataValidation>
    <dataValidation type="list" allowBlank="1" showInputMessage="1" showErrorMessage="1" promptTitle="материал" prompt="выбери" sqref="Q29 Q33 Q37 Q41">
      <formula1>материал_крепежа_для_фланцев</formula1>
    </dataValidation>
    <dataValidation type="list" allowBlank="1" showInputMessage="1" showErrorMessage="1" promptTitle="покрытие" prompt="выбери" sqref="R29 R33 R37 R41">
      <formula1>покрытие_крепежа_для_фланцев</formula1>
    </dataValidation>
    <dataValidation type="list" allowBlank="1" showInputMessage="1" showError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qref="F39">
      <formula1>"1,2,3,4"</formula1>
    </dataValidation>
    <dataValidation type="list" allowBlank="1" showInputMessage="1" showErrorMessage="1" promptTitle="материал_корпуса" sqref="D9:E9">
      <formula1>$AU$47:$AU$54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38"/>
  <sheetViews>
    <sheetView topLeftCell="E18" workbookViewId="0">
      <selection activeCell="I48" sqref="I48"/>
    </sheetView>
  </sheetViews>
  <sheetFormatPr defaultRowHeight="15" x14ac:dyDescent="0.25"/>
  <cols>
    <col min="5" max="24" width="15.7109375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spans="5:24" ht="15.75" hidden="1" thickBot="1" x14ac:dyDescent="0.3"/>
    <row r="18" spans="5:24" ht="15.75" thickTop="1" x14ac:dyDescent="0.25">
      <c r="F18" s="636" t="s">
        <v>229</v>
      </c>
      <c r="G18" s="637"/>
      <c r="H18" s="637"/>
      <c r="I18" s="637"/>
      <c r="J18" s="637"/>
      <c r="K18" s="637"/>
      <c r="L18" s="637"/>
      <c r="M18" s="637"/>
      <c r="N18" s="637"/>
      <c r="O18" s="637"/>
      <c r="P18" s="637"/>
      <c r="Q18" s="637"/>
      <c r="R18" s="637"/>
      <c r="S18" s="637"/>
      <c r="T18" s="637"/>
      <c r="U18" s="637"/>
      <c r="V18" s="637"/>
      <c r="W18" s="637"/>
      <c r="X18" s="638"/>
    </row>
    <row r="19" spans="5:24" x14ac:dyDescent="0.25">
      <c r="F19" s="639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1"/>
    </row>
    <row r="20" spans="5:24" x14ac:dyDescent="0.25">
      <c r="F20" s="639"/>
      <c r="G20" s="640"/>
      <c r="H20" s="640"/>
      <c r="I20" s="640"/>
      <c r="J20" s="640"/>
      <c r="K20" s="640"/>
      <c r="L20" s="640"/>
      <c r="M20" s="640"/>
      <c r="N20" s="640"/>
      <c r="O20" s="640"/>
      <c r="P20" s="640"/>
      <c r="Q20" s="640"/>
      <c r="R20" s="640"/>
      <c r="S20" s="640"/>
      <c r="T20" s="640"/>
      <c r="U20" s="640"/>
      <c r="V20" s="640"/>
      <c r="W20" s="640"/>
      <c r="X20" s="641"/>
    </row>
    <row r="21" spans="5:24" ht="15.75" thickBot="1" x14ac:dyDescent="0.3">
      <c r="F21" s="642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3"/>
      <c r="X21" s="644"/>
    </row>
    <row r="22" spans="5:24" ht="15.75" thickBot="1" x14ac:dyDescent="0.3">
      <c r="F22" s="645"/>
      <c r="G22" s="646"/>
      <c r="H22" s="646"/>
      <c r="I22" s="646"/>
      <c r="J22" s="646"/>
      <c r="K22" s="646"/>
      <c r="L22" s="646"/>
      <c r="M22" s="646"/>
      <c r="N22" s="646"/>
      <c r="O22" s="646"/>
      <c r="P22" s="646"/>
      <c r="Q22" s="646"/>
      <c r="R22" s="646"/>
      <c r="S22" s="646"/>
      <c r="T22" s="646"/>
      <c r="U22" s="646"/>
      <c r="V22" s="646"/>
      <c r="W22" s="646"/>
      <c r="X22" s="647"/>
    </row>
    <row r="23" spans="5:24" ht="15.75" thickBot="1" x14ac:dyDescent="0.3">
      <c r="F23" s="648" t="s">
        <v>221</v>
      </c>
      <c r="G23" s="651" t="s">
        <v>219</v>
      </c>
      <c r="H23" s="652"/>
      <c r="I23" s="652"/>
      <c r="J23" s="653"/>
      <c r="K23" s="654" t="s">
        <v>220</v>
      </c>
      <c r="L23" s="655"/>
      <c r="M23" s="656"/>
      <c r="N23" s="657" t="s">
        <v>42</v>
      </c>
      <c r="O23" s="660" t="s">
        <v>44</v>
      </c>
      <c r="P23" s="660" t="s">
        <v>45</v>
      </c>
      <c r="Q23" s="664" t="s">
        <v>230</v>
      </c>
      <c r="R23" s="665"/>
      <c r="S23" s="665"/>
      <c r="T23" s="665"/>
      <c r="U23" s="665"/>
      <c r="V23" s="665"/>
      <c r="W23" s="666"/>
      <c r="X23" s="667" t="s">
        <v>36</v>
      </c>
    </row>
    <row r="24" spans="5:24" ht="85.5" customHeight="1" x14ac:dyDescent="0.25">
      <c r="E24" s="224"/>
      <c r="F24" s="649"/>
      <c r="G24" s="610" t="s">
        <v>31</v>
      </c>
      <c r="H24" s="614" t="s">
        <v>40</v>
      </c>
      <c r="I24" s="674" t="s">
        <v>29</v>
      </c>
      <c r="J24" s="672" t="s">
        <v>30</v>
      </c>
      <c r="K24" s="613" t="s">
        <v>218</v>
      </c>
      <c r="L24" s="615" t="s">
        <v>210</v>
      </c>
      <c r="M24" s="182" t="s">
        <v>211</v>
      </c>
      <c r="N24" s="658"/>
      <c r="O24" s="661"/>
      <c r="P24" s="662"/>
      <c r="Q24" s="612" t="s">
        <v>115</v>
      </c>
      <c r="R24" s="616" t="s">
        <v>223</v>
      </c>
      <c r="S24" s="616" t="s">
        <v>224</v>
      </c>
      <c r="T24" s="616" t="s">
        <v>227</v>
      </c>
      <c r="U24" s="36" t="s">
        <v>37</v>
      </c>
      <c r="V24" s="619" t="s">
        <v>228</v>
      </c>
      <c r="W24" s="617" t="s">
        <v>174</v>
      </c>
      <c r="X24" s="668"/>
    </row>
    <row r="25" spans="5:24" ht="43.5" customHeight="1" x14ac:dyDescent="0.25">
      <c r="E25" s="225" t="s">
        <v>38</v>
      </c>
      <c r="F25" s="650"/>
      <c r="G25" s="611"/>
      <c r="H25" s="615"/>
      <c r="I25" s="675"/>
      <c r="J25" s="673"/>
      <c r="K25" s="671"/>
      <c r="L25" s="670"/>
      <c r="M25" s="209">
        <f>снабжение!F39</f>
        <v>2</v>
      </c>
      <c r="N25" s="659"/>
      <c r="O25" s="658"/>
      <c r="P25" s="663"/>
      <c r="Q25" s="613"/>
      <c r="R25" s="615"/>
      <c r="S25" s="615"/>
      <c r="T25" s="615"/>
      <c r="U25" s="18" t="s">
        <v>225</v>
      </c>
      <c r="V25" s="620"/>
      <c r="W25" s="618"/>
      <c r="X25" s="669"/>
    </row>
    <row r="26" spans="5:24" ht="83.25" customHeight="1" thickBot="1" x14ac:dyDescent="0.3">
      <c r="E26" s="226">
        <f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227">
        <f>снабжение!K14</f>
        <v>0</v>
      </c>
      <c r="G26" s="200">
        <f>снабжение!G35+снабжение!M35</f>
        <v>0</v>
      </c>
      <c r="H26" s="201">
        <f>снабжение!E8*снабжение!G78*снабжение!D14*снабжение!D14+технолог!V27*снабжение!H78*снабжение!D13</f>
        <v>0</v>
      </c>
      <c r="I26" s="202">
        <f>снабжение!G22*2</f>
        <v>0</v>
      </c>
      <c r="J26" s="203">
        <f>снабжение!M22*4</f>
        <v>0</v>
      </c>
      <c r="K26" s="204">
        <f>снабжение!Q25</f>
        <v>0</v>
      </c>
      <c r="L26" s="205">
        <f>снабжение!F38</f>
        <v>0</v>
      </c>
      <c r="M26" s="203">
        <f>L26*M25</f>
        <v>0</v>
      </c>
      <c r="N26" s="206">
        <f>снабжение!F78*снабжение!D8+технолог!U27*снабжение!J78*снабжение!D13</f>
        <v>1274416.6399999999</v>
      </c>
      <c r="O26" s="206">
        <f>снабжение!D8*снабжение!E78*снабжение!D14*снабжение!D14+снабжение!D78*снабжение!I78*снабжение!D13</f>
        <v>0</v>
      </c>
      <c r="P26" s="221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204">
        <f>снабжение!T44</f>
        <v>0</v>
      </c>
      <c r="R26" s="207">
        <f>снабжение!I40</f>
        <v>2000</v>
      </c>
      <c r="S26" s="207">
        <f>снабжение!K40</f>
        <v>2700</v>
      </c>
      <c r="T26" s="207">
        <f>снабжение!M44+снабжение!M45+снабжение!M46</f>
        <v>50000</v>
      </c>
      <c r="U26" s="202">
        <f>снабжение!M40</f>
        <v>0</v>
      </c>
      <c r="V26" s="203">
        <f>снабжение!P45</f>
        <v>20000</v>
      </c>
      <c r="W26" s="205">
        <f>снабжение!J53+снабжение!J58+снабжение!O53+снабжение!O58</f>
        <v>58100</v>
      </c>
      <c r="X26" s="208">
        <f>снабжение!P13</f>
        <v>120000</v>
      </c>
    </row>
    <row r="27" spans="5:24" ht="15.75" thickBot="1" x14ac:dyDescent="0.3">
      <c r="F27" s="228"/>
      <c r="G27" s="27"/>
      <c r="H27" s="28"/>
      <c r="I27" s="28"/>
      <c r="J27" s="29"/>
      <c r="K27" s="27"/>
      <c r="L27" s="181"/>
      <c r="M27" s="29"/>
      <c r="N27" s="26"/>
      <c r="O27" s="26"/>
      <c r="P27" s="222"/>
      <c r="Q27" s="229"/>
      <c r="R27" s="30"/>
      <c r="S27" s="30"/>
      <c r="T27" s="30"/>
      <c r="U27" s="28"/>
      <c r="V27" s="29"/>
      <c r="W27" s="223"/>
      <c r="X27" s="32"/>
    </row>
    <row r="28" spans="5:24" ht="15.75" thickTop="1" x14ac:dyDescent="0.25"/>
    <row r="29" spans="5:24" ht="15.75" thickBot="1" x14ac:dyDescent="0.3"/>
    <row r="30" spans="5:24" x14ac:dyDescent="0.25">
      <c r="I30" s="437" t="s">
        <v>221</v>
      </c>
      <c r="J30" s="438">
        <f>F26</f>
        <v>0</v>
      </c>
    </row>
    <row r="31" spans="5:24" ht="15.75" thickBot="1" x14ac:dyDescent="0.3">
      <c r="I31" s="439" t="s">
        <v>219</v>
      </c>
      <c r="J31" s="440">
        <f>G26+H26+I26+J26</f>
        <v>0</v>
      </c>
    </row>
    <row r="32" spans="5:24" x14ac:dyDescent="0.25">
      <c r="I32" s="439" t="s">
        <v>386</v>
      </c>
      <c r="J32" s="440">
        <f>N26+O26+P26</f>
        <v>1356336.64</v>
      </c>
      <c r="S32" s="630" t="s">
        <v>16</v>
      </c>
      <c r="T32" s="631"/>
      <c r="U32" s="621">
        <f>SUM(F26:X26)</f>
        <v>1609136.64</v>
      </c>
      <c r="V32" s="622"/>
      <c r="W32" s="622"/>
      <c r="X32" s="623"/>
    </row>
    <row r="33" spans="9:24" x14ac:dyDescent="0.25">
      <c r="I33" s="439" t="s">
        <v>220</v>
      </c>
      <c r="J33" s="440">
        <f>K26+L26+M26</f>
        <v>0</v>
      </c>
      <c r="S33" s="632"/>
      <c r="T33" s="633"/>
      <c r="U33" s="624"/>
      <c r="V33" s="625"/>
      <c r="W33" s="625"/>
      <c r="X33" s="626"/>
    </row>
    <row r="34" spans="9:24" x14ac:dyDescent="0.25">
      <c r="I34" s="439" t="s">
        <v>230</v>
      </c>
      <c r="J34" s="440">
        <f>R26+S26+T26+U26+V26+X26</f>
        <v>194700</v>
      </c>
      <c r="S34" s="632"/>
      <c r="T34" s="633"/>
      <c r="U34" s="624"/>
      <c r="V34" s="625"/>
      <c r="W34" s="625"/>
      <c r="X34" s="626"/>
    </row>
    <row r="35" spans="9:24" x14ac:dyDescent="0.25">
      <c r="I35" s="439" t="s">
        <v>115</v>
      </c>
      <c r="J35" s="440">
        <f>Q26</f>
        <v>0</v>
      </c>
      <c r="S35" s="632"/>
      <c r="T35" s="633"/>
      <c r="U35" s="624"/>
      <c r="V35" s="625"/>
      <c r="W35" s="625"/>
      <c r="X35" s="626"/>
    </row>
    <row r="36" spans="9:24" ht="15.75" thickBot="1" x14ac:dyDescent="0.3">
      <c r="I36" s="441" t="s">
        <v>174</v>
      </c>
      <c r="J36" s="442">
        <f>W26</f>
        <v>58100</v>
      </c>
      <c r="S36" s="632"/>
      <c r="T36" s="633"/>
      <c r="U36" s="624"/>
      <c r="V36" s="625"/>
      <c r="W36" s="625"/>
      <c r="X36" s="626"/>
    </row>
    <row r="37" spans="9:24" x14ac:dyDescent="0.25">
      <c r="S37" s="632"/>
      <c r="T37" s="633"/>
      <c r="U37" s="624"/>
      <c r="V37" s="625"/>
      <c r="W37" s="625"/>
      <c r="X37" s="626"/>
    </row>
    <row r="38" spans="9:24" ht="15.75" thickBot="1" x14ac:dyDescent="0.3">
      <c r="S38" s="634"/>
      <c r="T38" s="635"/>
      <c r="U38" s="627"/>
      <c r="V38" s="628"/>
      <c r="W38" s="628"/>
      <c r="X38" s="629"/>
    </row>
  </sheetData>
  <mergeCells count="24">
    <mergeCell ref="U32:X38"/>
    <mergeCell ref="S32:T38"/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L24:L25"/>
    <mergeCell ref="K24:K25"/>
    <mergeCell ref="J24:J25"/>
    <mergeCell ref="I24:I25"/>
    <mergeCell ref="G24:G25"/>
    <mergeCell ref="Q24:Q25"/>
    <mergeCell ref="H24:H25"/>
    <mergeCell ref="T24:T25"/>
    <mergeCell ref="W24:W25"/>
    <mergeCell ref="R24:R25"/>
    <mergeCell ref="S24:S25"/>
    <mergeCell ref="V24:V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20</vt:i4>
      </vt:variant>
    </vt:vector>
  </HeadingPairs>
  <TitlesOfParts>
    <vt:vector size="23" baseType="lpstr">
      <vt:lpstr>технолог</vt:lpstr>
      <vt:lpstr>снабжение</vt:lpstr>
      <vt:lpstr>результат </vt:lpstr>
      <vt:lpstr>снабжение!К4_750</vt:lpstr>
      <vt:lpstr>снабжение!крепеж_для_фланцев</vt:lpstr>
      <vt:lpstr>материал_корпуса</vt:lpstr>
      <vt:lpstr>снабжение!материал_крепежа_для_фланцев</vt:lpstr>
      <vt:lpstr>снабжение!материал_крепежа_панелей</vt:lpstr>
      <vt:lpstr>материал_пластин</vt:lpstr>
      <vt:lpstr>снабжение!покрытие_крепежа_для_фланцев</vt:lpstr>
      <vt:lpstr>снабжение!покрытие_крепежа_панелей</vt:lpstr>
      <vt:lpstr>снабжение!размер_крепежа_для_фланцев</vt:lpstr>
      <vt:lpstr>размер_крепежа_панелей</vt:lpstr>
      <vt:lpstr>снабжение!Рядность_фланцев</vt:lpstr>
      <vt:lpstr>тип_поверхности</vt:lpstr>
      <vt:lpstr>тип_поставки</vt:lpstr>
      <vt:lpstr>снабжение!типоразмеры_К4</vt:lpstr>
      <vt:lpstr>типоразмеры_К4</vt:lpstr>
      <vt:lpstr>снабжение!типоразмерыК4</vt:lpstr>
      <vt:lpstr>типоразмерыК4</vt:lpstr>
      <vt:lpstr>типорзамеры_К4</vt:lpstr>
      <vt:lpstr>толщина_пластины</vt:lpstr>
      <vt:lpstr>снабжение!Фланцы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2025-07-30T07:02:17Z</dcterms:modified>
</cp:coreProperties>
</file>