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itersdorf/Desktop/Technion/ASIC2/ConvPIM/"/>
    </mc:Choice>
  </mc:AlternateContent>
  <xr:revisionPtr revIDLastSave="0" documentId="13_ncr:1_{1B882ED9-030F-7F44-93D5-A8151FAEC336}" xr6:coauthVersionLast="47" xr6:coauthVersionMax="47" xr10:uidLastSave="{00000000-0000-0000-0000-000000000000}"/>
  <bookViews>
    <workbookView xWindow="0" yWindow="0" windowWidth="33600" windowHeight="21000" activeTab="1" xr2:uid="{785952DA-83C2-B842-B008-BC43A71C9F0C}"/>
  </bookViews>
  <sheets>
    <sheet name="Arithmetic" sheetId="1" r:id="rId1"/>
    <sheet name="Matrix" sheetId="3" r:id="rId2"/>
    <sheet name="Convolution" sheetId="4" r:id="rId3"/>
    <sheet name="CN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6" i="1" l="1"/>
  <c r="S15" i="1"/>
  <c r="Q13" i="5" s="1"/>
  <c r="S14" i="1"/>
  <c r="S13" i="1"/>
  <c r="S11" i="1"/>
  <c r="S10" i="1"/>
  <c r="S9" i="1"/>
  <c r="S8" i="1"/>
  <c r="M2" i="1"/>
  <c r="L2" i="1"/>
  <c r="K2" i="1"/>
  <c r="U16" i="1"/>
  <c r="U15" i="1"/>
  <c r="U14" i="1"/>
  <c r="U13" i="1"/>
  <c r="U11" i="1"/>
  <c r="U10" i="1"/>
  <c r="U9" i="1"/>
  <c r="U8" i="1"/>
  <c r="O8" i="1"/>
  <c r="Q8" i="1"/>
  <c r="T16" i="1" l="1"/>
  <c r="Q14" i="5"/>
  <c r="T8" i="1"/>
  <c r="Q8" i="3"/>
  <c r="Q8" i="4"/>
  <c r="Q12" i="4"/>
  <c r="T9" i="1"/>
  <c r="T10" i="1"/>
  <c r="Q9" i="3"/>
  <c r="Q9" i="4"/>
  <c r="Q8" i="5"/>
  <c r="T11" i="1"/>
  <c r="Q9" i="5"/>
  <c r="T13" i="1"/>
  <c r="Q10" i="3"/>
  <c r="Q10" i="4"/>
  <c r="Q10" i="5"/>
  <c r="T14" i="1"/>
  <c r="Q12" i="5"/>
  <c r="T15" i="1"/>
  <c r="Q11" i="3"/>
  <c r="Q11" i="4"/>
  <c r="Q16" i="1"/>
  <c r="Q15" i="1"/>
  <c r="Q14" i="1"/>
  <c r="Q13" i="1"/>
  <c r="Q11" i="1"/>
  <c r="Q10" i="1"/>
  <c r="Q9" i="1"/>
  <c r="O14" i="5"/>
  <c r="O9" i="5"/>
  <c r="O10" i="4"/>
  <c r="O10" i="3"/>
  <c r="P11" i="1"/>
  <c r="H2" i="1"/>
  <c r="P8" i="1" s="1"/>
  <c r="O16" i="1"/>
  <c r="P16" i="1" s="1"/>
  <c r="O15" i="1"/>
  <c r="O13" i="5" s="1"/>
  <c r="O14" i="1"/>
  <c r="O13" i="1"/>
  <c r="P13" i="1" s="1"/>
  <c r="O11" i="1"/>
  <c r="O10" i="1"/>
  <c r="P10" i="1" s="1"/>
  <c r="O9" i="1"/>
  <c r="P9" i="1" s="1"/>
  <c r="F2" i="1"/>
  <c r="G2" i="1"/>
  <c r="P15" i="1" l="1"/>
  <c r="O11" i="4"/>
  <c r="O12" i="4"/>
  <c r="O8" i="3"/>
  <c r="O12" i="5"/>
  <c r="R13" i="1"/>
  <c r="P14" i="1"/>
  <c r="O11" i="3"/>
  <c r="O10" i="5"/>
  <c r="O8" i="4"/>
  <c r="R14" i="5"/>
  <c r="R10" i="4"/>
  <c r="R10" i="3"/>
  <c r="R13" i="5"/>
  <c r="R12" i="5"/>
  <c r="R9" i="4"/>
  <c r="R9" i="3"/>
  <c r="R10" i="5"/>
  <c r="R9" i="5"/>
  <c r="R12" i="4"/>
  <c r="R8" i="4"/>
  <c r="R8" i="3"/>
  <c r="R8" i="5"/>
  <c r="R11" i="4"/>
  <c r="R11" i="3"/>
  <c r="O9" i="3"/>
  <c r="O9" i="4"/>
  <c r="O8" i="5"/>
  <c r="N14" i="5"/>
  <c r="N13" i="5"/>
  <c r="N12" i="5"/>
  <c r="M14" i="5"/>
  <c r="N10" i="5"/>
  <c r="M10" i="5"/>
  <c r="M13" i="5"/>
  <c r="N9" i="5"/>
  <c r="M9" i="5"/>
  <c r="M12" i="5"/>
  <c r="N8" i="5"/>
  <c r="M8" i="5"/>
  <c r="K14" i="5"/>
  <c r="K13" i="5"/>
  <c r="L13" i="5" s="1"/>
  <c r="K12" i="5"/>
  <c r="L14" i="5"/>
  <c r="L12" i="5"/>
  <c r="L10" i="5"/>
  <c r="L9" i="5"/>
  <c r="K10" i="5"/>
  <c r="K9" i="5"/>
  <c r="K8" i="5"/>
  <c r="L8" i="5" s="1"/>
  <c r="N12" i="4"/>
  <c r="M12" i="4"/>
  <c r="N11" i="4"/>
  <c r="M11" i="4"/>
  <c r="N10" i="4"/>
  <c r="M10" i="4"/>
  <c r="N9" i="4"/>
  <c r="M9" i="4"/>
  <c r="N8" i="4"/>
  <c r="M8" i="4"/>
  <c r="N11" i="3"/>
  <c r="M11" i="3"/>
  <c r="N10" i="3"/>
  <c r="M10" i="3"/>
  <c r="N9" i="3"/>
  <c r="M9" i="3"/>
  <c r="N8" i="3"/>
  <c r="M8" i="3"/>
  <c r="N16" i="1"/>
  <c r="N15" i="1"/>
  <c r="N14" i="1"/>
  <c r="N13" i="1"/>
  <c r="N11" i="1"/>
  <c r="N10" i="1"/>
  <c r="N9" i="1"/>
  <c r="N8" i="1"/>
  <c r="M16" i="1"/>
  <c r="M15" i="1"/>
  <c r="M14" i="1"/>
  <c r="M13" i="1"/>
  <c r="M11" i="1"/>
  <c r="M10" i="1"/>
  <c r="M9" i="1"/>
  <c r="M8" i="1"/>
  <c r="K16" i="1"/>
  <c r="K15" i="1"/>
  <c r="L15" i="1" s="1"/>
  <c r="K14" i="1"/>
  <c r="K13" i="1"/>
  <c r="K11" i="1"/>
  <c r="K10" i="1"/>
  <c r="K9" i="1"/>
  <c r="K8" i="1"/>
  <c r="L8" i="1" s="1"/>
  <c r="L12" i="4"/>
  <c r="L11" i="4"/>
  <c r="L10" i="4"/>
  <c r="L9" i="4"/>
  <c r="L8" i="4"/>
  <c r="K12" i="4"/>
  <c r="K11" i="4"/>
  <c r="K10" i="4"/>
  <c r="K9" i="4"/>
  <c r="K8" i="4"/>
  <c r="B2" i="4"/>
  <c r="K11" i="3"/>
  <c r="L11" i="3" s="1"/>
  <c r="K10" i="3"/>
  <c r="L10" i="3" s="1"/>
  <c r="K9" i="3"/>
  <c r="L9" i="3" s="1"/>
  <c r="K8" i="3"/>
  <c r="L8" i="3" s="1"/>
  <c r="B2" i="3"/>
  <c r="C2" i="3"/>
  <c r="L16" i="1"/>
  <c r="C2" i="1"/>
  <c r="B2" i="1"/>
  <c r="L14" i="1" l="1"/>
  <c r="V14" i="1"/>
  <c r="V15" i="1"/>
  <c r="R15" i="1"/>
  <c r="L9" i="1"/>
  <c r="V9" i="1"/>
  <c r="R9" i="1"/>
  <c r="R11" i="1"/>
  <c r="V11" i="1"/>
  <c r="P12" i="4"/>
  <c r="P8" i="4"/>
  <c r="P11" i="3"/>
  <c r="P14" i="5"/>
  <c r="P9" i="5"/>
  <c r="P10" i="4"/>
  <c r="P9" i="4"/>
  <c r="P12" i="5"/>
  <c r="P8" i="3"/>
  <c r="P10" i="5"/>
  <c r="P13" i="5"/>
  <c r="P9" i="3"/>
  <c r="P11" i="4"/>
  <c r="P10" i="3"/>
  <c r="P8" i="5"/>
  <c r="R16" i="1"/>
  <c r="V16" i="1"/>
  <c r="R8" i="1"/>
  <c r="V8" i="1"/>
  <c r="V10" i="1"/>
  <c r="R10" i="1"/>
  <c r="L10" i="1"/>
  <c r="L11" i="1"/>
  <c r="L13" i="1"/>
  <c r="V13" i="1"/>
  <c r="R14" i="1"/>
</calcChain>
</file>

<file path=xl/sharedStrings.xml><?xml version="1.0" encoding="utf-8"?>
<sst xmlns="http://schemas.openxmlformats.org/spreadsheetml/2006/main" count="134" uniqueCount="54">
  <si>
    <t>Function</t>
  </si>
  <si>
    <t>Fixed Add</t>
  </si>
  <si>
    <t>Parameters</t>
  </si>
  <si>
    <t>n</t>
  </si>
  <si>
    <t>32-bit</t>
  </si>
  <si>
    <t>16-bit</t>
  </si>
  <si>
    <t>Fixed Mult</t>
  </si>
  <si>
    <t>Floating Add</t>
  </si>
  <si>
    <t>Floating Mult</t>
  </si>
  <si>
    <t>Latency (seconds)</t>
  </si>
  <si>
    <t>N</t>
  </si>
  <si>
    <t>Average Power (W)</t>
  </si>
  <si>
    <t>Compute Tput. (%)</t>
  </si>
  <si>
    <t>L1 Hit Rate (%)</t>
  </si>
  <si>
    <t>L2 Hit Rate (%)</t>
  </si>
  <si>
    <t>O</t>
  </si>
  <si>
    <t>32-bit Floating</t>
  </si>
  <si>
    <t>Tput. (OPS)</t>
  </si>
  <si>
    <t>Energy (OPS/W)</t>
  </si>
  <si>
    <t>W</t>
  </si>
  <si>
    <t>H</t>
  </si>
  <si>
    <t>B</t>
  </si>
  <si>
    <t>k</t>
  </si>
  <si>
    <t>Inference</t>
  </si>
  <si>
    <t>Model</t>
  </si>
  <si>
    <t>AlexNet</t>
  </si>
  <si>
    <t>ResNet50</t>
  </si>
  <si>
    <t>GoogLeNet</t>
  </si>
  <si>
    <t>Training</t>
  </si>
  <si>
    <t>Max Tput. (OPS)</t>
  </si>
  <si>
    <t>Max Energy (OPS/W)</t>
  </si>
  <si>
    <t>Batch Size (Inference)</t>
  </si>
  <si>
    <t>Batch Size (Training)</t>
  </si>
  <si>
    <t>L1 Tput. (%)</t>
  </si>
  <si>
    <t>L2 Tput. (%)</t>
  </si>
  <si>
    <t>DRAM Tput. (%)</t>
  </si>
  <si>
    <t>mMPU Tput. (OPS)</t>
  </si>
  <si>
    <t>mMPU Energy (OPS/W)</t>
  </si>
  <si>
    <t>GPU Parameters</t>
  </si>
  <si>
    <t>mMPU Parameters</t>
  </si>
  <si>
    <t>Clock Cycle</t>
  </si>
  <si>
    <t>Num Rows</t>
  </si>
  <si>
    <t>Experimental GPU</t>
  </si>
  <si>
    <t>Theoretical GPU</t>
  </si>
  <si>
    <t>mMPU</t>
  </si>
  <si>
    <t>mMPU / Exp GPU Tput</t>
  </si>
  <si>
    <t>DRAM Parameters</t>
  </si>
  <si>
    <t>DRAM</t>
  </si>
  <si>
    <t>DRAM Tput. (OPS)</t>
  </si>
  <si>
    <t>DRAM Energy (OPS/W)</t>
  </si>
  <si>
    <t>DRAM / Exp GPU Tput</t>
  </si>
  <si>
    <t>DRAM CC</t>
  </si>
  <si>
    <t>mMPU CC</t>
  </si>
  <si>
    <t>Max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</si>
</sst>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3" borderId="0" xfId="0" applyFont="1" applyFill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2756-53E7-734A-B448-A28164ADC993}">
  <dimension ref="A1:V24"/>
  <sheetViews>
    <sheetView topLeftCell="Q1" zoomScale="136" workbookViewId="0">
      <selection activeCell="O12" sqref="O12"/>
    </sheetView>
  </sheetViews>
  <sheetFormatPr baseColWidth="10" defaultRowHeight="16" x14ac:dyDescent="0.2"/>
  <cols>
    <col min="1" max="11" width="20.83203125" customWidth="1"/>
    <col min="12" max="12" width="21" customWidth="1"/>
    <col min="13" max="13" width="20.83203125" customWidth="1"/>
    <col min="14" max="14" width="21" customWidth="1"/>
    <col min="15" max="15" width="20.83203125" customWidth="1"/>
    <col min="16" max="18" width="21" customWidth="1"/>
    <col min="19" max="19" width="20.83203125" customWidth="1"/>
    <col min="20" max="22" width="21" customWidth="1"/>
  </cols>
  <sheetData>
    <row r="1" spans="1:22" s="11" customFormat="1" x14ac:dyDescent="0.2">
      <c r="A1" s="7" t="s">
        <v>38</v>
      </c>
      <c r="B1" s="7" t="s">
        <v>3</v>
      </c>
      <c r="C1" s="7" t="s">
        <v>10</v>
      </c>
      <c r="D1" s="7"/>
      <c r="E1" s="7" t="s">
        <v>39</v>
      </c>
      <c r="F1" s="7" t="s">
        <v>41</v>
      </c>
      <c r="G1" s="7" t="s">
        <v>40</v>
      </c>
      <c r="H1" s="7" t="s">
        <v>53</v>
      </c>
      <c r="I1" s="7"/>
      <c r="J1" s="7" t="s">
        <v>46</v>
      </c>
      <c r="K1" s="7" t="s">
        <v>41</v>
      </c>
      <c r="L1" s="7" t="s">
        <v>40</v>
      </c>
      <c r="M1" s="7" t="s">
        <v>53</v>
      </c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/>
      <c r="B2" s="1">
        <f>1024*1024*1024</f>
        <v>1073741824</v>
      </c>
      <c r="C2" s="1">
        <f>1024</f>
        <v>1024</v>
      </c>
      <c r="D2" s="1"/>
      <c r="E2" s="1"/>
      <c r="F2" s="1">
        <f>48*1024*1024*1024*8/1024</f>
        <v>402653184</v>
      </c>
      <c r="G2" s="1">
        <f>0.000000003</f>
        <v>3E-9</v>
      </c>
      <c r="H2" s="1">
        <f>F2*0.0000000000000064/G2</f>
        <v>858.99345919999996</v>
      </c>
      <c r="I2" s="1"/>
      <c r="J2" s="1"/>
      <c r="K2" s="1">
        <f>48*1024*1024*1024*8/1024</f>
        <v>402653184</v>
      </c>
      <c r="L2" s="1">
        <f>1/(500000)</f>
        <v>1.9999999999999999E-6</v>
      </c>
      <c r="M2" s="1">
        <f>K2*0.000000000000391/L2</f>
        <v>78.718697472000002</v>
      </c>
      <c r="N2" s="1"/>
      <c r="O2" s="1"/>
      <c r="P2" s="1"/>
      <c r="Q2" s="1"/>
      <c r="R2" s="1"/>
      <c r="S2" s="1"/>
      <c r="T2" s="1"/>
      <c r="U2" s="1"/>
      <c r="V2" s="1"/>
    </row>
    <row r="5" spans="1:22" x14ac:dyDescent="0.2">
      <c r="C5" s="10" t="s">
        <v>42</v>
      </c>
      <c r="D5" s="10"/>
      <c r="E5" s="10"/>
      <c r="F5" s="10"/>
      <c r="G5" s="10"/>
      <c r="H5" s="10"/>
      <c r="I5" s="10"/>
      <c r="J5" s="10"/>
      <c r="K5" s="10"/>
      <c r="L5" s="10"/>
      <c r="M5" s="10" t="s">
        <v>43</v>
      </c>
      <c r="N5" s="10"/>
      <c r="O5" s="10" t="s">
        <v>44</v>
      </c>
      <c r="P5" s="10"/>
      <c r="Q5" s="10"/>
      <c r="R5" s="10"/>
      <c r="S5" s="10" t="s">
        <v>47</v>
      </c>
      <c r="T5" s="10"/>
      <c r="U5" s="10"/>
      <c r="V5" s="10"/>
    </row>
    <row r="6" spans="1:22" x14ac:dyDescent="0.2">
      <c r="A6" s="8" t="s">
        <v>0</v>
      </c>
      <c r="B6" s="2"/>
      <c r="C6" s="8" t="s">
        <v>9</v>
      </c>
      <c r="D6" s="8" t="s">
        <v>11</v>
      </c>
      <c r="E6" s="8" t="s">
        <v>12</v>
      </c>
      <c r="F6" s="8" t="s">
        <v>33</v>
      </c>
      <c r="G6" s="8" t="s">
        <v>34</v>
      </c>
      <c r="H6" s="8" t="s">
        <v>35</v>
      </c>
      <c r="I6" s="8" t="s">
        <v>13</v>
      </c>
      <c r="J6" s="8" t="s">
        <v>14</v>
      </c>
      <c r="K6" s="8" t="s">
        <v>17</v>
      </c>
      <c r="L6" s="8" t="s">
        <v>18</v>
      </c>
      <c r="M6" s="8" t="s">
        <v>29</v>
      </c>
      <c r="N6" s="8" t="s">
        <v>30</v>
      </c>
      <c r="O6" s="8" t="s">
        <v>36</v>
      </c>
      <c r="P6" s="8" t="s">
        <v>37</v>
      </c>
      <c r="Q6" s="8" t="s">
        <v>52</v>
      </c>
      <c r="R6" s="8" t="s">
        <v>45</v>
      </c>
      <c r="S6" s="8" t="s">
        <v>48</v>
      </c>
      <c r="T6" s="8" t="s">
        <v>49</v>
      </c>
      <c r="U6" s="8" t="s">
        <v>51</v>
      </c>
      <c r="V6" s="8" t="s">
        <v>50</v>
      </c>
    </row>
    <row r="8" spans="1:22" x14ac:dyDescent="0.2">
      <c r="A8" t="s">
        <v>5</v>
      </c>
      <c r="B8" t="s">
        <v>1</v>
      </c>
      <c r="C8">
        <v>9.6259999999999994</v>
      </c>
      <c r="D8">
        <v>293</v>
      </c>
      <c r="E8" s="9">
        <v>6.0999999999999999E-2</v>
      </c>
      <c r="F8" s="9">
        <v>0.04</v>
      </c>
      <c r="G8" s="9">
        <v>0.19400000000000001</v>
      </c>
      <c r="H8" s="9">
        <v>0.93899999999999995</v>
      </c>
      <c r="I8" s="9">
        <v>1E-3</v>
      </c>
      <c r="J8" s="9">
        <v>0.33200000000000002</v>
      </c>
      <c r="K8" s="3">
        <f>$B$2*$C$2/C8</f>
        <v>114223106978.59964</v>
      </c>
      <c r="L8" s="3">
        <f>K8/D8</f>
        <v>389839955.55836052</v>
      </c>
      <c r="M8" s="3">
        <f>38710000000000</f>
        <v>38710000000000</v>
      </c>
      <c r="N8" s="3">
        <f>M8/300</f>
        <v>129033333333.33333</v>
      </c>
      <c r="O8" s="3">
        <f>$F$2/$G$2/289</f>
        <v>464421204152249.12</v>
      </c>
      <c r="P8" s="3">
        <f>O8/$H$2</f>
        <v>540657439446.36682</v>
      </c>
      <c r="Q8" s="3">
        <f>289/48</f>
        <v>6.020833333333333</v>
      </c>
      <c r="R8" s="3">
        <f>O8/K8</f>
        <v>4065.9129000865046</v>
      </c>
      <c r="S8" s="3">
        <f>$K$2/$L$2/289</f>
        <v>696631806228.37366</v>
      </c>
      <c r="T8" s="3">
        <f>S8/$M$2</f>
        <v>8849635837.4852867</v>
      </c>
      <c r="U8" s="3">
        <f>289/48</f>
        <v>6.020833333333333</v>
      </c>
      <c r="V8" s="3">
        <f>S8/K8</f>
        <v>6.0988693501297568</v>
      </c>
    </row>
    <row r="9" spans="1:22" x14ac:dyDescent="0.2">
      <c r="B9" t="s">
        <v>6</v>
      </c>
      <c r="C9">
        <v>9.6579999999999995</v>
      </c>
      <c r="D9">
        <v>299</v>
      </c>
      <c r="E9" s="9">
        <v>6.9000000000000006E-2</v>
      </c>
      <c r="F9" s="9">
        <v>0.04</v>
      </c>
      <c r="G9" s="9">
        <v>0.214</v>
      </c>
      <c r="H9" s="9">
        <v>0.93600000000000005</v>
      </c>
      <c r="I9" s="9">
        <v>1E-3</v>
      </c>
      <c r="J9" s="9">
        <v>0.33100000000000002</v>
      </c>
      <c r="K9" s="3">
        <f t="shared" ref="K9:K11" si="0">$B$2*$C$2/C9</f>
        <v>113844649800.78691</v>
      </c>
      <c r="L9" s="3">
        <f t="shared" ref="L9:L16" si="1">K9/D9</f>
        <v>380751337.12637764</v>
      </c>
      <c r="M9" s="3">
        <f t="shared" ref="M9:M11" si="2">38710000000000</f>
        <v>38710000000000</v>
      </c>
      <c r="N9" s="3">
        <f t="shared" ref="N9:N11" si="3">M9/300</f>
        <v>129033333333.33333</v>
      </c>
      <c r="O9" s="3">
        <f>$F$2/$G$2/4927</f>
        <v>27241268114471.281</v>
      </c>
      <c r="P9" s="3">
        <f t="shared" ref="P9:P11" si="4">O9/$H$2</f>
        <v>31713009945.199921</v>
      </c>
      <c r="Q9" s="3">
        <f>4927/48</f>
        <v>102.64583333333333</v>
      </c>
      <c r="R9" s="3">
        <f t="shared" ref="R9:R16" si="5">O9/K9</f>
        <v>239.28457035214126</v>
      </c>
      <c r="S9" s="3">
        <f>$K$2/$L$2/4927</f>
        <v>40861902171.706924</v>
      </c>
      <c r="T9" s="3">
        <f t="shared" ref="T9:T11" si="6">S9/$M$2</f>
        <v>519087630.81657159</v>
      </c>
      <c r="U9" s="3">
        <f>4927/48</f>
        <v>102.64583333333333</v>
      </c>
      <c r="V9" s="3">
        <f t="shared" ref="V9:V11" si="7">S9/K9</f>
        <v>0.35892685552821191</v>
      </c>
    </row>
    <row r="10" spans="1:22" x14ac:dyDescent="0.2">
      <c r="B10" t="s">
        <v>7</v>
      </c>
      <c r="C10">
        <v>9.6549999999999994</v>
      </c>
      <c r="D10">
        <v>299</v>
      </c>
      <c r="E10" s="9">
        <v>5.8999999999999997E-2</v>
      </c>
      <c r="F10" s="9">
        <v>0.04</v>
      </c>
      <c r="G10" s="9">
        <v>0.21199999999999999</v>
      </c>
      <c r="H10" s="9">
        <v>0.93700000000000006</v>
      </c>
      <c r="I10" s="9">
        <v>1E-3</v>
      </c>
      <c r="J10" s="9">
        <v>0.33</v>
      </c>
      <c r="K10" s="3">
        <f t="shared" si="0"/>
        <v>113880023591.507</v>
      </c>
      <c r="L10" s="3">
        <f t="shared" si="1"/>
        <v>380869644.11875254</v>
      </c>
      <c r="M10" s="3">
        <f t="shared" si="2"/>
        <v>38710000000000</v>
      </c>
      <c r="N10" s="3">
        <f t="shared" si="3"/>
        <v>129033333333.33333</v>
      </c>
      <c r="O10" s="3">
        <f>$F$2/$G$2/1978</f>
        <v>67855271991911.023</v>
      </c>
      <c r="P10" s="3">
        <f t="shared" si="4"/>
        <v>78993933265.925186</v>
      </c>
      <c r="Q10" s="3">
        <f>1978/48</f>
        <v>41.208333333333336</v>
      </c>
      <c r="R10" s="3">
        <f t="shared" si="5"/>
        <v>595.84877006445902</v>
      </c>
      <c r="S10" s="3">
        <f>$K$2/$L$2/1978</f>
        <v>101782907987.86653</v>
      </c>
      <c r="T10" s="3">
        <f t="shared" si="6"/>
        <v>1292995327.1148877</v>
      </c>
      <c r="U10" s="3">
        <f>1978/48</f>
        <v>41.208333333333336</v>
      </c>
      <c r="V10" s="3">
        <f t="shared" si="7"/>
        <v>0.89377315509668842</v>
      </c>
    </row>
    <row r="11" spans="1:22" x14ac:dyDescent="0.2">
      <c r="B11" t="s">
        <v>8</v>
      </c>
      <c r="C11">
        <v>9.657</v>
      </c>
      <c r="D11">
        <v>299</v>
      </c>
      <c r="E11" s="9">
        <v>5.8999999999999997E-2</v>
      </c>
      <c r="F11" s="9">
        <v>0.04</v>
      </c>
      <c r="G11" s="9">
        <v>0.214</v>
      </c>
      <c r="H11" s="9">
        <v>0.93700000000000006</v>
      </c>
      <c r="I11" s="9">
        <v>1E-3</v>
      </c>
      <c r="J11" s="9">
        <v>0.33</v>
      </c>
      <c r="K11" s="3">
        <f t="shared" si="0"/>
        <v>113856438622.34648</v>
      </c>
      <c r="L11" s="3">
        <f t="shared" si="1"/>
        <v>380790764.62323236</v>
      </c>
      <c r="M11" s="3">
        <f t="shared" si="2"/>
        <v>38710000000000</v>
      </c>
      <c r="N11" s="3">
        <f t="shared" si="3"/>
        <v>129033333333.33333</v>
      </c>
      <c r="O11" s="3">
        <f>$F$2/$G$2/2780</f>
        <v>48279758273381.297</v>
      </c>
      <c r="P11" s="3">
        <f t="shared" si="4"/>
        <v>56205035971.22303</v>
      </c>
      <c r="Q11" s="3">
        <f>2780/48</f>
        <v>57.916666666666664</v>
      </c>
      <c r="R11" s="3">
        <f t="shared" si="5"/>
        <v>424.04065029226621</v>
      </c>
      <c r="S11" s="3">
        <f>$K$2/$L$2/2780</f>
        <v>72419637410.071945</v>
      </c>
      <c r="T11" s="3">
        <f t="shared" si="6"/>
        <v>919980128.42922592</v>
      </c>
      <c r="U11" s="3">
        <f>2780/48</f>
        <v>57.916666666666664</v>
      </c>
      <c r="V11" s="3">
        <f t="shared" si="7"/>
        <v>0.63606097543839935</v>
      </c>
    </row>
    <row r="12" spans="1:22" x14ac:dyDescent="0.2">
      <c r="E12" s="9"/>
      <c r="F12" s="9"/>
      <c r="G12" s="9"/>
      <c r="H12" s="9"/>
      <c r="I12" s="9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t="s">
        <v>4</v>
      </c>
      <c r="B13" t="s">
        <v>1</v>
      </c>
      <c r="C13">
        <v>19.164000000000001</v>
      </c>
      <c r="D13">
        <v>299</v>
      </c>
      <c r="E13" s="9">
        <v>0.02</v>
      </c>
      <c r="F13" s="9">
        <v>0.04</v>
      </c>
      <c r="G13" s="9">
        <v>0.21199999999999999</v>
      </c>
      <c r="H13" s="9">
        <v>0.94399999999999995</v>
      </c>
      <c r="I13" s="9">
        <v>1E-3</v>
      </c>
      <c r="J13" s="9">
        <v>0.33100000000000002</v>
      </c>
      <c r="K13" s="3">
        <f t="shared" ref="K13:K16" si="8">$B$2*$C$2/C13</f>
        <v>57373806500.521805</v>
      </c>
      <c r="L13" s="3">
        <f t="shared" si="1"/>
        <v>191885640.46997258</v>
      </c>
      <c r="M13" s="3">
        <f t="shared" ref="M13:M16" si="9">38710000000000</f>
        <v>38710000000000</v>
      </c>
      <c r="N13" s="3">
        <f t="shared" ref="N13:N16" si="10">M13/300</f>
        <v>129033333333.33333</v>
      </c>
      <c r="O13" s="3">
        <f>$F$2/$G$2/577</f>
        <v>232613046793760.84</v>
      </c>
      <c r="P13" s="3">
        <f t="shared" ref="P13:P16" si="11">O13/$H$2</f>
        <v>270797227036.39517</v>
      </c>
      <c r="Q13" s="3">
        <f>577/96</f>
        <v>6.010416666666667</v>
      </c>
      <c r="R13" s="3">
        <f t="shared" si="5"/>
        <v>4054.3422335355294</v>
      </c>
      <c r="S13" s="3">
        <f>$K$2/$L$2/577</f>
        <v>348919570190.64124</v>
      </c>
      <c r="T13" s="3">
        <f t="shared" ref="T13:T16" si="12">S13/$M$2</f>
        <v>4432486580.6468763</v>
      </c>
      <c r="U13" s="3">
        <f>577/96</f>
        <v>6.010416666666667</v>
      </c>
      <c r="V13" s="3">
        <f t="shared" ref="V13:V16" si="13">S13/K13</f>
        <v>6.0815133503032932</v>
      </c>
    </row>
    <row r="14" spans="1:22" x14ac:dyDescent="0.2">
      <c r="B14" t="s">
        <v>6</v>
      </c>
      <c r="C14">
        <v>19.164000000000001</v>
      </c>
      <c r="D14">
        <v>299</v>
      </c>
      <c r="E14" s="9">
        <v>2.1000000000000001E-2</v>
      </c>
      <c r="F14" s="9">
        <v>0.04</v>
      </c>
      <c r="G14" s="9">
        <v>0.21099999999999999</v>
      </c>
      <c r="H14" s="9">
        <v>0.94399999999999995</v>
      </c>
      <c r="I14" s="9">
        <v>1E-3</v>
      </c>
      <c r="J14" s="9">
        <v>0.33100000000000002</v>
      </c>
      <c r="K14" s="3">
        <f t="shared" si="8"/>
        <v>57373806500.521805</v>
      </c>
      <c r="L14" s="3">
        <f t="shared" si="1"/>
        <v>191885640.46997258</v>
      </c>
      <c r="M14" s="3">
        <f t="shared" si="9"/>
        <v>38710000000000</v>
      </c>
      <c r="N14" s="3">
        <f t="shared" si="10"/>
        <v>129033333333.33333</v>
      </c>
      <c r="O14" s="3">
        <f>$F$2/$G$2/18123</f>
        <v>7405933234012.0293</v>
      </c>
      <c r="P14" s="3">
        <f t="shared" si="11"/>
        <v>8621641008.6630249</v>
      </c>
      <c r="Q14" s="3">
        <f>18123/96</f>
        <v>188.78125</v>
      </c>
      <c r="R14" s="3">
        <f t="shared" si="5"/>
        <v>129.08213147657673</v>
      </c>
      <c r="S14" s="3">
        <f>$K$2/$L$2/18123</f>
        <v>11108899851.018044</v>
      </c>
      <c r="T14" s="3">
        <f t="shared" si="12"/>
        <v>141121489.65586537</v>
      </c>
      <c r="U14" s="3">
        <f>18123/96</f>
        <v>188.78125</v>
      </c>
      <c r="V14" s="3">
        <f t="shared" si="13"/>
        <v>0.19362319721486512</v>
      </c>
    </row>
    <row r="15" spans="1:22" x14ac:dyDescent="0.2">
      <c r="B15" t="s">
        <v>7</v>
      </c>
      <c r="C15">
        <v>19.163</v>
      </c>
      <c r="D15">
        <v>299</v>
      </c>
      <c r="E15" s="9">
        <v>2.1000000000000001E-2</v>
      </c>
      <c r="F15" s="9">
        <v>0.04</v>
      </c>
      <c r="G15" s="9">
        <v>0.20899999999999999</v>
      </c>
      <c r="H15" s="9">
        <v>0.94499999999999995</v>
      </c>
      <c r="I15" s="9">
        <v>1E-3</v>
      </c>
      <c r="J15" s="9">
        <v>0.33100000000000002</v>
      </c>
      <c r="K15" s="3">
        <f t="shared" si="8"/>
        <v>57376800489.276207</v>
      </c>
      <c r="L15" s="3">
        <f t="shared" si="1"/>
        <v>191895653.81028831</v>
      </c>
      <c r="M15" s="3">
        <f t="shared" si="9"/>
        <v>38710000000000</v>
      </c>
      <c r="N15" s="3">
        <f t="shared" si="10"/>
        <v>129033333333.33333</v>
      </c>
      <c r="O15" s="3">
        <f>$F$2/$G$2/3997</f>
        <v>33579616712534.402</v>
      </c>
      <c r="P15" s="3">
        <f t="shared" si="11"/>
        <v>39091818864.148117</v>
      </c>
      <c r="Q15" s="3">
        <f>3997/96</f>
        <v>41.635416666666664</v>
      </c>
      <c r="R15" s="3">
        <f t="shared" si="5"/>
        <v>585.24728507317991</v>
      </c>
      <c r="S15" s="3">
        <f>$K$2/$L$2/3997</f>
        <v>50369425068.801598</v>
      </c>
      <c r="T15" s="3">
        <f t="shared" si="12"/>
        <v>639866088.82493067</v>
      </c>
      <c r="U15" s="3">
        <f>3997/96</f>
        <v>41.635416666666664</v>
      </c>
      <c r="V15" s="3">
        <f t="shared" si="13"/>
        <v>0.87787092760976981</v>
      </c>
    </row>
    <row r="16" spans="1:22" x14ac:dyDescent="0.2">
      <c r="B16" t="s">
        <v>8</v>
      </c>
      <c r="C16">
        <v>19.163</v>
      </c>
      <c r="D16">
        <v>294</v>
      </c>
      <c r="E16" s="9">
        <v>2.1000000000000001E-2</v>
      </c>
      <c r="F16" s="9">
        <v>0.04</v>
      </c>
      <c r="G16" s="9">
        <v>0.21099999999999999</v>
      </c>
      <c r="H16" s="9">
        <v>0.94499999999999995</v>
      </c>
      <c r="I16" s="9">
        <v>1E-3</v>
      </c>
      <c r="J16" s="9">
        <v>0.33100000000000002</v>
      </c>
      <c r="K16" s="3">
        <f t="shared" si="8"/>
        <v>57376800489.276207</v>
      </c>
      <c r="L16" s="3">
        <f t="shared" si="1"/>
        <v>195159185.33767417</v>
      </c>
      <c r="M16" s="3">
        <f t="shared" si="9"/>
        <v>38710000000000</v>
      </c>
      <c r="N16" s="3">
        <f t="shared" si="10"/>
        <v>129033333333.33333</v>
      </c>
      <c r="O16" s="3">
        <f>$F$2/$G$2/11586</f>
        <v>11584475056102.191</v>
      </c>
      <c r="P16" s="3">
        <f t="shared" si="11"/>
        <v>13486103918.522354</v>
      </c>
      <c r="Q16" s="3">
        <f>11586/96</f>
        <v>120.6875</v>
      </c>
      <c r="R16" s="3">
        <f t="shared" si="5"/>
        <v>201.90172608644053</v>
      </c>
      <c r="S16" s="3">
        <f>$K$2/$L$2/11586</f>
        <v>17376712584.15329</v>
      </c>
      <c r="T16" s="3">
        <f t="shared" si="12"/>
        <v>220744411.96558329</v>
      </c>
      <c r="U16" s="3">
        <f>11586/96</f>
        <v>120.6875</v>
      </c>
      <c r="V16" s="3">
        <f t="shared" si="13"/>
        <v>0.30285258912966084</v>
      </c>
    </row>
    <row r="17" spans="5:22" x14ac:dyDescent="0.2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5:22" x14ac:dyDescent="0.2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5:22" x14ac:dyDescent="0.2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5:22" x14ac:dyDescent="0.2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5:22" x14ac:dyDescent="0.2"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5:22" x14ac:dyDescent="0.2">
      <c r="E22" s="3"/>
      <c r="F22" s="3"/>
      <c r="G22" s="4"/>
      <c r="H22" s="6"/>
      <c r="I22" s="6"/>
      <c r="J22" s="6"/>
      <c r="K22" s="6"/>
      <c r="L22" s="5"/>
      <c r="M22" s="6"/>
      <c r="N22" s="5"/>
      <c r="O22" s="6"/>
      <c r="P22" s="5"/>
      <c r="Q22" s="5"/>
      <c r="R22" s="5"/>
      <c r="S22" s="6"/>
      <c r="T22" s="5"/>
      <c r="U22" s="5"/>
      <c r="V22" s="5"/>
    </row>
    <row r="23" spans="5:22" x14ac:dyDescent="0.2">
      <c r="E23" s="3"/>
      <c r="F23" s="3"/>
      <c r="G23" s="4"/>
      <c r="H23" s="6"/>
      <c r="I23" s="6"/>
      <c r="J23" s="6"/>
      <c r="K23" s="6"/>
      <c r="L23" s="5"/>
      <c r="M23" s="6"/>
      <c r="N23" s="5"/>
      <c r="O23" s="6"/>
      <c r="P23" s="5"/>
      <c r="Q23" s="5"/>
      <c r="R23" s="5"/>
      <c r="S23" s="6"/>
      <c r="T23" s="5"/>
      <c r="U23" s="5"/>
      <c r="V23" s="5"/>
    </row>
    <row r="24" spans="5:22" x14ac:dyDescent="0.2">
      <c r="E24" s="3"/>
      <c r="F24" s="3"/>
      <c r="G24" s="4"/>
      <c r="H24" s="6"/>
      <c r="I24" s="6"/>
      <c r="J24" s="6"/>
      <c r="K24" s="6"/>
      <c r="L24" s="5"/>
      <c r="M24" s="6"/>
      <c r="N24" s="5"/>
      <c r="O24" s="6"/>
      <c r="P24" s="5"/>
      <c r="Q24" s="5"/>
      <c r="R24" s="5"/>
      <c r="S24" s="6"/>
      <c r="T24" s="5"/>
      <c r="U24" s="5"/>
      <c r="V24" s="5"/>
    </row>
  </sheetData>
  <mergeCells count="4">
    <mergeCell ref="C5:L5"/>
    <mergeCell ref="M5:N5"/>
    <mergeCell ref="O5:R5"/>
    <mergeCell ref="S5:V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51DD-5C5E-8E47-BE0E-76D4ABE3CCA6}">
  <dimension ref="A1:S24"/>
  <sheetViews>
    <sheetView tabSelected="1" zoomScale="136" workbookViewId="0">
      <selection activeCell="A11" sqref="A11"/>
    </sheetView>
  </sheetViews>
  <sheetFormatPr baseColWidth="10" defaultRowHeight="16" x14ac:dyDescent="0.2"/>
  <cols>
    <col min="1" max="11" width="20.83203125" customWidth="1"/>
    <col min="12" max="12" width="21" customWidth="1"/>
    <col min="13" max="13" width="20.83203125" customWidth="1"/>
    <col min="14" max="14" width="21" customWidth="1"/>
    <col min="15" max="15" width="20.83203125" customWidth="1"/>
    <col min="16" max="16" width="21" customWidth="1"/>
    <col min="17" max="17" width="20.83203125" customWidth="1"/>
    <col min="18" max="18" width="21" customWidth="1"/>
  </cols>
  <sheetData>
    <row r="1" spans="1:19" x14ac:dyDescent="0.2">
      <c r="A1" s="7" t="s">
        <v>2</v>
      </c>
      <c r="B1" s="7" t="s">
        <v>15</v>
      </c>
      <c r="C1" s="7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x14ac:dyDescent="0.2">
      <c r="A2" s="1"/>
      <c r="B2" s="1">
        <f>1024 * 1024 * 1024 * 16</f>
        <v>17179869184</v>
      </c>
      <c r="C2" s="1">
        <f>1024</f>
        <v>1024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5" spans="1:19" x14ac:dyDescent="0.2">
      <c r="C5" s="10" t="s">
        <v>42</v>
      </c>
      <c r="D5" s="10"/>
      <c r="E5" s="10"/>
      <c r="F5" s="10"/>
      <c r="G5" s="10"/>
      <c r="H5" s="10"/>
      <c r="I5" s="10"/>
      <c r="J5" s="10"/>
      <c r="K5" s="10"/>
      <c r="L5" s="10"/>
      <c r="M5" s="10" t="s">
        <v>43</v>
      </c>
      <c r="N5" s="10"/>
      <c r="O5" s="10" t="s">
        <v>44</v>
      </c>
      <c r="P5" s="10"/>
      <c r="Q5" s="10" t="s">
        <v>47</v>
      </c>
      <c r="R5" s="10"/>
    </row>
    <row r="6" spans="1:19" x14ac:dyDescent="0.2">
      <c r="A6" s="8" t="s">
        <v>0</v>
      </c>
      <c r="B6" s="8" t="s">
        <v>3</v>
      </c>
      <c r="C6" s="8" t="s">
        <v>9</v>
      </c>
      <c r="D6" s="8" t="s">
        <v>11</v>
      </c>
      <c r="E6" s="8" t="s">
        <v>12</v>
      </c>
      <c r="F6" s="8" t="s">
        <v>33</v>
      </c>
      <c r="G6" s="8" t="s">
        <v>34</v>
      </c>
      <c r="H6" s="8" t="s">
        <v>35</v>
      </c>
      <c r="I6" s="8" t="s">
        <v>13</v>
      </c>
      <c r="J6" s="8" t="s">
        <v>14</v>
      </c>
      <c r="K6" s="8" t="s">
        <v>17</v>
      </c>
      <c r="L6" s="8" t="s">
        <v>18</v>
      </c>
      <c r="M6" s="8" t="s">
        <v>29</v>
      </c>
      <c r="N6" s="8" t="s">
        <v>30</v>
      </c>
      <c r="O6" s="8" t="s">
        <v>36</v>
      </c>
      <c r="P6" s="8" t="s">
        <v>37</v>
      </c>
      <c r="Q6" s="8" t="s">
        <v>48</v>
      </c>
      <c r="R6" s="8" t="s">
        <v>49</v>
      </c>
    </row>
    <row r="8" spans="1:19" x14ac:dyDescent="0.2">
      <c r="A8" t="s">
        <v>16</v>
      </c>
      <c r="B8">
        <v>32</v>
      </c>
      <c r="C8">
        <v>37.92</v>
      </c>
      <c r="D8">
        <v>287</v>
      </c>
      <c r="E8" s="9">
        <v>0.66800000000000004</v>
      </c>
      <c r="F8" s="9">
        <v>0.55800000000000005</v>
      </c>
      <c r="G8" s="9">
        <v>0.05</v>
      </c>
      <c r="H8" s="9">
        <v>0.23899999999999999</v>
      </c>
      <c r="I8" s="9">
        <v>1E-3</v>
      </c>
      <c r="J8" s="9">
        <v>0.33400000000000002</v>
      </c>
      <c r="K8" s="3">
        <f t="shared" ref="K8:K11" si="0">$B$2/(B8*B8*B8)*$C$2/C8</f>
        <v>14157988.185654007</v>
      </c>
      <c r="L8" s="3">
        <f t="shared" ref="L8:L11" si="1">K8/D8</f>
        <v>49330.969287993059</v>
      </c>
      <c r="M8" s="3">
        <f>1/(1/(Arithmetic!M$15)+1/(Arithmetic!M$16))/($B8*$B8*$B8)</f>
        <v>590667724.609375</v>
      </c>
      <c r="N8" s="3">
        <f>1/(1/(Arithmetic!N$15)+1/(Arithmetic!N$16))/($B8*$B8*$B8)</f>
        <v>1968892.4153645833</v>
      </c>
      <c r="O8" s="3">
        <f>1/(1/(Arithmetic!O$15)+1/(Arithmetic!O$16))/($B8*$B8*$B8)</f>
        <v>262850542.25758842</v>
      </c>
      <c r="P8" s="3">
        <f>1/(1/(Arithmetic!P$15)+1/(Arithmetic!P$16))/($B8*$B8*$B8)</f>
        <v>305998.30469301477</v>
      </c>
      <c r="Q8" s="3">
        <f>1/(1/(Arithmetic!S$15)+1/(Arithmetic!S$16))/($B8*$B8*$B8)</f>
        <v>394275.81338638265</v>
      </c>
      <c r="R8" s="3">
        <f>1/(1/(Arithmetic!T$15)+1/(Arithmetic!T$16))/($B8*$B8*$B8)</f>
        <v>5008.6679029035677</v>
      </c>
      <c r="S8" s="3"/>
    </row>
    <row r="9" spans="1:19" x14ac:dyDescent="0.2">
      <c r="B9">
        <v>128</v>
      </c>
      <c r="C9">
        <v>2.8260000000000001</v>
      </c>
      <c r="D9">
        <v>300</v>
      </c>
      <c r="E9" s="9">
        <v>0.50900000000000001</v>
      </c>
      <c r="F9" s="9">
        <v>0.36699999999999999</v>
      </c>
      <c r="G9" s="9">
        <v>0.30299999999999999</v>
      </c>
      <c r="H9" s="9">
        <v>0.86599999999999999</v>
      </c>
      <c r="I9" s="9">
        <v>0</v>
      </c>
      <c r="J9" s="9">
        <v>0.22900000000000001</v>
      </c>
      <c r="K9" s="3">
        <f t="shared" si="0"/>
        <v>2968368.0113234255</v>
      </c>
      <c r="L9" s="3">
        <f t="shared" si="1"/>
        <v>9894.5600377447518</v>
      </c>
      <c r="M9" s="3">
        <f>1/(1/(Arithmetic!M$15)+1/(Arithmetic!M$16))/($B9*$B9*$B9)</f>
        <v>9229183.1970214844</v>
      </c>
      <c r="N9" s="3">
        <f>1/(1/(Arithmetic!N$15)+1/(Arithmetic!N$16))/($B9*$B9*$B9)</f>
        <v>30763.943990071613</v>
      </c>
      <c r="O9" s="3">
        <f>1/(1/(Arithmetic!O$15)+1/(Arithmetic!O$16))/($B9*$B9*$B9)</f>
        <v>4107039.722774819</v>
      </c>
      <c r="P9" s="3">
        <f>1/(1/(Arithmetic!P$15)+1/(Arithmetic!P$16))/($B9*$B9*$B9)</f>
        <v>4781.2235108283558</v>
      </c>
      <c r="Q9" s="3">
        <f>1/(1/(Arithmetic!S$15)+1/(Arithmetic!S$16))/($B9*$B9*$B9)</f>
        <v>6160.5595841622289</v>
      </c>
      <c r="R9" s="3">
        <f>1/(1/(Arithmetic!T$15)+1/(Arithmetic!T$16))/($B9*$B9*$B9)</f>
        <v>78.260435982868245</v>
      </c>
      <c r="S9" s="3"/>
    </row>
    <row r="10" spans="1:19" x14ac:dyDescent="0.2">
      <c r="B10">
        <v>512</v>
      </c>
      <c r="C10">
        <v>1.9330000000000001</v>
      </c>
      <c r="D10">
        <v>299</v>
      </c>
      <c r="E10" s="9">
        <v>0.70899999999999996</v>
      </c>
      <c r="F10" s="9">
        <v>0.46700000000000003</v>
      </c>
      <c r="G10" s="9">
        <v>0.27</v>
      </c>
      <c r="H10" s="9">
        <v>0.313</v>
      </c>
      <c r="I10" s="9">
        <v>3.0000000000000001E-3</v>
      </c>
      <c r="J10" s="9">
        <v>0.753</v>
      </c>
      <c r="K10" s="3">
        <f t="shared" si="0"/>
        <v>67807.553026383859</v>
      </c>
      <c r="L10" s="3">
        <f t="shared" si="1"/>
        <v>226.78111380061492</v>
      </c>
      <c r="M10" s="3">
        <f>1/(1/(Arithmetic!M$15)+1/(Arithmetic!M$16))/($B10*$B10*$B10)</f>
        <v>144205.98745346069</v>
      </c>
      <c r="N10" s="3">
        <f>1/(1/(Arithmetic!N$15)+1/(Arithmetic!N$16))/($B10*$B10*$B10)</f>
        <v>480.68662484486896</v>
      </c>
      <c r="O10" s="3">
        <f>1/(1/(Arithmetic!O$15)+1/(Arithmetic!O$16))/($B10*$B10*$B10)</f>
        <v>64172.495668356547</v>
      </c>
      <c r="P10" s="3">
        <f>1/(1/(Arithmetic!P$15)+1/(Arithmetic!P$16))/($B10*$B10*$B10)</f>
        <v>74.706617356693059</v>
      </c>
      <c r="Q10" s="3">
        <f>1/(1/(Arithmetic!S$15)+1/(Arithmetic!S$16))/($B10*$B10*$B10)</f>
        <v>96.258743502534827</v>
      </c>
      <c r="R10" s="3">
        <f>1/(1/(Arithmetic!T$15)+1/(Arithmetic!T$16))/($B10*$B10*$B10)</f>
        <v>1.2228193122323163</v>
      </c>
      <c r="S10" s="3"/>
    </row>
    <row r="11" spans="1:19" x14ac:dyDescent="0.2">
      <c r="B11">
        <v>2048</v>
      </c>
      <c r="C11">
        <v>1.9830000000000001</v>
      </c>
      <c r="D11">
        <v>299</v>
      </c>
      <c r="E11" s="9">
        <v>0.64500000000000002</v>
      </c>
      <c r="F11" s="9">
        <v>0.41399999999999998</v>
      </c>
      <c r="G11" s="9">
        <v>0.25800000000000001</v>
      </c>
      <c r="H11" s="9">
        <v>0.14399999999999999</v>
      </c>
      <c r="I11" s="9">
        <v>3.0000000000000001E-3</v>
      </c>
      <c r="J11" s="9">
        <v>0.82399999999999995</v>
      </c>
      <c r="K11" s="3">
        <f t="shared" si="0"/>
        <v>1032.7786182551688</v>
      </c>
      <c r="L11" s="3">
        <f t="shared" si="1"/>
        <v>3.4541090911544106</v>
      </c>
      <c r="M11" s="3">
        <f>1/(1/(Arithmetic!M$15)+1/(Arithmetic!M$16))/($B11*$B11*$B11)</f>
        <v>2253.2185539603233</v>
      </c>
      <c r="N11" s="3">
        <f>1/(1/(Arithmetic!N$15)+1/(Arithmetic!N$16))/($B11*$B11*$B11)</f>
        <v>7.5107285132010775</v>
      </c>
      <c r="O11" s="3">
        <f>1/(1/(Arithmetic!O$15)+1/(Arithmetic!O$16))/($B11*$B11*$B11)</f>
        <v>1002.695244818071</v>
      </c>
      <c r="P11" s="3">
        <f>1/(1/(Arithmetic!P$15)+1/(Arithmetic!P$16))/($B11*$B11*$B11)</f>
        <v>1.167290896198329</v>
      </c>
      <c r="Q11" s="3">
        <f>1/(1/(Arithmetic!S$15)+1/(Arithmetic!S$16))/($B11*$B11*$B11)</f>
        <v>1.5040428672271067</v>
      </c>
      <c r="R11" s="3">
        <f>1/(1/(Arithmetic!T$15)+1/(Arithmetic!T$16))/($B11*$B11*$B11)</f>
        <v>1.9106551753629943E-2</v>
      </c>
      <c r="S11" s="3"/>
    </row>
    <row r="13" spans="1:19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3"/>
      <c r="P13" s="3"/>
      <c r="Q13" s="3"/>
      <c r="R13" s="3"/>
    </row>
    <row r="14" spans="1:19" x14ac:dyDescent="0.2">
      <c r="E14" s="9"/>
      <c r="F14" s="9"/>
      <c r="G14" s="9"/>
      <c r="H14" s="9"/>
      <c r="I14" s="9"/>
      <c r="J14" s="9"/>
      <c r="K14" s="9"/>
      <c r="L14" s="9"/>
      <c r="M14" s="9"/>
      <c r="N14" s="9"/>
      <c r="O14" s="3"/>
      <c r="P14" s="3"/>
      <c r="Q14" s="3"/>
      <c r="R14" s="3"/>
    </row>
    <row r="15" spans="1:19" x14ac:dyDescent="0.2">
      <c r="E15" s="9"/>
      <c r="F15" s="9"/>
      <c r="G15" s="9"/>
      <c r="H15" s="9"/>
      <c r="I15" s="9"/>
      <c r="J15" s="9"/>
      <c r="K15" s="3"/>
      <c r="L15" s="9"/>
      <c r="M15" s="3"/>
      <c r="N15" s="9"/>
      <c r="O15" s="3"/>
      <c r="P15" s="3"/>
      <c r="Q15" s="3"/>
      <c r="R15" s="3"/>
    </row>
    <row r="16" spans="1:19" x14ac:dyDescent="0.2">
      <c r="E16" s="9"/>
      <c r="F16" s="9"/>
      <c r="G16" s="9"/>
      <c r="H16" s="9"/>
      <c r="I16" s="9"/>
      <c r="J16" s="9"/>
      <c r="K16" s="3"/>
      <c r="L16" s="9"/>
      <c r="M16" s="3"/>
      <c r="N16" s="9"/>
      <c r="O16" s="3"/>
      <c r="P16" s="3"/>
      <c r="Q16" s="3"/>
      <c r="R16" s="3"/>
    </row>
    <row r="17" spans="5:18" x14ac:dyDescent="0.2">
      <c r="E17" s="9"/>
      <c r="F17" s="9"/>
      <c r="G17" s="9"/>
      <c r="H17" s="9"/>
      <c r="I17" s="9"/>
      <c r="J17" s="9"/>
      <c r="K17" s="3"/>
      <c r="L17" s="5"/>
      <c r="M17" s="3"/>
      <c r="N17" s="5"/>
      <c r="O17" s="9"/>
      <c r="P17" s="9"/>
      <c r="Q17" s="9"/>
      <c r="R17" s="9"/>
    </row>
    <row r="18" spans="5:18" x14ac:dyDescent="0.2">
      <c r="E18" s="9"/>
      <c r="F18" s="9"/>
      <c r="G18" s="9"/>
      <c r="H18" s="9"/>
      <c r="I18" s="9"/>
      <c r="J18" s="9"/>
      <c r="K18" s="3"/>
      <c r="L18" s="5"/>
      <c r="M18" s="3"/>
      <c r="N18" s="5"/>
      <c r="O18" s="9"/>
      <c r="P18" s="9"/>
      <c r="Q18" s="9"/>
      <c r="R18" s="9"/>
    </row>
    <row r="19" spans="5:18" x14ac:dyDescent="0.2">
      <c r="E19" s="9"/>
      <c r="F19" s="9"/>
      <c r="G19" s="9"/>
      <c r="H19" s="9"/>
      <c r="I19" s="9"/>
      <c r="J19" s="9"/>
      <c r="K19" s="3"/>
      <c r="L19" s="5"/>
      <c r="M19" s="3"/>
      <c r="N19" s="5"/>
      <c r="O19" s="9"/>
      <c r="P19" s="9"/>
      <c r="Q19" s="9"/>
      <c r="R19" s="9"/>
    </row>
    <row r="20" spans="5:18" x14ac:dyDescent="0.2">
      <c r="O20" s="9"/>
      <c r="P20" s="9"/>
      <c r="Q20" s="9"/>
      <c r="R20" s="9"/>
    </row>
    <row r="21" spans="5:18" x14ac:dyDescent="0.2">
      <c r="O21" s="9"/>
      <c r="P21" s="9"/>
      <c r="Q21" s="9"/>
      <c r="R21" s="9"/>
    </row>
    <row r="22" spans="5:18" x14ac:dyDescent="0.2">
      <c r="O22" s="6"/>
      <c r="P22" s="5"/>
      <c r="Q22" s="6"/>
      <c r="R22" s="5"/>
    </row>
    <row r="23" spans="5:18" x14ac:dyDescent="0.2">
      <c r="O23" s="6"/>
      <c r="P23" s="5"/>
      <c r="Q23" s="6"/>
      <c r="R23" s="5"/>
    </row>
    <row r="24" spans="5:18" x14ac:dyDescent="0.2">
      <c r="O24" s="6"/>
      <c r="P24" s="5"/>
      <c r="Q24" s="6"/>
      <c r="R24" s="5"/>
    </row>
  </sheetData>
  <mergeCells count="4">
    <mergeCell ref="C5:L5"/>
    <mergeCell ref="M5:N5"/>
    <mergeCell ref="O5:P5"/>
    <mergeCell ref="Q5:R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201E-4CC7-BF42-8422-17066C0E23F2}">
  <dimension ref="A1:R24"/>
  <sheetViews>
    <sheetView zoomScale="136" workbookViewId="0">
      <selection activeCell="I12" sqref="I12"/>
    </sheetView>
  </sheetViews>
  <sheetFormatPr baseColWidth="10" defaultRowHeight="16" x14ac:dyDescent="0.2"/>
  <cols>
    <col min="1" max="11" width="20.83203125" customWidth="1"/>
    <col min="12" max="12" width="21" customWidth="1"/>
    <col min="13" max="13" width="20.83203125" customWidth="1"/>
    <col min="14" max="14" width="21" customWidth="1"/>
    <col min="15" max="15" width="20.83203125" customWidth="1"/>
    <col min="16" max="16" width="21" customWidth="1"/>
    <col min="17" max="17" width="20.83203125" customWidth="1"/>
    <col min="18" max="18" width="21" customWidth="1"/>
  </cols>
  <sheetData>
    <row r="1" spans="1:18" x14ac:dyDescent="0.2">
      <c r="A1" s="7" t="s">
        <v>2</v>
      </c>
      <c r="B1" s="7" t="s">
        <v>21</v>
      </c>
      <c r="C1" s="7" t="s">
        <v>19</v>
      </c>
      <c r="D1" s="7" t="s">
        <v>20</v>
      </c>
      <c r="E1" s="7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>
        <f>32*1024</f>
        <v>32768</v>
      </c>
      <c r="C2" s="1">
        <v>224</v>
      </c>
      <c r="D2" s="1">
        <v>224</v>
      </c>
      <c r="E2" s="1">
        <v>128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5" spans="1:18" x14ac:dyDescent="0.2">
      <c r="C5" s="10" t="s">
        <v>42</v>
      </c>
      <c r="D5" s="10"/>
      <c r="E5" s="10"/>
      <c r="F5" s="10"/>
      <c r="G5" s="10"/>
      <c r="H5" s="10"/>
      <c r="I5" s="10"/>
      <c r="J5" s="10"/>
      <c r="K5" s="10"/>
      <c r="L5" s="10"/>
      <c r="M5" s="10" t="s">
        <v>43</v>
      </c>
      <c r="N5" s="10"/>
      <c r="O5" s="10" t="s">
        <v>44</v>
      </c>
      <c r="P5" s="10"/>
      <c r="Q5" s="10" t="s">
        <v>47</v>
      </c>
      <c r="R5" s="10"/>
    </row>
    <row r="6" spans="1:18" x14ac:dyDescent="0.2">
      <c r="A6" s="8" t="s">
        <v>0</v>
      </c>
      <c r="B6" s="8" t="s">
        <v>22</v>
      </c>
      <c r="C6" s="8" t="s">
        <v>9</v>
      </c>
      <c r="D6" s="8" t="s">
        <v>11</v>
      </c>
      <c r="E6" s="8" t="s">
        <v>12</v>
      </c>
      <c r="F6" s="8" t="s">
        <v>33</v>
      </c>
      <c r="G6" s="8" t="s">
        <v>34</v>
      </c>
      <c r="H6" s="8" t="s">
        <v>35</v>
      </c>
      <c r="I6" s="8" t="s">
        <v>13</v>
      </c>
      <c r="J6" s="8" t="s">
        <v>14</v>
      </c>
      <c r="K6" s="8" t="s">
        <v>17</v>
      </c>
      <c r="L6" s="8" t="s">
        <v>18</v>
      </c>
      <c r="M6" s="8" t="s">
        <v>29</v>
      </c>
      <c r="N6" s="8" t="s">
        <v>30</v>
      </c>
      <c r="O6" s="8" t="s">
        <v>36</v>
      </c>
      <c r="P6" s="8" t="s">
        <v>37</v>
      </c>
      <c r="Q6" s="8" t="s">
        <v>48</v>
      </c>
      <c r="R6" s="8" t="s">
        <v>49</v>
      </c>
    </row>
    <row r="8" spans="1:18" x14ac:dyDescent="0.2">
      <c r="A8" t="s">
        <v>16</v>
      </c>
      <c r="B8">
        <v>1</v>
      </c>
      <c r="C8">
        <v>3.149</v>
      </c>
      <c r="D8">
        <v>291</v>
      </c>
      <c r="E8" s="9">
        <v>0.308</v>
      </c>
      <c r="F8" s="9">
        <v>6.7000000000000004E-2</v>
      </c>
      <c r="G8" s="9">
        <v>0.125</v>
      </c>
      <c r="H8" s="9">
        <v>0.72899999999999998</v>
      </c>
      <c r="I8" s="9">
        <v>0.105</v>
      </c>
      <c r="J8" s="9">
        <v>0.49</v>
      </c>
      <c r="K8" s="3">
        <f>$B$2*$E$2/C8</f>
        <v>1331947.9199745951</v>
      </c>
      <c r="L8" s="3">
        <f>K8/D8</f>
        <v>4577.1406184693988</v>
      </c>
      <c r="M8" s="3">
        <f>1/(1/(Arithmetic!M$15)+1/(Arithmetic!M$16))/($C$2*$D$2*$B8*$B8)</f>
        <v>385742187.5</v>
      </c>
      <c r="N8" s="3">
        <f>1/(1/(Arithmetic!N$15)+1/(Arithmetic!N$16))/($C$2*$D$2*$B8*$B8)</f>
        <v>1285807.2916666665</v>
      </c>
      <c r="O8" s="3">
        <f>1/(1/(Arithmetic!O$15)+1/(Arithmetic!O$16))/($C$2*$D$2*$B8*$B8)</f>
        <v>171657496.98454753</v>
      </c>
      <c r="P8" s="3">
        <f>1/(1/(Arithmetic!P$15)+1/(Arithmetic!P$16))/($C$2*$D$2*$B8*$B8)</f>
        <v>199835.6275546219</v>
      </c>
      <c r="Q8" s="3">
        <f>1/(1/(Arithmetic!S$15)+1/(Arithmetic!S$16))/($C$2*$D$2*$B8*$B8)</f>
        <v>257486.24547682132</v>
      </c>
      <c r="R8" s="3">
        <f>1/(1/(Arithmetic!T$15)+1/(Arithmetic!T$16))/($C$2*$D$2*$B8*$B8)</f>
        <v>3270.9667937329423</v>
      </c>
    </row>
    <row r="9" spans="1:18" x14ac:dyDescent="0.2">
      <c r="B9">
        <v>3</v>
      </c>
      <c r="C9">
        <v>2.8410000000000002</v>
      </c>
      <c r="D9">
        <v>299</v>
      </c>
      <c r="E9" s="9">
        <v>0.46100000000000002</v>
      </c>
      <c r="F9" s="9">
        <v>0.38400000000000001</v>
      </c>
      <c r="G9" s="9">
        <v>0.20699999999999999</v>
      </c>
      <c r="H9" s="9">
        <v>0.81399999999999995</v>
      </c>
      <c r="I9" s="9">
        <v>0.23100000000000001</v>
      </c>
      <c r="J9" s="9">
        <v>0.54</v>
      </c>
      <c r="K9" s="3">
        <f t="shared" ref="K9:K12" si="0">$B$2*$E$2/C9</f>
        <v>1476347.7648715239</v>
      </c>
      <c r="L9" s="3">
        <f t="shared" ref="L9:L12" si="1">K9/D9</f>
        <v>4937.6179427141269</v>
      </c>
      <c r="M9" s="3">
        <f>1/(1/(Arithmetic!M$15)+1/(Arithmetic!M$16))/($C$2*$D$2*$B9*$B9)</f>
        <v>42860243.055555552</v>
      </c>
      <c r="N9" s="3">
        <f>1/(1/(Arithmetic!N$15)+1/(Arithmetic!N$16))/($C$2*$D$2*$B9*$B9)</f>
        <v>142867.47685185185</v>
      </c>
      <c r="O9" s="3">
        <f>1/(1/(Arithmetic!O$15)+1/(Arithmetic!O$16))/($C$2*$D$2*$B9*$B9)</f>
        <v>19073055.220505282</v>
      </c>
      <c r="P9" s="3">
        <f>1/(1/(Arithmetic!P$15)+1/(Arithmetic!P$16))/($C$2*$D$2*$B9*$B9)</f>
        <v>22203.958617180211</v>
      </c>
      <c r="Q9" s="3">
        <f>1/(1/(Arithmetic!S$15)+1/(Arithmetic!S$16))/($C$2*$D$2*$B9*$B9)</f>
        <v>28609.582830757925</v>
      </c>
      <c r="R9" s="3">
        <f>1/(1/(Arithmetic!T$15)+1/(Arithmetic!T$16))/($C$2*$D$2*$B9*$B9)</f>
        <v>363.44075485921582</v>
      </c>
    </row>
    <row r="10" spans="1:18" x14ac:dyDescent="0.2">
      <c r="B10">
        <v>5</v>
      </c>
      <c r="C10">
        <v>8.7929999999999993</v>
      </c>
      <c r="D10">
        <v>299</v>
      </c>
      <c r="E10" s="9">
        <v>0.69599999999999995</v>
      </c>
      <c r="F10" s="9">
        <v>0.28899999999999998</v>
      </c>
      <c r="G10" s="9">
        <v>7.0999999999999994E-2</v>
      </c>
      <c r="H10" s="9">
        <v>0.26300000000000001</v>
      </c>
      <c r="I10" s="9">
        <v>0.92400000000000004</v>
      </c>
      <c r="J10" s="9">
        <v>0.64600000000000002</v>
      </c>
      <c r="K10" s="3">
        <f t="shared" si="0"/>
        <v>477004.89025361085</v>
      </c>
      <c r="L10" s="3">
        <f t="shared" si="1"/>
        <v>1595.3340811157555</v>
      </c>
      <c r="M10" s="3">
        <f>1/(1/(Arithmetic!M$15)+1/(Arithmetic!M$16))/($C$2*$D$2*$B10*$B10)</f>
        <v>15429687.5</v>
      </c>
      <c r="N10" s="3">
        <f>1/(1/(Arithmetic!N$15)+1/(Arithmetic!N$16))/($C$2*$D$2*$B10*$B10)</f>
        <v>51432.291666666664</v>
      </c>
      <c r="O10" s="3">
        <f>1/(1/(Arithmetic!O$15)+1/(Arithmetic!O$16))/($C$2*$D$2*$B10*$B10)</f>
        <v>6866299.8793819016</v>
      </c>
      <c r="P10" s="3">
        <f>1/(1/(Arithmetic!P$15)+1/(Arithmetic!P$16))/($C$2*$D$2*$B10*$B10)</f>
        <v>7993.4251021848759</v>
      </c>
      <c r="Q10" s="3">
        <f>1/(1/(Arithmetic!S$15)+1/(Arithmetic!S$16))/($C$2*$D$2*$B10*$B10)</f>
        <v>10299.449819072854</v>
      </c>
      <c r="R10" s="3">
        <f>1/(1/(Arithmetic!T$15)+1/(Arithmetic!T$16))/($C$2*$D$2*$B10*$B10)</f>
        <v>130.83867174931768</v>
      </c>
    </row>
    <row r="11" spans="1:18" x14ac:dyDescent="0.2">
      <c r="B11">
        <v>7</v>
      </c>
      <c r="C11">
        <v>14.185</v>
      </c>
      <c r="D11">
        <v>299</v>
      </c>
      <c r="E11" s="9">
        <v>0.72799999999999998</v>
      </c>
      <c r="F11" s="9">
        <v>0.33900000000000002</v>
      </c>
      <c r="G11" s="9">
        <v>0.06</v>
      </c>
      <c r="H11" s="9">
        <v>0.161</v>
      </c>
      <c r="I11" s="9">
        <v>0.95799999999999996</v>
      </c>
      <c r="J11" s="9">
        <v>0.69</v>
      </c>
      <c r="K11" s="3">
        <f t="shared" si="0"/>
        <v>295685.86535072257</v>
      </c>
      <c r="L11" s="3">
        <f t="shared" si="1"/>
        <v>988.91593762783464</v>
      </c>
      <c r="M11" s="3">
        <f>1/(1/(Arithmetic!M$15)+1/(Arithmetic!M$16))/($C$2*$D$2*$B11*$B11)</f>
        <v>7872289.5408163266</v>
      </c>
      <c r="N11" s="3">
        <f>1/(1/(Arithmetic!N$15)+1/(Arithmetic!N$16))/($C$2*$D$2*$B11*$B11)</f>
        <v>26240.965136054419</v>
      </c>
      <c r="O11" s="3">
        <f>1/(1/(Arithmetic!O$15)+1/(Arithmetic!O$16))/($C$2*$D$2*$B11*$B11)</f>
        <v>3503214.2241744394</v>
      </c>
      <c r="P11" s="3">
        <f>1/(1/(Arithmetic!P$15)+1/(Arithmetic!P$16))/($C$2*$D$2*$B11*$B11)</f>
        <v>4078.2781133596304</v>
      </c>
      <c r="Q11" s="3">
        <f>1/(1/(Arithmetic!S$15)+1/(Arithmetic!S$16))/($C$2*$D$2*$B11*$B11)</f>
        <v>5254.8213362616598</v>
      </c>
      <c r="R11" s="3">
        <f>1/(1/(Arithmetic!T$15)+1/(Arithmetic!T$16))/($C$2*$D$2*$B11*$B11)</f>
        <v>66.754424361896781</v>
      </c>
    </row>
    <row r="12" spans="1:18" x14ac:dyDescent="0.2">
      <c r="B12">
        <v>9</v>
      </c>
      <c r="C12">
        <v>20.710999999999999</v>
      </c>
      <c r="D12">
        <v>299</v>
      </c>
      <c r="E12" s="9">
        <v>0.79700000000000004</v>
      </c>
      <c r="F12" s="9">
        <v>0.378</v>
      </c>
      <c r="G12" s="9">
        <v>0.05</v>
      </c>
      <c r="H12" s="9">
        <v>0.11</v>
      </c>
      <c r="I12" s="9">
        <v>0.96699999999999997</v>
      </c>
      <c r="J12" s="9">
        <v>0.71899999999999997</v>
      </c>
      <c r="K12" s="3">
        <f t="shared" si="0"/>
        <v>202515.76456955244</v>
      </c>
      <c r="L12" s="3">
        <f t="shared" si="1"/>
        <v>677.31024939649649</v>
      </c>
      <c r="M12" s="3">
        <f>1/(1/(Arithmetic!M$15)+1/(Arithmetic!M$16))/($C$2*$D$2*$B12*$B12)</f>
        <v>4762249.2283950616</v>
      </c>
      <c r="N12" s="3">
        <f>1/(1/(Arithmetic!N$15)+1/(Arithmetic!N$16))/($C$2*$D$2*$B12*$B12)</f>
        <v>15874.164094650205</v>
      </c>
      <c r="O12" s="3">
        <f>1/(1/(Arithmetic!O$15)+1/(Arithmetic!O$16))/($C$2*$D$2*$B12*$B12)</f>
        <v>2119228.35783392</v>
      </c>
      <c r="P12" s="3">
        <f>1/(1/(Arithmetic!P$15)+1/(Arithmetic!P$16))/($C$2*$D$2*$B12*$B12)</f>
        <v>2467.1065130200232</v>
      </c>
      <c r="Q12" s="3">
        <f>1/(1/(Arithmetic!S$15)+1/(Arithmetic!S$16))/($C$2*$D$2*$B12*$B12)</f>
        <v>3178.8425367508808</v>
      </c>
      <c r="R12" s="3">
        <f>1/(1/(Arithmetic!T$15)+1/(Arithmetic!T$16))/($C$2*$D$2*$B12*$B12)</f>
        <v>40.382306095468422</v>
      </c>
    </row>
    <row r="13" spans="1:18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3"/>
      <c r="P13" s="3"/>
      <c r="Q13" s="3"/>
      <c r="R13" s="3"/>
    </row>
    <row r="14" spans="1:18" x14ac:dyDescent="0.2">
      <c r="E14" s="9"/>
      <c r="F14" s="9"/>
      <c r="G14" s="9"/>
      <c r="H14" s="9"/>
      <c r="I14" s="9"/>
      <c r="J14" s="9"/>
      <c r="K14" s="9"/>
      <c r="L14" s="9"/>
      <c r="M14" s="9"/>
      <c r="N14" s="9"/>
      <c r="O14" s="3"/>
      <c r="P14" s="3"/>
      <c r="Q14" s="3"/>
      <c r="R14" s="3"/>
    </row>
    <row r="15" spans="1:18" x14ac:dyDescent="0.2">
      <c r="E15" s="9"/>
      <c r="F15" s="9"/>
      <c r="G15" s="9"/>
      <c r="H15" s="9"/>
      <c r="I15" s="9"/>
      <c r="J15" s="9"/>
      <c r="K15" s="3"/>
      <c r="L15" s="9"/>
      <c r="M15" s="3"/>
      <c r="N15" s="9"/>
      <c r="O15" s="3"/>
      <c r="P15" s="3"/>
      <c r="Q15" s="3"/>
      <c r="R15" s="3"/>
    </row>
    <row r="16" spans="1:18" x14ac:dyDescent="0.2">
      <c r="E16" s="9"/>
      <c r="F16" s="9"/>
      <c r="G16" s="9"/>
      <c r="H16" s="9"/>
      <c r="I16" s="9"/>
      <c r="J16" s="9"/>
      <c r="K16" s="3"/>
      <c r="L16" s="9"/>
      <c r="M16" s="3"/>
      <c r="N16" s="9"/>
      <c r="O16" s="3"/>
      <c r="P16" s="3"/>
      <c r="Q16" s="3"/>
      <c r="R16" s="3"/>
    </row>
    <row r="17" spans="5:18" x14ac:dyDescent="0.2">
      <c r="E17" s="9"/>
      <c r="F17" s="9"/>
      <c r="G17" s="9"/>
      <c r="H17" s="9"/>
      <c r="I17" s="9"/>
      <c r="J17" s="9"/>
      <c r="K17" s="3"/>
      <c r="L17" s="5"/>
      <c r="M17" s="3"/>
      <c r="N17" s="5"/>
      <c r="O17" s="9"/>
      <c r="P17" s="9"/>
      <c r="Q17" s="9"/>
      <c r="R17" s="9"/>
    </row>
    <row r="18" spans="5:18" x14ac:dyDescent="0.2">
      <c r="E18" s="9"/>
      <c r="F18" s="9"/>
      <c r="G18" s="9"/>
      <c r="H18" s="9"/>
      <c r="I18" s="9"/>
      <c r="J18" s="9"/>
      <c r="K18" s="3"/>
      <c r="L18" s="5"/>
      <c r="M18" s="3"/>
      <c r="N18" s="5"/>
      <c r="O18" s="9"/>
      <c r="P18" s="9"/>
      <c r="Q18" s="9"/>
      <c r="R18" s="9"/>
    </row>
    <row r="19" spans="5:18" x14ac:dyDescent="0.2">
      <c r="E19" s="9"/>
      <c r="F19" s="9"/>
      <c r="G19" s="9"/>
      <c r="H19" s="9"/>
      <c r="I19" s="9"/>
      <c r="J19" s="9"/>
      <c r="K19" s="3"/>
      <c r="L19" s="5"/>
      <c r="M19" s="3"/>
      <c r="N19" s="5"/>
      <c r="O19" s="9"/>
      <c r="P19" s="9"/>
      <c r="Q19" s="9"/>
      <c r="R19" s="9"/>
    </row>
    <row r="20" spans="5:18" x14ac:dyDescent="0.2">
      <c r="O20" s="9"/>
      <c r="P20" s="9"/>
      <c r="Q20" s="9"/>
      <c r="R20" s="9"/>
    </row>
    <row r="21" spans="5:18" x14ac:dyDescent="0.2">
      <c r="O21" s="9"/>
      <c r="P21" s="9"/>
      <c r="Q21" s="9"/>
      <c r="R21" s="9"/>
    </row>
    <row r="22" spans="5:18" x14ac:dyDescent="0.2">
      <c r="O22" s="6"/>
      <c r="P22" s="5"/>
      <c r="Q22" s="6"/>
      <c r="R22" s="5"/>
    </row>
    <row r="23" spans="5:18" x14ac:dyDescent="0.2">
      <c r="O23" s="6"/>
      <c r="P23" s="5"/>
      <c r="Q23" s="6"/>
      <c r="R23" s="5"/>
    </row>
    <row r="24" spans="5:18" x14ac:dyDescent="0.2">
      <c r="O24" s="6"/>
      <c r="P24" s="5"/>
      <c r="Q24" s="6"/>
      <c r="R24" s="5"/>
    </row>
  </sheetData>
  <mergeCells count="4">
    <mergeCell ref="C5:L5"/>
    <mergeCell ref="M5:N5"/>
    <mergeCell ref="O5:P5"/>
    <mergeCell ref="Q5:R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4063-5CA9-C143-ABF4-D12D6270E814}">
  <dimension ref="A1:S24"/>
  <sheetViews>
    <sheetView zoomScale="136" workbookViewId="0">
      <selection activeCell="I15" sqref="I15"/>
    </sheetView>
  </sheetViews>
  <sheetFormatPr baseColWidth="10" defaultRowHeight="16" x14ac:dyDescent="0.2"/>
  <cols>
    <col min="1" max="11" width="20.83203125" customWidth="1"/>
    <col min="12" max="12" width="21" customWidth="1"/>
    <col min="13" max="13" width="20.83203125" customWidth="1"/>
    <col min="14" max="14" width="21" customWidth="1"/>
    <col min="15" max="15" width="20.83203125" customWidth="1"/>
    <col min="16" max="16" width="21" customWidth="1"/>
    <col min="17" max="17" width="20.83203125" customWidth="1"/>
    <col min="18" max="18" width="21" customWidth="1"/>
  </cols>
  <sheetData>
    <row r="1" spans="1:19" x14ac:dyDescent="0.2">
      <c r="A1" s="7" t="s">
        <v>2</v>
      </c>
      <c r="B1" s="7" t="s">
        <v>31</v>
      </c>
      <c r="C1" s="7" t="s">
        <v>32</v>
      </c>
      <c r="D1" s="7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x14ac:dyDescent="0.2">
      <c r="A2" s="1"/>
      <c r="B2" s="1">
        <v>512</v>
      </c>
      <c r="C2" s="1">
        <v>512</v>
      </c>
      <c r="D2" s="1">
        <v>128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5" spans="1:19" x14ac:dyDescent="0.2">
      <c r="C5" s="10" t="s">
        <v>42</v>
      </c>
      <c r="D5" s="10"/>
      <c r="E5" s="10"/>
      <c r="F5" s="10"/>
      <c r="G5" s="10"/>
      <c r="H5" s="10"/>
      <c r="I5" s="10"/>
      <c r="J5" s="10"/>
      <c r="K5" s="10"/>
      <c r="L5" s="10"/>
      <c r="M5" s="10" t="s">
        <v>43</v>
      </c>
      <c r="N5" s="10"/>
      <c r="O5" s="10" t="s">
        <v>44</v>
      </c>
      <c r="P5" s="10"/>
      <c r="Q5" s="10" t="s">
        <v>47</v>
      </c>
      <c r="R5" s="10"/>
    </row>
    <row r="6" spans="1:19" x14ac:dyDescent="0.2">
      <c r="A6" s="8" t="s">
        <v>0</v>
      </c>
      <c r="B6" s="8" t="s">
        <v>24</v>
      </c>
      <c r="C6" s="8" t="s">
        <v>9</v>
      </c>
      <c r="D6" s="8" t="s">
        <v>11</v>
      </c>
      <c r="E6" s="8" t="s">
        <v>12</v>
      </c>
      <c r="F6" s="8" t="s">
        <v>33</v>
      </c>
      <c r="G6" s="8" t="s">
        <v>34</v>
      </c>
      <c r="H6" s="8" t="s">
        <v>35</v>
      </c>
      <c r="I6" s="8" t="s">
        <v>13</v>
      </c>
      <c r="J6" s="8" t="s">
        <v>14</v>
      </c>
      <c r="K6" s="8" t="s">
        <v>17</v>
      </c>
      <c r="L6" s="8" t="s">
        <v>18</v>
      </c>
      <c r="M6" s="8" t="s">
        <v>29</v>
      </c>
      <c r="N6" s="8" t="s">
        <v>30</v>
      </c>
      <c r="O6" s="8" t="s">
        <v>36</v>
      </c>
      <c r="P6" s="8" t="s">
        <v>37</v>
      </c>
      <c r="Q6" s="8" t="s">
        <v>48</v>
      </c>
      <c r="R6" s="8" t="s">
        <v>49</v>
      </c>
    </row>
    <row r="8" spans="1:19" x14ac:dyDescent="0.2">
      <c r="A8" t="s">
        <v>23</v>
      </c>
      <c r="B8" t="s">
        <v>25</v>
      </c>
      <c r="C8">
        <v>4.0170000000000003</v>
      </c>
      <c r="D8">
        <v>294</v>
      </c>
      <c r="E8" s="9">
        <v>0.46100000000000002</v>
      </c>
      <c r="F8" s="9">
        <v>0.39</v>
      </c>
      <c r="G8" s="9">
        <v>0.29199999999999998</v>
      </c>
      <c r="H8" s="9">
        <v>0.47599999999999998</v>
      </c>
      <c r="I8" s="9">
        <v>0.27900000000000003</v>
      </c>
      <c r="J8" s="9">
        <v>0.67200000000000004</v>
      </c>
      <c r="K8" s="3">
        <f>$B$2*$D$2/C8</f>
        <v>16314.662683594721</v>
      </c>
      <c r="L8" s="3">
        <f>K8/D8</f>
        <v>55.492049944199728</v>
      </c>
      <c r="M8" s="3">
        <f>1/(1/(Arithmetic!M$15)+1/(Arithmetic!M$16))/(724705896)</f>
        <v>26707.385860705072</v>
      </c>
      <c r="N8" s="3">
        <f>1/(1/(Arithmetic!N$15)+1/(Arithmetic!N$16))/(724705896)</f>
        <v>89.02461953568357</v>
      </c>
      <c r="O8" s="3">
        <f>1/(1/(Arithmetic!O$15)+1/(Arithmetic!O$16))/(724705896)</f>
        <v>11884.940658322803</v>
      </c>
      <c r="P8" s="3">
        <f>1/(1/(Arithmetic!P$15)+1/(Arithmetic!P$16))/(724705896)</f>
        <v>13.835891916326714</v>
      </c>
      <c r="Q8" s="3">
        <f>1/(1/(Arithmetic!S$15)+1/(Arithmetic!S$16))/(724705896)</f>
        <v>17.827410987484207</v>
      </c>
      <c r="R8" s="3">
        <f>1/(1/(Arithmetic!T$15)+1/(Arithmetic!T$16))/(724705896)</f>
        <v>0.2264698421086726</v>
      </c>
      <c r="S8" s="9"/>
    </row>
    <row r="9" spans="1:19" x14ac:dyDescent="0.2">
      <c r="B9" t="s">
        <v>26</v>
      </c>
      <c r="C9">
        <v>48.195</v>
      </c>
      <c r="D9">
        <v>307</v>
      </c>
      <c r="E9" s="9">
        <v>0.36499999999999999</v>
      </c>
      <c r="F9" s="9">
        <v>0.26700000000000002</v>
      </c>
      <c r="G9" s="9">
        <v>0.26</v>
      </c>
      <c r="H9" s="9">
        <v>0.75700000000000001</v>
      </c>
      <c r="I9" s="9">
        <v>0.192</v>
      </c>
      <c r="J9" s="9">
        <v>0.55400000000000005</v>
      </c>
      <c r="K9" s="3">
        <f t="shared" ref="K9:K10" si="0">$B$2*$D$2/C9</f>
        <v>1359.8091088287167</v>
      </c>
      <c r="L9" s="3">
        <f t="shared" ref="L9:L10" si="1">K9/D9</f>
        <v>4.4293456313638977</v>
      </c>
      <c r="M9" s="3">
        <f>1/(1/(Arithmetic!M$15)+1/(Arithmetic!M$16))/(4297355192)</f>
        <v>4503.933032119724</v>
      </c>
      <c r="N9" s="3">
        <f>1/(1/(Arithmetic!N$15)+1/(Arithmetic!N$16))/(4297355192)</f>
        <v>15.013110107065748</v>
      </c>
      <c r="O9" s="3">
        <f>1/(1/(Arithmetic!O$15)+1/(Arithmetic!O$16))/(4297355192)</f>
        <v>2004.2761614704009</v>
      </c>
      <c r="P9" s="3">
        <f>1/(1/(Arithmetic!P$15)+1/(Arithmetic!P$16))/(4297355192)</f>
        <v>2.3332845436763021</v>
      </c>
      <c r="Q9" s="3">
        <f>1/(1/(Arithmetic!S$15)+1/(Arithmetic!S$16))/(4297355192)</f>
        <v>3.0064142422056013</v>
      </c>
      <c r="R9" s="3">
        <f>1/(1/(Arithmetic!T$15)+1/(Arithmetic!T$16))/(4297355192)</f>
        <v>3.8191869768614675E-2</v>
      </c>
      <c r="S9" s="9"/>
    </row>
    <row r="10" spans="1:19" x14ac:dyDescent="0.2">
      <c r="B10" t="s">
        <v>27</v>
      </c>
      <c r="C10">
        <v>18.754000000000001</v>
      </c>
      <c r="D10">
        <v>297</v>
      </c>
      <c r="E10" s="9">
        <v>0.443</v>
      </c>
      <c r="F10" s="9">
        <v>0.28499999999999998</v>
      </c>
      <c r="G10" s="9">
        <v>0.27900000000000003</v>
      </c>
      <c r="H10" s="9">
        <v>0.71499999999999997</v>
      </c>
      <c r="I10" s="9">
        <v>0.26900000000000002</v>
      </c>
      <c r="J10" s="9">
        <v>0.60699999999999998</v>
      </c>
      <c r="K10" s="3">
        <f t="shared" si="0"/>
        <v>3494.5078383278233</v>
      </c>
      <c r="L10" s="3">
        <f t="shared" si="1"/>
        <v>11.766019657669439</v>
      </c>
      <c r="M10" s="3">
        <f>1/(1/(Arithmetic!M$15)+1/(Arithmetic!M$16))/(1255899984)</f>
        <v>15411.25905452675</v>
      </c>
      <c r="N10" s="3">
        <f>1/(1/(Arithmetic!N$15)+1/(Arithmetic!N$16))/(1255899984)</f>
        <v>51.370863515089162</v>
      </c>
      <c r="O10" s="3">
        <f>1/(1/(Arithmetic!O$15)+1/(Arithmetic!O$16))/(1255899984)</f>
        <v>6858.0991149185784</v>
      </c>
      <c r="P10" s="3">
        <f>1/(1/(Arithmetic!P$15)+1/(Arithmetic!P$16))/(1255899984)</f>
        <v>7.9838781558426293</v>
      </c>
      <c r="Q10" s="3">
        <f>1/(1/(Arithmetic!S$15)+1/(Arithmetic!S$16))/(1255899984)</f>
        <v>10.287148672377869</v>
      </c>
      <c r="R10" s="3">
        <f>1/(1/(Arithmetic!T$15)+1/(Arithmetic!T$16))/(1255899984)</f>
        <v>0.13068240459691263</v>
      </c>
      <c r="S10" s="9"/>
    </row>
    <row r="11" spans="1:19" x14ac:dyDescent="0.2">
      <c r="E11" s="9"/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9"/>
    </row>
    <row r="12" spans="1:19" x14ac:dyDescent="0.2">
      <c r="A12" t="s">
        <v>28</v>
      </c>
      <c r="B12" t="s">
        <v>25</v>
      </c>
      <c r="C12">
        <v>11.345000000000001</v>
      </c>
      <c r="D12">
        <v>295</v>
      </c>
      <c r="E12" s="9">
        <v>0.437</v>
      </c>
      <c r="F12" s="9">
        <v>0.30499999999999999</v>
      </c>
      <c r="G12" s="9">
        <v>0.28699999999999998</v>
      </c>
      <c r="H12" s="9">
        <v>0.57299999999999995</v>
      </c>
      <c r="I12" s="9">
        <v>0.20499999999999999</v>
      </c>
      <c r="J12" s="9">
        <v>0.60099999999999998</v>
      </c>
      <c r="K12" s="3">
        <f>$C$2*$D$2/C12</f>
        <v>5776.641692375495</v>
      </c>
      <c r="L12" s="3">
        <f t="shared" ref="L12:L14" si="2">K12/D12</f>
        <v>19.581836245340661</v>
      </c>
      <c r="M12" s="3">
        <f>1/(1/(Arithmetic!M$15)+1/(Arithmetic!M$16))/(3332131161)</f>
        <v>5808.5948796179455</v>
      </c>
      <c r="N12" s="3">
        <f>1/(1/(Arithmetic!N$15)+1/(Arithmetic!N$16))/(3332131161)</f>
        <v>19.361982932059817</v>
      </c>
      <c r="O12" s="3">
        <f>1/(1/(Arithmetic!O$15)+1/(Arithmetic!O$16))/(3332131161)</f>
        <v>2584.8582041145701</v>
      </c>
      <c r="P12" s="3">
        <f>1/(1/(Arithmetic!P$15)+1/(Arithmetic!P$16))/(3332131161)</f>
        <v>3.0091709970899037</v>
      </c>
      <c r="Q12" s="3">
        <f>1/(1/(Arithmetic!S$15)+1/(Arithmetic!S$16))/(3332131161)</f>
        <v>3.8772873061718554</v>
      </c>
      <c r="R12" s="3">
        <f>1/(1/(Arithmetic!T$15)+1/(Arithmetic!T$16))/(3332131161)</f>
        <v>4.9254972842392296E-2</v>
      </c>
      <c r="S12" s="9"/>
    </row>
    <row r="13" spans="1:19" x14ac:dyDescent="0.2">
      <c r="B13" t="s">
        <v>26</v>
      </c>
      <c r="C13">
        <v>165.61099999999999</v>
      </c>
      <c r="D13">
        <v>294</v>
      </c>
      <c r="E13" s="9">
        <v>0.36699999999999999</v>
      </c>
      <c r="F13" s="9">
        <v>0.318</v>
      </c>
      <c r="G13" s="9">
        <v>0.309</v>
      </c>
      <c r="H13" s="9">
        <v>0.65200000000000002</v>
      </c>
      <c r="I13" s="9">
        <v>0.214</v>
      </c>
      <c r="J13" s="9">
        <v>0.50800000000000001</v>
      </c>
      <c r="K13" s="3">
        <f t="shared" ref="K13:K14" si="3">$C$2*$D$2/C13</f>
        <v>395.72250635525421</v>
      </c>
      <c r="L13" s="3">
        <f t="shared" si="2"/>
        <v>1.3459949195756946</v>
      </c>
      <c r="M13" s="3">
        <f>1/(1/(Arithmetic!M$15)+1/(Arithmetic!M$16))/(12822701741)</f>
        <v>1509.4322858741443</v>
      </c>
      <c r="N13" s="3">
        <f>1/(1/(Arithmetic!N$15)+1/(Arithmetic!N$16))/(12822701741)</f>
        <v>5.0314409529138144</v>
      </c>
      <c r="O13" s="3">
        <f>1/(1/(Arithmetic!O$15)+1/(Arithmetic!O$16))/(12822701741)</f>
        <v>671.70606808678303</v>
      </c>
      <c r="P13" s="3">
        <f>1/(1/(Arithmetic!P$15)+1/(Arithmetic!P$16))/(12822701741)</f>
        <v>0.78196878089427813</v>
      </c>
      <c r="Q13" s="3">
        <f>1/(1/(Arithmetic!S$15)+1/(Arithmetic!S$16))/(12822701741)</f>
        <v>1.0075591021301746</v>
      </c>
      <c r="R13" s="3">
        <f>1/(1/(Arithmetic!T$15)+1/(Arithmetic!T$16))/(12822701741)</f>
        <v>1.2799488996734991E-2</v>
      </c>
      <c r="S13" s="9"/>
    </row>
    <row r="14" spans="1:19" x14ac:dyDescent="0.2">
      <c r="B14" t="s">
        <v>27</v>
      </c>
      <c r="C14">
        <v>64.897000000000006</v>
      </c>
      <c r="D14">
        <v>293</v>
      </c>
      <c r="E14" s="9">
        <v>0.39700000000000002</v>
      </c>
      <c r="F14" s="9">
        <v>0.26900000000000002</v>
      </c>
      <c r="G14" s="9">
        <v>0.28299999999999997</v>
      </c>
      <c r="H14" s="9">
        <v>0.67300000000000004</v>
      </c>
      <c r="I14" s="9">
        <v>0.248</v>
      </c>
      <c r="J14" s="9">
        <v>0.52500000000000002</v>
      </c>
      <c r="K14" s="3">
        <f t="shared" si="3"/>
        <v>1009.8463719432331</v>
      </c>
      <c r="L14" s="3">
        <f t="shared" si="2"/>
        <v>3.44657464827042</v>
      </c>
      <c r="M14" s="3">
        <f>1/(1/(Arithmetic!M$15)+1/(Arithmetic!M$16))/(4042532867)</f>
        <v>4787.8398609937631</v>
      </c>
      <c r="N14" s="3">
        <f>1/(1/(Arithmetic!N$15)+1/(Arithmetic!N$16))/(4042532867)</f>
        <v>15.959466203312545</v>
      </c>
      <c r="O14" s="3">
        <f>1/(1/(Arithmetic!O$15)+1/(Arithmetic!O$16))/(4042532867)</f>
        <v>2130.6163368533121</v>
      </c>
      <c r="P14" s="3">
        <f>1/(1/(Arithmetic!P$15)+1/(Arithmetic!P$16))/(4042532867)</f>
        <v>2.4803638654450322</v>
      </c>
      <c r="Q14" s="3">
        <f>1/(1/(Arithmetic!S$15)+1/(Arithmetic!S$16))/(4042532867)</f>
        <v>3.1959245052799683</v>
      </c>
      <c r="R14" s="3">
        <f>1/(1/(Arithmetic!T$15)+1/(Arithmetic!T$16))/(4042532867)</f>
        <v>4.0599306237463453E-2</v>
      </c>
      <c r="S14" s="9"/>
    </row>
    <row r="15" spans="1:19" x14ac:dyDescent="0.2">
      <c r="E15" s="9"/>
      <c r="F15" s="9"/>
      <c r="G15" s="9"/>
      <c r="H15" s="9"/>
      <c r="I15" s="9"/>
      <c r="J15" s="9"/>
      <c r="K15" s="3"/>
      <c r="L15" s="9"/>
      <c r="M15" s="3"/>
      <c r="N15" s="9"/>
      <c r="O15" s="3"/>
      <c r="P15" s="3"/>
      <c r="Q15" s="3"/>
      <c r="R15" s="3"/>
    </row>
    <row r="16" spans="1:19" x14ac:dyDescent="0.2">
      <c r="E16" s="9"/>
      <c r="F16" s="9"/>
      <c r="G16" s="9"/>
      <c r="H16" s="9"/>
      <c r="I16" s="9"/>
      <c r="J16" s="9"/>
      <c r="K16" s="3"/>
      <c r="L16" s="9"/>
      <c r="M16" s="3"/>
      <c r="N16" s="9"/>
      <c r="O16" s="3"/>
      <c r="P16" s="3"/>
      <c r="Q16" s="3"/>
      <c r="R16" s="3"/>
    </row>
    <row r="17" spans="5:18" x14ac:dyDescent="0.2">
      <c r="E17" s="9"/>
      <c r="F17" s="9"/>
      <c r="G17" s="9"/>
      <c r="H17" s="9"/>
      <c r="I17" s="9"/>
      <c r="J17" s="9"/>
      <c r="K17" s="3"/>
      <c r="L17" s="9"/>
      <c r="M17" s="3"/>
      <c r="N17" s="5"/>
      <c r="O17" s="9"/>
      <c r="P17" s="9"/>
      <c r="Q17" s="9"/>
      <c r="R17" s="9"/>
    </row>
    <row r="18" spans="5:18" x14ac:dyDescent="0.2">
      <c r="E18" s="9"/>
      <c r="F18" s="9"/>
      <c r="G18" s="9"/>
      <c r="H18" s="9"/>
      <c r="I18" s="9"/>
      <c r="J18" s="9"/>
      <c r="K18" s="3"/>
      <c r="L18" s="9"/>
      <c r="M18" s="3"/>
      <c r="N18" s="5"/>
      <c r="O18" s="9"/>
      <c r="P18" s="9"/>
      <c r="Q18" s="9"/>
      <c r="R18" s="9"/>
    </row>
    <row r="19" spans="5:18" x14ac:dyDescent="0.2">
      <c r="E19" s="9"/>
      <c r="F19" s="9"/>
      <c r="G19" s="9"/>
      <c r="H19" s="9"/>
      <c r="I19" s="9"/>
      <c r="J19" s="9"/>
      <c r="K19" s="3"/>
      <c r="L19" s="5"/>
      <c r="M19" s="3"/>
      <c r="N19" s="5"/>
      <c r="O19" s="9"/>
      <c r="P19" s="9"/>
      <c r="Q19" s="9"/>
      <c r="R19" s="9"/>
    </row>
    <row r="20" spans="5:18" x14ac:dyDescent="0.2">
      <c r="O20" s="9"/>
      <c r="P20" s="9"/>
      <c r="Q20" s="9"/>
      <c r="R20" s="9"/>
    </row>
    <row r="21" spans="5:18" x14ac:dyDescent="0.2">
      <c r="O21" s="9"/>
      <c r="P21" s="9"/>
      <c r="Q21" s="9"/>
      <c r="R21" s="9"/>
    </row>
    <row r="22" spans="5:18" x14ac:dyDescent="0.2">
      <c r="O22" s="6"/>
      <c r="P22" s="5"/>
      <c r="Q22" s="6"/>
      <c r="R22" s="5"/>
    </row>
    <row r="23" spans="5:18" x14ac:dyDescent="0.2">
      <c r="O23" s="6"/>
      <c r="P23" s="5"/>
      <c r="Q23" s="6"/>
      <c r="R23" s="5"/>
    </row>
    <row r="24" spans="5:18" x14ac:dyDescent="0.2">
      <c r="O24" s="6"/>
      <c r="P24" s="5"/>
      <c r="Q24" s="6"/>
      <c r="R24" s="5"/>
    </row>
  </sheetData>
  <mergeCells count="4">
    <mergeCell ref="C5:L5"/>
    <mergeCell ref="M5:N5"/>
    <mergeCell ref="O5:P5"/>
    <mergeCell ref="Q5:R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Arithmetic</vt:lpstr>
      <vt:lpstr>Matrix</vt:lpstr>
      <vt:lpstr>Convolution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 Leitersdorf</dc:creator>
  <cp:lastModifiedBy>Orian Leitersdorf</cp:lastModifiedBy>
  <dcterms:created xsi:type="dcterms:W3CDTF">2022-05-07T21:15:36Z</dcterms:created>
  <dcterms:modified xsi:type="dcterms:W3CDTF">2023-05-05T18:03:47Z</dcterms:modified>
</cp:coreProperties>
</file>