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itersdorf/Desktop/Technion/ASIC2/ConvPIM/ConvPIM-Private/results/"/>
    </mc:Choice>
  </mc:AlternateContent>
  <xr:revisionPtr revIDLastSave="0" documentId="13_ncr:1_{09C4409B-1E14-914D-9673-C8C1EB411F6E}" xr6:coauthVersionLast="47" xr6:coauthVersionMax="47" xr10:uidLastSave="{00000000-0000-0000-0000-000000000000}"/>
  <bookViews>
    <workbookView xWindow="0" yWindow="0" windowWidth="33600" windowHeight="21000" activeTab="3" xr2:uid="{785952DA-83C2-B842-B008-BC43A71C9F0C}"/>
  </bookViews>
  <sheets>
    <sheet name="Arithmetic" sheetId="1" r:id="rId1"/>
    <sheet name="Matrix" sheetId="3" r:id="rId2"/>
    <sheet name="Convolution" sheetId="4" r:id="rId3"/>
    <sheet name="CN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5" l="1"/>
  <c r="L9" i="5"/>
  <c r="L8" i="5"/>
  <c r="K10" i="5"/>
  <c r="K8" i="5"/>
  <c r="K9" i="5"/>
  <c r="J10" i="5"/>
  <c r="J9" i="5"/>
  <c r="J8" i="5"/>
  <c r="I10" i="5"/>
  <c r="I9" i="5"/>
  <c r="I8" i="5"/>
  <c r="H10" i="5"/>
  <c r="H9" i="5"/>
  <c r="H8" i="5"/>
  <c r="G10" i="5"/>
  <c r="G9" i="5"/>
  <c r="G8" i="5"/>
  <c r="E12" i="4"/>
  <c r="F12" i="4" s="1"/>
  <c r="E11" i="4"/>
  <c r="F11" i="4" s="1"/>
  <c r="E10" i="4"/>
  <c r="F10" i="4" s="1"/>
  <c r="E9" i="4"/>
  <c r="F9" i="4" s="1"/>
  <c r="E8" i="4"/>
  <c r="F8" i="4" s="1"/>
  <c r="E11" i="3"/>
  <c r="F11" i="3" s="1"/>
  <c r="E10" i="3"/>
  <c r="F10" i="3" s="1"/>
  <c r="E9" i="3"/>
  <c r="F9" i="3" s="1"/>
  <c r="F8" i="3"/>
  <c r="E8" i="3"/>
  <c r="G8" i="3"/>
  <c r="H8" i="3"/>
  <c r="G9" i="3"/>
  <c r="H9" i="3"/>
  <c r="G10" i="3"/>
  <c r="H10" i="3"/>
  <c r="G11" i="3"/>
  <c r="H11" i="3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L2" i="1" l="1"/>
  <c r="K2" i="1"/>
  <c r="M16" i="1" s="1"/>
  <c r="O16" i="1"/>
  <c r="O15" i="1"/>
  <c r="O14" i="1"/>
  <c r="O13" i="1"/>
  <c r="O11" i="1"/>
  <c r="O10" i="1"/>
  <c r="O9" i="1"/>
  <c r="O8" i="1"/>
  <c r="K8" i="1"/>
  <c r="M10" i="1" l="1"/>
  <c r="N10" i="1" s="1"/>
  <c r="M8" i="1"/>
  <c r="M13" i="1"/>
  <c r="M9" i="1"/>
  <c r="N9" i="1" s="1"/>
  <c r="M11" i="1"/>
  <c r="N11" i="1" s="1"/>
  <c r="M14" i="1"/>
  <c r="N14" i="1" s="1"/>
  <c r="M15" i="1"/>
  <c r="M2" i="1"/>
  <c r="N8" i="1" s="1"/>
  <c r="N16" i="1"/>
  <c r="K9" i="3"/>
  <c r="K10" i="3"/>
  <c r="K10" i="4"/>
  <c r="K16" i="1"/>
  <c r="K15" i="1"/>
  <c r="K14" i="1"/>
  <c r="K13" i="1"/>
  <c r="K11" i="1"/>
  <c r="K10" i="1"/>
  <c r="K9" i="1"/>
  <c r="I15" i="1"/>
  <c r="I14" i="1"/>
  <c r="I13" i="1"/>
  <c r="I11" i="1"/>
  <c r="I10" i="1"/>
  <c r="I9" i="1"/>
  <c r="F2" i="1"/>
  <c r="G2" i="1"/>
  <c r="I16" i="1" s="1"/>
  <c r="I10" i="4" l="1"/>
  <c r="I10" i="3"/>
  <c r="K11" i="4"/>
  <c r="N13" i="1"/>
  <c r="K8" i="4"/>
  <c r="N15" i="1"/>
  <c r="K12" i="4"/>
  <c r="K11" i="3"/>
  <c r="K8" i="3"/>
  <c r="I8" i="1"/>
  <c r="H2" i="1"/>
  <c r="J8" i="1" s="1"/>
  <c r="K9" i="4"/>
  <c r="J10" i="1"/>
  <c r="J16" i="1"/>
  <c r="I11" i="4"/>
  <c r="I12" i="4"/>
  <c r="I8" i="3"/>
  <c r="I11" i="3"/>
  <c r="I8" i="4"/>
  <c r="L10" i="4"/>
  <c r="L10" i="3"/>
  <c r="L9" i="4"/>
  <c r="L9" i="3"/>
  <c r="L12" i="4"/>
  <c r="L8" i="4"/>
  <c r="L11" i="4"/>
  <c r="L11" i="3"/>
  <c r="I9" i="3"/>
  <c r="I9" i="4"/>
  <c r="E10" i="5"/>
  <c r="F10" i="5" s="1"/>
  <c r="E9" i="5"/>
  <c r="F9" i="5" s="1"/>
  <c r="E8" i="5"/>
  <c r="F8" i="5" s="1"/>
  <c r="B2" i="4"/>
  <c r="B2" i="3"/>
  <c r="C2" i="3"/>
  <c r="C2" i="1"/>
  <c r="B2" i="1"/>
  <c r="G10" i="4" l="1"/>
  <c r="G12" i="4"/>
  <c r="G8" i="4"/>
  <c r="G9" i="4"/>
  <c r="G11" i="4"/>
  <c r="J14" i="1"/>
  <c r="J13" i="1"/>
  <c r="L8" i="3"/>
  <c r="J9" i="1"/>
  <c r="L13" i="1"/>
  <c r="J15" i="1"/>
  <c r="J11" i="1"/>
  <c r="P14" i="1"/>
  <c r="P15" i="1"/>
  <c r="L15" i="1"/>
  <c r="P9" i="1"/>
  <c r="L9" i="1"/>
  <c r="L11" i="1"/>
  <c r="P11" i="1"/>
  <c r="J12" i="4"/>
  <c r="J8" i="4"/>
  <c r="J11" i="3"/>
  <c r="J10" i="4"/>
  <c r="J9" i="4"/>
  <c r="J8" i="3"/>
  <c r="J9" i="3"/>
  <c r="J11" i="4"/>
  <c r="J10" i="3"/>
  <c r="L16" i="1"/>
  <c r="P16" i="1"/>
  <c r="L8" i="1"/>
  <c r="P8" i="1"/>
  <c r="P10" i="1"/>
  <c r="L10" i="1"/>
  <c r="P13" i="1"/>
  <c r="L14" i="1"/>
  <c r="H11" i="4" l="1"/>
  <c r="H12" i="4"/>
  <c r="H8" i="4"/>
  <c r="H9" i="4"/>
  <c r="H10" i="4"/>
</calcChain>
</file>

<file path=xl/sharedStrings.xml><?xml version="1.0" encoding="utf-8"?>
<sst xmlns="http://schemas.openxmlformats.org/spreadsheetml/2006/main" count="106" uniqueCount="47">
  <si>
    <t>Function</t>
  </si>
  <si>
    <t>Fixed Add</t>
  </si>
  <si>
    <t>Parameters</t>
  </si>
  <si>
    <t>n</t>
  </si>
  <si>
    <t>32-bit</t>
  </si>
  <si>
    <t>16-bit</t>
  </si>
  <si>
    <t>Fixed Mult</t>
  </si>
  <si>
    <t>Floating Add</t>
  </si>
  <si>
    <t>Floating Mult</t>
  </si>
  <si>
    <t>Latency (seconds)</t>
  </si>
  <si>
    <t>N</t>
  </si>
  <si>
    <t>Average Power (W)</t>
  </si>
  <si>
    <t>O</t>
  </si>
  <si>
    <t>32-bit Floating</t>
  </si>
  <si>
    <t>Tput. (OPS)</t>
  </si>
  <si>
    <t>Energy (OPS/W)</t>
  </si>
  <si>
    <t>W</t>
  </si>
  <si>
    <t>H</t>
  </si>
  <si>
    <t>B</t>
  </si>
  <si>
    <t>k</t>
  </si>
  <si>
    <t>Inference</t>
  </si>
  <si>
    <t>Model</t>
  </si>
  <si>
    <t>AlexNet</t>
  </si>
  <si>
    <t>ResNet50</t>
  </si>
  <si>
    <t>GoogLeNet</t>
  </si>
  <si>
    <t>Max Tput. (OPS)</t>
  </si>
  <si>
    <t>Max Energy (OPS/W)</t>
  </si>
  <si>
    <t>Batch Size (Inference)</t>
  </si>
  <si>
    <t>Batch Size (Training)</t>
  </si>
  <si>
    <t>mMPU Tput. (OPS)</t>
  </si>
  <si>
    <t>mMPU Energy (OPS/W)</t>
  </si>
  <si>
    <t>GPU Parameters</t>
  </si>
  <si>
    <t>mMPU Parameters</t>
  </si>
  <si>
    <t>Clock Cycle</t>
  </si>
  <si>
    <t>Num Rows</t>
  </si>
  <si>
    <t>Experimental GPU</t>
  </si>
  <si>
    <t>Theoretical GPU</t>
  </si>
  <si>
    <t>mMPU</t>
  </si>
  <si>
    <t>mMPU / Exp GPU Tput</t>
  </si>
  <si>
    <t>DRAM Parameters</t>
  </si>
  <si>
    <t>DRAM</t>
  </si>
  <si>
    <t>DRAM Tput. (OPS)</t>
  </si>
  <si>
    <t>DRAM Energy (OPS/W)</t>
  </si>
  <si>
    <t>DRAM / Exp GPU Tput</t>
  </si>
  <si>
    <t>DRAM CC</t>
  </si>
  <si>
    <t>mMPU CC</t>
  </si>
  <si>
    <t>Max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</si>
</sst>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3" borderId="0" xfId="0" applyFont="1" applyFill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2756-53E7-734A-B448-A28164ADC993}">
  <dimension ref="A1:P24"/>
  <sheetViews>
    <sheetView zoomScale="136" workbookViewId="0">
      <selection activeCell="H14" sqref="H14"/>
    </sheetView>
  </sheetViews>
  <sheetFormatPr baseColWidth="10" defaultRowHeight="16" x14ac:dyDescent="0.2"/>
  <cols>
    <col min="1" max="5" width="20.83203125" customWidth="1"/>
    <col min="6" max="6" width="21" customWidth="1"/>
    <col min="7" max="7" width="20.83203125" customWidth="1"/>
    <col min="8" max="8" width="21" customWidth="1"/>
    <col min="9" max="9" width="20.83203125" customWidth="1"/>
    <col min="10" max="12" width="21" customWidth="1"/>
    <col min="13" max="13" width="20.83203125" customWidth="1"/>
    <col min="14" max="16" width="21" customWidth="1"/>
  </cols>
  <sheetData>
    <row r="1" spans="1:16" s="9" customFormat="1" x14ac:dyDescent="0.2">
      <c r="A1" s="6" t="s">
        <v>31</v>
      </c>
      <c r="B1" s="6" t="s">
        <v>3</v>
      </c>
      <c r="C1" s="6" t="s">
        <v>10</v>
      </c>
      <c r="D1" s="6"/>
      <c r="E1" s="6" t="s">
        <v>32</v>
      </c>
      <c r="F1" s="6" t="s">
        <v>34</v>
      </c>
      <c r="G1" s="6" t="s">
        <v>33</v>
      </c>
      <c r="H1" s="6" t="s">
        <v>46</v>
      </c>
      <c r="I1" s="6"/>
      <c r="J1" s="6" t="s">
        <v>39</v>
      </c>
      <c r="K1" s="6" t="s">
        <v>34</v>
      </c>
      <c r="L1" s="6" t="s">
        <v>33</v>
      </c>
      <c r="M1" s="6" t="s">
        <v>46</v>
      </c>
      <c r="N1" s="6"/>
      <c r="O1" s="6"/>
      <c r="P1" s="6"/>
    </row>
    <row r="2" spans="1:16" x14ac:dyDescent="0.2">
      <c r="A2" s="1"/>
      <c r="B2" s="1">
        <f>1024*1024*1024</f>
        <v>1073741824</v>
      </c>
      <c r="C2" s="1">
        <f>1024</f>
        <v>1024</v>
      </c>
      <c r="D2" s="1"/>
      <c r="E2" s="1"/>
      <c r="F2" s="1">
        <f>48*1024*1024*1024*8/1024</f>
        <v>402653184</v>
      </c>
      <c r="G2" s="1">
        <f>0.000000003</f>
        <v>3E-9</v>
      </c>
      <c r="H2" s="1">
        <f>F2*0.0000000000000064/G2</f>
        <v>858.99345919999996</v>
      </c>
      <c r="I2" s="1"/>
      <c r="J2" s="1"/>
      <c r="K2" s="1">
        <f>48*1024*1024*1024*8/1024</f>
        <v>402653184</v>
      </c>
      <c r="L2" s="1">
        <f>1/(500000)</f>
        <v>1.9999999999999999E-6</v>
      </c>
      <c r="M2" s="1">
        <f>K2*0.000000000000391/L2</f>
        <v>78.718697472000002</v>
      </c>
      <c r="N2" s="1"/>
      <c r="O2" s="1"/>
      <c r="P2" s="1"/>
    </row>
    <row r="5" spans="1:16" x14ac:dyDescent="0.2">
      <c r="C5" s="10" t="s">
        <v>35</v>
      </c>
      <c r="D5" s="10"/>
      <c r="E5" s="10"/>
      <c r="F5" s="10"/>
      <c r="G5" s="10" t="s">
        <v>36</v>
      </c>
      <c r="H5" s="10"/>
      <c r="I5" s="10" t="s">
        <v>37</v>
      </c>
      <c r="J5" s="10"/>
      <c r="K5" s="10"/>
      <c r="L5" s="10"/>
      <c r="M5" s="10" t="s">
        <v>40</v>
      </c>
      <c r="N5" s="10"/>
      <c r="O5" s="10"/>
      <c r="P5" s="10"/>
    </row>
    <row r="6" spans="1:16" x14ac:dyDescent="0.2">
      <c r="A6" s="7" t="s">
        <v>0</v>
      </c>
      <c r="B6" s="2"/>
      <c r="C6" s="7" t="s">
        <v>9</v>
      </c>
      <c r="D6" s="7" t="s">
        <v>11</v>
      </c>
      <c r="E6" s="7" t="s">
        <v>14</v>
      </c>
      <c r="F6" s="7" t="s">
        <v>15</v>
      </c>
      <c r="G6" s="7" t="s">
        <v>25</v>
      </c>
      <c r="H6" s="7" t="s">
        <v>26</v>
      </c>
      <c r="I6" s="7" t="s">
        <v>29</v>
      </c>
      <c r="J6" s="7" t="s">
        <v>30</v>
      </c>
      <c r="K6" s="7" t="s">
        <v>45</v>
      </c>
      <c r="L6" s="7" t="s">
        <v>38</v>
      </c>
      <c r="M6" s="7" t="s">
        <v>41</v>
      </c>
      <c r="N6" s="7" t="s">
        <v>42</v>
      </c>
      <c r="O6" s="7" t="s">
        <v>44</v>
      </c>
      <c r="P6" s="7" t="s">
        <v>43</v>
      </c>
    </row>
    <row r="8" spans="1:16" x14ac:dyDescent="0.2">
      <c r="A8" t="s">
        <v>5</v>
      </c>
      <c r="B8" t="s">
        <v>1</v>
      </c>
      <c r="C8">
        <v>3.89</v>
      </c>
      <c r="D8">
        <v>295</v>
      </c>
      <c r="E8" s="3">
        <f>$B$2*$C$2/C8</f>
        <v>282650804055.52698</v>
      </c>
      <c r="F8" s="3">
        <f>E8/D8</f>
        <v>958138318.83229482</v>
      </c>
      <c r="G8" s="3">
        <f>77970000000000</f>
        <v>77970000000000</v>
      </c>
      <c r="H8" s="3">
        <f>G8/300</f>
        <v>259900000000</v>
      </c>
      <c r="I8" s="3">
        <f>$F$2/$G$2/289</f>
        <v>464421204152249.12</v>
      </c>
      <c r="J8" s="3">
        <f>I8/$H$2</f>
        <v>540657439446.36682</v>
      </c>
      <c r="K8" s="3">
        <f>289/48</f>
        <v>6.020833333333333</v>
      </c>
      <c r="L8" s="3">
        <f>I8/E8</f>
        <v>1643.0917495674742</v>
      </c>
      <c r="M8" s="3">
        <f>$K$2/$L$2/289</f>
        <v>696631806228.37366</v>
      </c>
      <c r="N8" s="3">
        <f>M8/$M$2</f>
        <v>8849635837.4852867</v>
      </c>
      <c r="O8" s="3">
        <f>289/48</f>
        <v>6.020833333333333</v>
      </c>
      <c r="P8" s="3">
        <f>M8/E8</f>
        <v>2.4646376243512109</v>
      </c>
    </row>
    <row r="9" spans="1:16" x14ac:dyDescent="0.2">
      <c r="B9" t="s">
        <v>6</v>
      </c>
      <c r="C9">
        <v>3.89</v>
      </c>
      <c r="D9">
        <v>298</v>
      </c>
      <c r="E9" s="3">
        <f>$B$2*$C$2/C9</f>
        <v>282650804055.52698</v>
      </c>
      <c r="F9" s="3">
        <f>E9/D9</f>
        <v>948492631.05881536</v>
      </c>
      <c r="G9" s="3">
        <f t="shared" ref="G9:G11" si="0">77970000000000</f>
        <v>77970000000000</v>
      </c>
      <c r="H9" s="3">
        <f t="shared" ref="H9:H11" si="1">G9/300</f>
        <v>259900000000</v>
      </c>
      <c r="I9" s="3">
        <f>$F$2/$G$2/4927</f>
        <v>27241268114471.281</v>
      </c>
      <c r="J9" s="3">
        <f>I9/$H$2</f>
        <v>31713009945.199921</v>
      </c>
      <c r="K9" s="3">
        <f>4927/48</f>
        <v>102.64583333333333</v>
      </c>
      <c r="L9" s="3">
        <f t="shared" ref="L9:L16" si="2">I9/E9</f>
        <v>96.377819286584142</v>
      </c>
      <c r="M9" s="3">
        <f>$K$2/$L$2/4927</f>
        <v>40861902171.706924</v>
      </c>
      <c r="N9" s="3">
        <f>M9/$M$2</f>
        <v>519087630.81657159</v>
      </c>
      <c r="O9" s="3">
        <f>4927/48</f>
        <v>102.64583333333333</v>
      </c>
      <c r="P9" s="3">
        <f t="shared" ref="P9:P11" si="3">M9/E9</f>
        <v>0.14456672892987621</v>
      </c>
    </row>
    <row r="10" spans="1:16" x14ac:dyDescent="0.2">
      <c r="B10" t="s">
        <v>7</v>
      </c>
      <c r="C10">
        <v>3.89</v>
      </c>
      <c r="D10">
        <v>299</v>
      </c>
      <c r="E10" s="3">
        <f>$B$2*$C$2/C10</f>
        <v>282650804055.52698</v>
      </c>
      <c r="F10" s="3">
        <f>E10/D10</f>
        <v>945320414.90142798</v>
      </c>
      <c r="G10" s="3">
        <f t="shared" si="0"/>
        <v>77970000000000</v>
      </c>
      <c r="H10" s="3">
        <f t="shared" si="1"/>
        <v>259900000000</v>
      </c>
      <c r="I10" s="3">
        <f>$F$2/$G$2/1978</f>
        <v>67855271991911.023</v>
      </c>
      <c r="J10" s="3">
        <f>I10/$H$2</f>
        <v>78993933265.925186</v>
      </c>
      <c r="K10" s="3">
        <f>1978/48</f>
        <v>41.208333333333336</v>
      </c>
      <c r="L10" s="3">
        <f t="shared" si="2"/>
        <v>240.06750031597576</v>
      </c>
      <c r="M10" s="3">
        <f>$K$2/$L$2/1978</f>
        <v>101782907987.86653</v>
      </c>
      <c r="N10" s="3">
        <f>M10/$M$2</f>
        <v>1292995327.1148877</v>
      </c>
      <c r="O10" s="3">
        <f>1978/48</f>
        <v>41.208333333333336</v>
      </c>
      <c r="P10" s="3">
        <f t="shared" si="3"/>
        <v>0.36010125047396363</v>
      </c>
    </row>
    <row r="11" spans="1:16" x14ac:dyDescent="0.2">
      <c r="B11" t="s">
        <v>8</v>
      </c>
      <c r="C11">
        <v>3.89</v>
      </c>
      <c r="D11">
        <v>299</v>
      </c>
      <c r="E11" s="3">
        <f>$B$2*$C$2/C11</f>
        <v>282650804055.52698</v>
      </c>
      <c r="F11" s="3">
        <f>E11/D11</f>
        <v>945320414.90142798</v>
      </c>
      <c r="G11" s="3">
        <f t="shared" si="0"/>
        <v>77970000000000</v>
      </c>
      <c r="H11" s="3">
        <f t="shared" si="1"/>
        <v>259900000000</v>
      </c>
      <c r="I11" s="3">
        <f>$F$2/$G$2/2780</f>
        <v>48279758273381.297</v>
      </c>
      <c r="J11" s="3">
        <f>I11/$H$2</f>
        <v>56205035971.22303</v>
      </c>
      <c r="K11" s="3">
        <f>2780/48</f>
        <v>57.916666666666664</v>
      </c>
      <c r="L11" s="3">
        <f t="shared" si="2"/>
        <v>170.81061713129498</v>
      </c>
      <c r="M11" s="3">
        <f>$K$2/$L$2/2780</f>
        <v>72419637410.071945</v>
      </c>
      <c r="N11" s="3">
        <f>M11/$M$2</f>
        <v>919980128.42922592</v>
      </c>
      <c r="O11" s="3">
        <f>2780/48</f>
        <v>57.916666666666664</v>
      </c>
      <c r="P11" s="3">
        <f t="shared" si="3"/>
        <v>0.25621592569694246</v>
      </c>
    </row>
    <row r="12" spans="1:16" x14ac:dyDescent="0.2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t="s">
        <v>4</v>
      </c>
      <c r="B13" t="s">
        <v>1</v>
      </c>
      <c r="C13">
        <v>7.78</v>
      </c>
      <c r="D13">
        <v>299</v>
      </c>
      <c r="E13" s="3">
        <f>$B$2*$C$2/C13</f>
        <v>141325402027.76349</v>
      </c>
      <c r="F13" s="3">
        <f>E13/D13</f>
        <v>472660207.45071399</v>
      </c>
      <c r="G13" s="3">
        <f>19490000000000</f>
        <v>19490000000000</v>
      </c>
      <c r="H13" s="3">
        <f t="shared" ref="H13:H16" si="4">G13/300</f>
        <v>64966666666.666664</v>
      </c>
      <c r="I13" s="3">
        <f>$F$2/$G$2/577</f>
        <v>232613046793760.84</v>
      </c>
      <c r="J13" s="3">
        <f>I13/$H$2</f>
        <v>270797227036.39517</v>
      </c>
      <c r="K13" s="3">
        <f>577/96</f>
        <v>6.010416666666667</v>
      </c>
      <c r="L13" s="3">
        <f t="shared" si="2"/>
        <v>1645.9393955805895</v>
      </c>
      <c r="M13" s="3">
        <f>$K$2/$L$2/577</f>
        <v>348919570190.64124</v>
      </c>
      <c r="N13" s="3">
        <f>M13/$M$2</f>
        <v>4432486580.6468763</v>
      </c>
      <c r="O13" s="3">
        <f>577/96</f>
        <v>6.010416666666667</v>
      </c>
      <c r="P13" s="3">
        <f t="shared" ref="P13:P16" si="5">M13/E13</f>
        <v>2.4689090933708839</v>
      </c>
    </row>
    <row r="14" spans="1:16" x14ac:dyDescent="0.2">
      <c r="B14" t="s">
        <v>6</v>
      </c>
      <c r="C14">
        <v>7.76</v>
      </c>
      <c r="D14">
        <v>299</v>
      </c>
      <c r="E14" s="3">
        <f>$B$2*$C$2/C14</f>
        <v>141689642754.63919</v>
      </c>
      <c r="F14" s="3">
        <f>E14/D14</f>
        <v>473878403.86166954</v>
      </c>
      <c r="G14" s="3">
        <f t="shared" ref="G14:G16" si="6">19490000000000</f>
        <v>19490000000000</v>
      </c>
      <c r="H14" s="3">
        <f t="shared" si="4"/>
        <v>64966666666.666664</v>
      </c>
      <c r="I14" s="3">
        <f>$F$2/$G$2/18123</f>
        <v>7405933234012.0293</v>
      </c>
      <c r="J14" s="3">
        <f>I14/$H$2</f>
        <v>8621641008.6630249</v>
      </c>
      <c r="K14" s="3">
        <f>18123/96</f>
        <v>188.78125</v>
      </c>
      <c r="L14" s="3">
        <f t="shared" si="2"/>
        <v>52.268698615019588</v>
      </c>
      <c r="M14" s="3">
        <f>$K$2/$L$2/18123</f>
        <v>11108899851.018044</v>
      </c>
      <c r="N14" s="3">
        <f>M14/$M$2</f>
        <v>141121489.65586537</v>
      </c>
      <c r="O14" s="3">
        <f>18123/96</f>
        <v>188.78125</v>
      </c>
      <c r="P14" s="3">
        <f t="shared" si="5"/>
        <v>7.8403047922529376E-2</v>
      </c>
    </row>
    <row r="15" spans="1:16" x14ac:dyDescent="0.2">
      <c r="B15" t="s">
        <v>7</v>
      </c>
      <c r="C15">
        <v>7.78</v>
      </c>
      <c r="D15">
        <v>296</v>
      </c>
      <c r="E15" s="3">
        <f>$B$2*$C$2/C15</f>
        <v>141325402027.76349</v>
      </c>
      <c r="F15" s="3">
        <f>E15/D15</f>
        <v>477450682.52622801</v>
      </c>
      <c r="G15" s="3">
        <f t="shared" si="6"/>
        <v>19490000000000</v>
      </c>
      <c r="H15" s="3">
        <f t="shared" si="4"/>
        <v>64966666666.666664</v>
      </c>
      <c r="I15" s="3">
        <f>$F$2/$G$2/3997</f>
        <v>33579616712534.402</v>
      </c>
      <c r="J15" s="3">
        <f>I15/$H$2</f>
        <v>39091818864.148117</v>
      </c>
      <c r="K15" s="3">
        <f>3997/96</f>
        <v>41.635416666666664</v>
      </c>
      <c r="L15" s="3">
        <f t="shared" si="2"/>
        <v>237.60496153365025</v>
      </c>
      <c r="M15" s="3">
        <f>$K$2/$L$2/3997</f>
        <v>50369425068.801598</v>
      </c>
      <c r="N15" s="3">
        <f>M15/$M$2</f>
        <v>639866088.82493067</v>
      </c>
      <c r="O15" s="3">
        <f>3997/96</f>
        <v>41.635416666666664</v>
      </c>
      <c r="P15" s="3">
        <f t="shared" si="5"/>
        <v>0.35640744230047533</v>
      </c>
    </row>
    <row r="16" spans="1:16" x14ac:dyDescent="0.2">
      <c r="B16" t="s">
        <v>8</v>
      </c>
      <c r="C16">
        <v>7.77</v>
      </c>
      <c r="D16">
        <v>299</v>
      </c>
      <c r="E16" s="3">
        <f>$B$2*$C$2/C16</f>
        <v>141507288002.0592</v>
      </c>
      <c r="F16" s="3">
        <f>E16/D16</f>
        <v>473268521.7460174</v>
      </c>
      <c r="G16" s="3">
        <f t="shared" si="6"/>
        <v>19490000000000</v>
      </c>
      <c r="H16" s="3">
        <f t="shared" si="4"/>
        <v>64966666666.666664</v>
      </c>
      <c r="I16" s="3">
        <f>$F$2/$G$2/11586</f>
        <v>11584475056102.191</v>
      </c>
      <c r="J16" s="3">
        <f>I16/$H$2</f>
        <v>13486103918.522354</v>
      </c>
      <c r="K16" s="3">
        <f>11586/96</f>
        <v>120.6875</v>
      </c>
      <c r="L16" s="3">
        <f t="shared" si="2"/>
        <v>81.864865192905228</v>
      </c>
      <c r="M16" s="3">
        <f>$K$2/$L$2/11586</f>
        <v>17376712584.15329</v>
      </c>
      <c r="N16" s="3">
        <f>M16/$M$2</f>
        <v>220744411.96558329</v>
      </c>
      <c r="O16" s="3">
        <f>11586/96</f>
        <v>120.6875</v>
      </c>
      <c r="P16" s="3">
        <f t="shared" si="5"/>
        <v>0.12279729778935786</v>
      </c>
    </row>
    <row r="17" spans="5:16" x14ac:dyDescent="0.2"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5:16" x14ac:dyDescent="0.2"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5:16" x14ac:dyDescent="0.2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5:16" x14ac:dyDescent="0.2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5:16" x14ac:dyDescent="0.2"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5:16" x14ac:dyDescent="0.2">
      <c r="E22" s="5"/>
      <c r="F22" s="4"/>
      <c r="G22" s="5"/>
      <c r="H22" s="4"/>
      <c r="I22" s="5"/>
      <c r="J22" s="4"/>
      <c r="K22" s="4"/>
      <c r="L22" s="4"/>
      <c r="M22" s="5"/>
      <c r="N22" s="4"/>
      <c r="O22" s="4"/>
      <c r="P22" s="4"/>
    </row>
    <row r="23" spans="5:16" x14ac:dyDescent="0.2">
      <c r="E23" s="5"/>
      <c r="F23" s="4"/>
      <c r="G23" s="5"/>
      <c r="H23" s="4"/>
      <c r="I23" s="5"/>
      <c r="J23" s="4"/>
      <c r="K23" s="4"/>
      <c r="L23" s="4"/>
      <c r="M23" s="5"/>
      <c r="N23" s="4"/>
      <c r="O23" s="4"/>
      <c r="P23" s="4"/>
    </row>
    <row r="24" spans="5:16" x14ac:dyDescent="0.2">
      <c r="E24" s="5"/>
      <c r="F24" s="4"/>
      <c r="G24" s="5"/>
      <c r="H24" s="4"/>
      <c r="I24" s="5"/>
      <c r="J24" s="4"/>
      <c r="K24" s="4"/>
      <c r="L24" s="4"/>
      <c r="M24" s="5"/>
      <c r="N24" s="4"/>
      <c r="O24" s="4"/>
      <c r="P24" s="4"/>
    </row>
  </sheetData>
  <mergeCells count="4">
    <mergeCell ref="C5:F5"/>
    <mergeCell ref="G5:H5"/>
    <mergeCell ref="I5:L5"/>
    <mergeCell ref="M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51DD-5C5E-8E47-BE0E-76D4ABE3CCA6}">
  <dimension ref="A1:M24"/>
  <sheetViews>
    <sheetView zoomScale="136" workbookViewId="0">
      <selection activeCell="C8" sqref="C8"/>
    </sheetView>
  </sheetViews>
  <sheetFormatPr baseColWidth="10" defaultRowHeight="16" x14ac:dyDescent="0.2"/>
  <cols>
    <col min="1" max="5" width="20.83203125" customWidth="1"/>
    <col min="6" max="6" width="21" customWidth="1"/>
    <col min="7" max="7" width="20.83203125" customWidth="1"/>
    <col min="8" max="8" width="21" customWidth="1"/>
    <col min="9" max="9" width="20.83203125" customWidth="1"/>
    <col min="10" max="10" width="21" customWidth="1"/>
    <col min="11" max="11" width="20.83203125" customWidth="1"/>
    <col min="12" max="12" width="21" customWidth="1"/>
  </cols>
  <sheetData>
    <row r="1" spans="1:13" x14ac:dyDescent="0.2">
      <c r="A1" s="6" t="s">
        <v>2</v>
      </c>
      <c r="B1" s="6" t="s">
        <v>12</v>
      </c>
      <c r="C1" s="6" t="s">
        <v>10</v>
      </c>
      <c r="D1" s="1"/>
      <c r="E1" s="1"/>
      <c r="F1" s="1"/>
      <c r="G1" s="1"/>
      <c r="H1" s="1"/>
      <c r="I1" s="1"/>
      <c r="J1" s="1"/>
      <c r="K1" s="1"/>
      <c r="L1" s="1"/>
    </row>
    <row r="2" spans="1:13" x14ac:dyDescent="0.2">
      <c r="A2" s="1"/>
      <c r="B2" s="1">
        <f>1024 * 1024 * 1024 * 16</f>
        <v>17179869184</v>
      </c>
      <c r="C2" s="1">
        <f>1024</f>
        <v>1024</v>
      </c>
      <c r="D2" s="1"/>
      <c r="E2" s="1"/>
      <c r="F2" s="1"/>
      <c r="G2" s="1"/>
      <c r="H2" s="1"/>
      <c r="I2" s="1"/>
      <c r="J2" s="1"/>
      <c r="K2" s="1"/>
      <c r="L2" s="1"/>
    </row>
    <row r="5" spans="1:13" x14ac:dyDescent="0.2">
      <c r="C5" s="10" t="s">
        <v>35</v>
      </c>
      <c r="D5" s="10"/>
      <c r="E5" s="10"/>
      <c r="F5" s="10"/>
      <c r="G5" s="10" t="s">
        <v>36</v>
      </c>
      <c r="H5" s="10"/>
      <c r="I5" s="10" t="s">
        <v>37</v>
      </c>
      <c r="J5" s="10"/>
      <c r="K5" s="10" t="s">
        <v>40</v>
      </c>
      <c r="L5" s="10"/>
    </row>
    <row r="6" spans="1:13" x14ac:dyDescent="0.2">
      <c r="A6" s="7" t="s">
        <v>0</v>
      </c>
      <c r="B6" s="7" t="s">
        <v>3</v>
      </c>
      <c r="C6" s="7" t="s">
        <v>9</v>
      </c>
      <c r="D6" s="7" t="s">
        <v>11</v>
      </c>
      <c r="E6" s="7" t="s">
        <v>14</v>
      </c>
      <c r="F6" s="7" t="s">
        <v>15</v>
      </c>
      <c r="G6" s="7" t="s">
        <v>25</v>
      </c>
      <c r="H6" s="7" t="s">
        <v>26</v>
      </c>
      <c r="I6" s="7" t="s">
        <v>29</v>
      </c>
      <c r="J6" s="7" t="s">
        <v>30</v>
      </c>
      <c r="K6" s="7" t="s">
        <v>41</v>
      </c>
      <c r="L6" s="7" t="s">
        <v>42</v>
      </c>
    </row>
    <row r="8" spans="1:13" x14ac:dyDescent="0.2">
      <c r="A8" t="s">
        <v>13</v>
      </c>
      <c r="B8">
        <v>32</v>
      </c>
      <c r="C8">
        <v>37.15</v>
      </c>
      <c r="D8">
        <v>238</v>
      </c>
      <c r="E8" s="3">
        <f>$B$2/(B8*B8*B8)*$C$2/C8</f>
        <v>14451437.738896366</v>
      </c>
      <c r="F8" s="3">
        <f>E8/D8</f>
        <v>60720.326634018347</v>
      </c>
      <c r="G8" s="3">
        <f>MIN((Arithmetic!G$15),(Arithmetic!G$16))/($B8*$B8*$B8)</f>
        <v>594787597.65625</v>
      </c>
      <c r="H8" s="3">
        <f>MIN((Arithmetic!H$15),(Arithmetic!H$16))/($B8*$B8*$B8)</f>
        <v>1982625.3255208333</v>
      </c>
      <c r="I8" s="3">
        <f>1/(1/(Arithmetic!I$15)+1/(Arithmetic!I$16))/($B8*$B8*$B8)</f>
        <v>262850542.25758842</v>
      </c>
      <c r="J8" s="3">
        <f>1/(1/(Arithmetic!J$15)+1/(Arithmetic!J$16))/($B8*$B8*$B8)</f>
        <v>305998.30469301477</v>
      </c>
      <c r="K8" s="3">
        <f>1/(1/(Arithmetic!M$15)+1/(Arithmetic!M$16))/($B8*$B8*$B8)</f>
        <v>394275.81338638265</v>
      </c>
      <c r="L8" s="3">
        <f>1/(1/(Arithmetic!N$15)+1/(Arithmetic!N$16))/($B8*$B8*$B8)</f>
        <v>5008.6679029035677</v>
      </c>
      <c r="M8" s="3"/>
    </row>
    <row r="9" spans="1:13" x14ac:dyDescent="0.2">
      <c r="B9">
        <v>128</v>
      </c>
      <c r="C9">
        <v>2.14</v>
      </c>
      <c r="D9">
        <v>301</v>
      </c>
      <c r="E9" s="3">
        <f>$B$2/(B9*B9*B9)*$C$2/C9</f>
        <v>3919910.2803738317</v>
      </c>
      <c r="F9" s="3">
        <f>E9/D9</f>
        <v>13022.957742105753</v>
      </c>
      <c r="G9" s="3">
        <f>MIN((Arithmetic!G$15),(Arithmetic!G$16))/($B9*$B9*$B9)</f>
        <v>9293556.2133789062</v>
      </c>
      <c r="H9" s="3">
        <f>MIN((Arithmetic!H$15),(Arithmetic!H$16))/($B9*$B9*$B9)</f>
        <v>30978.52071126302</v>
      </c>
      <c r="I9" s="3">
        <f>1/(1/(Arithmetic!I$15)+1/(Arithmetic!I$16))/($B9*$B9*$B9)</f>
        <v>4107039.722774819</v>
      </c>
      <c r="J9" s="3">
        <f>1/(1/(Arithmetic!J$15)+1/(Arithmetic!J$16))/($B9*$B9*$B9)</f>
        <v>4781.2235108283558</v>
      </c>
      <c r="K9" s="3">
        <f>1/(1/(Arithmetic!M$15)+1/(Arithmetic!M$16))/($B9*$B9*$B9)</f>
        <v>6160.5595841622289</v>
      </c>
      <c r="L9" s="3">
        <f>1/(1/(Arithmetic!N$15)+1/(Arithmetic!N$16))/($B9*$B9*$B9)</f>
        <v>78.260435982868245</v>
      </c>
      <c r="M9" s="3"/>
    </row>
    <row r="10" spans="1:13" x14ac:dyDescent="0.2">
      <c r="B10">
        <v>512</v>
      </c>
      <c r="C10">
        <v>1.95</v>
      </c>
      <c r="D10">
        <v>298</v>
      </c>
      <c r="E10" s="3">
        <f>$B$2/(B10*B10*B10)*$C$2/C10</f>
        <v>67216.410256410265</v>
      </c>
      <c r="F10" s="3">
        <f>E10/D10</f>
        <v>225.55842367922907</v>
      </c>
      <c r="G10" s="3">
        <f>MIN((Arithmetic!G$15),(Arithmetic!G$16))/($B10*$B10*$B10)</f>
        <v>145211.81583404541</v>
      </c>
      <c r="H10" s="3">
        <f>MIN((Arithmetic!H$15),(Arithmetic!H$16))/($B10*$B10*$B10)</f>
        <v>484.03938611348468</v>
      </c>
      <c r="I10" s="3">
        <f>1/(1/(Arithmetic!I$15)+1/(Arithmetic!I$16))/($B10*$B10*$B10)</f>
        <v>64172.495668356547</v>
      </c>
      <c r="J10" s="3">
        <f>1/(1/(Arithmetic!J$15)+1/(Arithmetic!J$16))/($B10*$B10*$B10)</f>
        <v>74.706617356693059</v>
      </c>
      <c r="K10" s="3">
        <f>1/(1/(Arithmetic!M$15)+1/(Arithmetic!M$16))/($B10*$B10*$B10)</f>
        <v>96.258743502534827</v>
      </c>
      <c r="L10" s="3">
        <f>1/(1/(Arithmetic!N$15)+1/(Arithmetic!N$16))/($B10*$B10*$B10)</f>
        <v>1.2228193122323163</v>
      </c>
      <c r="M10" s="3"/>
    </row>
    <row r="11" spans="1:13" x14ac:dyDescent="0.2">
      <c r="B11">
        <v>2048</v>
      </c>
      <c r="C11">
        <v>1.98</v>
      </c>
      <c r="D11">
        <v>297</v>
      </c>
      <c r="E11" s="3">
        <f>$B$2/(B11*B11*B11)*$C$2/C11</f>
        <v>1034.3434343434344</v>
      </c>
      <c r="F11" s="3">
        <f>E11/D11</f>
        <v>3.4826378260721698</v>
      </c>
      <c r="G11" s="3">
        <f>MIN((Arithmetic!G$15),(Arithmetic!G$16))/($B11*$B11*$B11)</f>
        <v>2268.9346224069595</v>
      </c>
      <c r="H11" s="3">
        <f>MIN((Arithmetic!H$15),(Arithmetic!H$16))/($B11*$B11*$B11)</f>
        <v>7.5631154080231981</v>
      </c>
      <c r="I11" s="3">
        <f>1/(1/(Arithmetic!I$15)+1/(Arithmetic!I$16))/($B11*$B11*$B11)</f>
        <v>1002.695244818071</v>
      </c>
      <c r="J11" s="3">
        <f>1/(1/(Arithmetic!J$15)+1/(Arithmetic!J$16))/($B11*$B11*$B11)</f>
        <v>1.167290896198329</v>
      </c>
      <c r="K11" s="3">
        <f>1/(1/(Arithmetic!M$15)+1/(Arithmetic!M$16))/($B11*$B11*$B11)</f>
        <v>1.5040428672271067</v>
      </c>
      <c r="L11" s="3">
        <f>1/(1/(Arithmetic!N$15)+1/(Arithmetic!N$16))/($B11*$B11*$B11)</f>
        <v>1.9106551753629943E-2</v>
      </c>
      <c r="M11" s="3"/>
    </row>
    <row r="13" spans="1:13" x14ac:dyDescent="0.2">
      <c r="E13" s="8"/>
      <c r="F13" s="8"/>
      <c r="G13" s="8"/>
      <c r="H13" s="8"/>
      <c r="I13" s="3"/>
      <c r="J13" s="3"/>
      <c r="K13" s="3"/>
      <c r="L13" s="3"/>
    </row>
    <row r="14" spans="1:13" x14ac:dyDescent="0.2">
      <c r="E14" s="8"/>
      <c r="F14" s="8"/>
      <c r="G14" s="8"/>
      <c r="H14" s="8"/>
      <c r="I14" s="3"/>
      <c r="J14" s="3"/>
      <c r="K14" s="3"/>
      <c r="L14" s="3"/>
    </row>
    <row r="15" spans="1:13" x14ac:dyDescent="0.2">
      <c r="E15" s="3"/>
      <c r="F15" s="8"/>
      <c r="G15" s="3"/>
      <c r="H15" s="8"/>
      <c r="I15" s="3"/>
      <c r="J15" s="3"/>
      <c r="K15" s="3"/>
      <c r="L15" s="3"/>
    </row>
    <row r="16" spans="1:13" x14ac:dyDescent="0.2">
      <c r="E16" s="3"/>
      <c r="F16" s="8"/>
      <c r="G16" s="3"/>
      <c r="H16" s="8"/>
      <c r="I16" s="3"/>
      <c r="J16" s="3"/>
      <c r="K16" s="3"/>
      <c r="L16" s="3"/>
    </row>
    <row r="17" spans="5:12" x14ac:dyDescent="0.2">
      <c r="E17" s="3"/>
      <c r="F17" s="4"/>
      <c r="G17" s="3"/>
      <c r="H17" s="4"/>
      <c r="I17" s="8"/>
      <c r="J17" s="8"/>
      <c r="K17" s="8"/>
      <c r="L17" s="8"/>
    </row>
    <row r="18" spans="5:12" x14ac:dyDescent="0.2">
      <c r="E18" s="3"/>
      <c r="F18" s="4"/>
      <c r="G18" s="3"/>
      <c r="H18" s="4"/>
      <c r="I18" s="8"/>
      <c r="J18" s="8"/>
      <c r="K18" s="8"/>
      <c r="L18" s="8"/>
    </row>
    <row r="19" spans="5:12" x14ac:dyDescent="0.2">
      <c r="E19" s="3"/>
      <c r="F19" s="4"/>
      <c r="G19" s="3"/>
      <c r="H19" s="4"/>
      <c r="I19" s="8"/>
      <c r="J19" s="8"/>
      <c r="K19" s="8"/>
      <c r="L19" s="8"/>
    </row>
    <row r="20" spans="5:12" x14ac:dyDescent="0.2">
      <c r="I20" s="8"/>
      <c r="J20" s="8"/>
      <c r="K20" s="8"/>
      <c r="L20" s="8"/>
    </row>
    <row r="21" spans="5:12" x14ac:dyDescent="0.2">
      <c r="I21" s="8"/>
      <c r="J21" s="8"/>
      <c r="K21" s="8"/>
      <c r="L21" s="8"/>
    </row>
    <row r="22" spans="5:12" x14ac:dyDescent="0.2">
      <c r="I22" s="5"/>
      <c r="J22" s="4"/>
      <c r="K22" s="5"/>
      <c r="L22" s="4"/>
    </row>
    <row r="23" spans="5:12" x14ac:dyDescent="0.2">
      <c r="I23" s="5"/>
      <c r="J23" s="4"/>
      <c r="K23" s="5"/>
      <c r="L23" s="4"/>
    </row>
    <row r="24" spans="5:12" x14ac:dyDescent="0.2">
      <c r="I24" s="5"/>
      <c r="J24" s="4"/>
      <c r="K24" s="5"/>
      <c r="L24" s="4"/>
    </row>
  </sheetData>
  <mergeCells count="4">
    <mergeCell ref="C5:F5"/>
    <mergeCell ref="G5:H5"/>
    <mergeCell ref="I5:J5"/>
    <mergeCell ref="K5:L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201E-4CC7-BF42-8422-17066C0E23F2}">
  <dimension ref="A1:L24"/>
  <sheetViews>
    <sheetView topLeftCell="B1" zoomScale="136" workbookViewId="0">
      <selection activeCell="E15" sqref="E15"/>
    </sheetView>
  </sheetViews>
  <sheetFormatPr baseColWidth="10" defaultRowHeight="16" x14ac:dyDescent="0.2"/>
  <cols>
    <col min="1" max="5" width="20.83203125" customWidth="1"/>
    <col min="6" max="6" width="21" customWidth="1"/>
    <col min="7" max="7" width="20.83203125" customWidth="1"/>
    <col min="8" max="8" width="21" customWidth="1"/>
    <col min="9" max="9" width="20.83203125" customWidth="1"/>
    <col min="10" max="10" width="21" customWidth="1"/>
    <col min="11" max="11" width="20.83203125" customWidth="1"/>
    <col min="12" max="12" width="21" customWidth="1"/>
  </cols>
  <sheetData>
    <row r="1" spans="1:12" x14ac:dyDescent="0.2">
      <c r="A1" s="6" t="s">
        <v>2</v>
      </c>
      <c r="B1" s="6" t="s">
        <v>18</v>
      </c>
      <c r="C1" s="6" t="s">
        <v>16</v>
      </c>
      <c r="D1" s="6" t="s">
        <v>17</v>
      </c>
      <c r="E1" s="6" t="s">
        <v>10</v>
      </c>
      <c r="F1" s="1"/>
      <c r="G1" s="1"/>
      <c r="H1" s="1"/>
      <c r="I1" s="1"/>
      <c r="J1" s="1"/>
      <c r="K1" s="1"/>
      <c r="L1" s="1"/>
    </row>
    <row r="2" spans="1:12" x14ac:dyDescent="0.2">
      <c r="A2" s="1"/>
      <c r="B2" s="1">
        <f>32*1024</f>
        <v>32768</v>
      </c>
      <c r="C2" s="1">
        <v>224</v>
      </c>
      <c r="D2" s="1">
        <v>224</v>
      </c>
      <c r="E2" s="1">
        <v>128</v>
      </c>
      <c r="F2" s="1"/>
      <c r="G2" s="1"/>
      <c r="H2" s="1"/>
      <c r="I2" s="1"/>
      <c r="J2" s="1"/>
      <c r="K2" s="1"/>
      <c r="L2" s="1"/>
    </row>
    <row r="5" spans="1:12" x14ac:dyDescent="0.2">
      <c r="C5" s="10" t="s">
        <v>35</v>
      </c>
      <c r="D5" s="10"/>
      <c r="E5" s="10"/>
      <c r="F5" s="10"/>
      <c r="G5" s="10" t="s">
        <v>36</v>
      </c>
      <c r="H5" s="10"/>
      <c r="I5" s="10" t="s">
        <v>37</v>
      </c>
      <c r="J5" s="10"/>
      <c r="K5" s="10" t="s">
        <v>40</v>
      </c>
      <c r="L5" s="10"/>
    </row>
    <row r="6" spans="1:12" x14ac:dyDescent="0.2">
      <c r="A6" s="7" t="s">
        <v>0</v>
      </c>
      <c r="B6" s="7" t="s">
        <v>19</v>
      </c>
      <c r="C6" s="7" t="s">
        <v>9</v>
      </c>
      <c r="D6" s="7" t="s">
        <v>11</v>
      </c>
      <c r="E6" s="7" t="s">
        <v>14</v>
      </c>
      <c r="F6" s="7" t="s">
        <v>15</v>
      </c>
      <c r="G6" s="7" t="s">
        <v>25</v>
      </c>
      <c r="H6" s="7" t="s">
        <v>26</v>
      </c>
      <c r="I6" s="7" t="s">
        <v>29</v>
      </c>
      <c r="J6" s="7" t="s">
        <v>30</v>
      </c>
      <c r="K6" s="7" t="s">
        <v>41</v>
      </c>
      <c r="L6" s="7" t="s">
        <v>42</v>
      </c>
    </row>
    <row r="8" spans="1:12" x14ac:dyDescent="0.2">
      <c r="A8" t="s">
        <v>13</v>
      </c>
      <c r="B8">
        <v>1</v>
      </c>
      <c r="C8">
        <v>1.8</v>
      </c>
      <c r="D8">
        <v>279</v>
      </c>
      <c r="E8" s="3">
        <f>$B$2*$E$2/C8</f>
        <v>2330168.888888889</v>
      </c>
      <c r="F8" s="3">
        <f>E8/D8</f>
        <v>8351.8598168060544</v>
      </c>
      <c r="G8" s="3">
        <f>MIN((Arithmetic!G$15),(Arithmetic!G$16))/($C$2*$D$2*$B8*$B8)</f>
        <v>388432716.83673471</v>
      </c>
      <c r="H8" s="3">
        <f>MIN((Arithmetic!H$15),(Arithmetic!H$16))/($C$2*$D$2*$B8*$B8)</f>
        <v>1294775.7227891155</v>
      </c>
      <c r="I8" s="3">
        <f>1/(1/(Arithmetic!I$15)+1/(Arithmetic!I$16))/($C$2*$D$2*$B8*$B8)</f>
        <v>171657496.98454753</v>
      </c>
      <c r="J8" s="3">
        <f>1/(1/(Arithmetic!J$15)+1/(Arithmetic!J$16))/($C$2*$D$2*$B8*$B8)</f>
        <v>199835.6275546219</v>
      </c>
      <c r="K8" s="3">
        <f>1/(1/(Arithmetic!M$15)+1/(Arithmetic!M$16))/($C$2*$D$2*$B8*$B8)</f>
        <v>257486.24547682132</v>
      </c>
      <c r="L8" s="3">
        <f>1/(1/(Arithmetic!N$15)+1/(Arithmetic!N$16))/($C$2*$D$2*$B8*$B8)</f>
        <v>3270.9667937329423</v>
      </c>
    </row>
    <row r="9" spans="1:12" x14ac:dyDescent="0.2">
      <c r="B9">
        <v>3</v>
      </c>
      <c r="C9">
        <v>2.1800000000000002</v>
      </c>
      <c r="D9">
        <v>298</v>
      </c>
      <c r="E9" s="3">
        <f>$B$2*$E$2/C9</f>
        <v>1923992.6605504586</v>
      </c>
      <c r="F9" s="3">
        <f>E9/D9</f>
        <v>6456.3512099008676</v>
      </c>
      <c r="G9" s="3">
        <f>MIN((Arithmetic!G$15),(Arithmetic!G$16))/($C$2*$D$2*$B9*$B9)</f>
        <v>43159190.759637192</v>
      </c>
      <c r="H9" s="3">
        <f>MIN((Arithmetic!H$15),(Arithmetic!H$16))/($C$2*$D$2*$B9*$B9)</f>
        <v>143863.96919879061</v>
      </c>
      <c r="I9" s="3">
        <f>1/(1/(Arithmetic!I$15)+1/(Arithmetic!I$16))/($C$2*$D$2*$B9*$B9)</f>
        <v>19073055.220505282</v>
      </c>
      <c r="J9" s="3">
        <f>1/(1/(Arithmetic!J$15)+1/(Arithmetic!J$16))/($C$2*$D$2*$B9*$B9)</f>
        <v>22203.958617180211</v>
      </c>
      <c r="K9" s="3">
        <f>1/(1/(Arithmetic!M$15)+1/(Arithmetic!M$16))/($C$2*$D$2*$B9*$B9)</f>
        <v>28609.582830757925</v>
      </c>
      <c r="L9" s="3">
        <f>1/(1/(Arithmetic!N$15)+1/(Arithmetic!N$16))/($C$2*$D$2*$B9*$B9)</f>
        <v>363.44075485921582</v>
      </c>
    </row>
    <row r="10" spans="1:12" x14ac:dyDescent="0.2">
      <c r="B10">
        <v>5</v>
      </c>
      <c r="C10">
        <v>7.33</v>
      </c>
      <c r="D10">
        <v>299</v>
      </c>
      <c r="E10" s="3">
        <f>$B$2*$E$2/C10</f>
        <v>572210.64120054571</v>
      </c>
      <c r="F10" s="3">
        <f>E10/D10</f>
        <v>1913.7479638814239</v>
      </c>
      <c r="G10" s="3">
        <f>MIN((Arithmetic!G$15),(Arithmetic!G$16))/($C$2*$D$2*$B10*$B10)</f>
        <v>15537308.673469387</v>
      </c>
      <c r="H10" s="3">
        <f>MIN((Arithmetic!H$15),(Arithmetic!H$16))/($C$2*$D$2*$B10*$B10)</f>
        <v>51791.028911564623</v>
      </c>
      <c r="I10" s="3">
        <f>1/(1/(Arithmetic!I$15)+1/(Arithmetic!I$16))/($C$2*$D$2*$B10*$B10)</f>
        <v>6866299.8793819016</v>
      </c>
      <c r="J10" s="3">
        <f>1/(1/(Arithmetic!J$15)+1/(Arithmetic!J$16))/($C$2*$D$2*$B10*$B10)</f>
        <v>7993.4251021848759</v>
      </c>
      <c r="K10" s="3">
        <f>1/(1/(Arithmetic!M$15)+1/(Arithmetic!M$16))/($C$2*$D$2*$B10*$B10)</f>
        <v>10299.449819072854</v>
      </c>
      <c r="L10" s="3">
        <f>1/(1/(Arithmetic!N$15)+1/(Arithmetic!N$16))/($C$2*$D$2*$B10*$B10)</f>
        <v>130.83867174931768</v>
      </c>
    </row>
    <row r="11" spans="1:12" x14ac:dyDescent="0.2">
      <c r="B11">
        <v>7</v>
      </c>
      <c r="C11">
        <v>11.93</v>
      </c>
      <c r="D11">
        <v>298</v>
      </c>
      <c r="E11" s="3">
        <f>$B$2*$E$2/C11</f>
        <v>351576.19446772843</v>
      </c>
      <c r="F11" s="3">
        <f>E11/D11</f>
        <v>1179.7858874755989</v>
      </c>
      <c r="G11" s="3">
        <f>MIN((Arithmetic!G$15),(Arithmetic!G$16))/($C$2*$D$2*$B11*$B11)</f>
        <v>7927198.3027905039</v>
      </c>
      <c r="H11" s="3">
        <f>MIN((Arithmetic!H$15),(Arithmetic!H$16))/($C$2*$D$2*$B11*$B11)</f>
        <v>26423.994342635011</v>
      </c>
      <c r="I11" s="3">
        <f>1/(1/(Arithmetic!I$15)+1/(Arithmetic!I$16))/($C$2*$D$2*$B11*$B11)</f>
        <v>3503214.2241744394</v>
      </c>
      <c r="J11" s="3">
        <f>1/(1/(Arithmetic!J$15)+1/(Arithmetic!J$16))/($C$2*$D$2*$B11*$B11)</f>
        <v>4078.2781133596304</v>
      </c>
      <c r="K11" s="3">
        <f>1/(1/(Arithmetic!M$15)+1/(Arithmetic!M$16))/($C$2*$D$2*$B11*$B11)</f>
        <v>5254.8213362616598</v>
      </c>
      <c r="L11" s="3">
        <f>1/(1/(Arithmetic!N$15)+1/(Arithmetic!N$16))/($C$2*$D$2*$B11*$B11)</f>
        <v>66.754424361896781</v>
      </c>
    </row>
    <row r="12" spans="1:12" x14ac:dyDescent="0.2">
      <c r="B12">
        <v>9</v>
      </c>
      <c r="C12">
        <v>17.89</v>
      </c>
      <c r="D12">
        <v>300</v>
      </c>
      <c r="E12" s="3">
        <f>$B$2*$E$2/C12</f>
        <v>234449.63666852989</v>
      </c>
      <c r="F12" s="3">
        <f>E12/D12</f>
        <v>781.49878889509966</v>
      </c>
      <c r="G12" s="3">
        <f>MIN((Arithmetic!G$15),(Arithmetic!G$16))/($C$2*$D$2*$B12*$B12)</f>
        <v>4795465.6399596874</v>
      </c>
      <c r="H12" s="3">
        <f>MIN((Arithmetic!H$15),(Arithmetic!H$16))/($C$2*$D$2*$B12*$B12)</f>
        <v>15984.885466532291</v>
      </c>
      <c r="I12" s="3">
        <f>1/(1/(Arithmetic!I$15)+1/(Arithmetic!I$16))/($C$2*$D$2*$B12*$B12)</f>
        <v>2119228.35783392</v>
      </c>
      <c r="J12" s="3">
        <f>1/(1/(Arithmetic!J$15)+1/(Arithmetic!J$16))/($C$2*$D$2*$B12*$B12)</f>
        <v>2467.1065130200232</v>
      </c>
      <c r="K12" s="3">
        <f>1/(1/(Arithmetic!M$15)+1/(Arithmetic!M$16))/($C$2*$D$2*$B12*$B12)</f>
        <v>3178.8425367508808</v>
      </c>
      <c r="L12" s="3">
        <f>1/(1/(Arithmetic!N$15)+1/(Arithmetic!N$16))/($C$2*$D$2*$B12*$B12)</f>
        <v>40.382306095468422</v>
      </c>
    </row>
    <row r="13" spans="1:12" x14ac:dyDescent="0.2">
      <c r="E13" s="8"/>
      <c r="F13" s="8"/>
      <c r="G13" s="8"/>
      <c r="H13" s="8"/>
      <c r="I13" s="3"/>
      <c r="J13" s="3"/>
      <c r="K13" s="3"/>
      <c r="L13" s="3"/>
    </row>
    <row r="14" spans="1:12" x14ac:dyDescent="0.2">
      <c r="E14" s="8"/>
      <c r="F14" s="8"/>
      <c r="G14" s="8"/>
      <c r="H14" s="8"/>
      <c r="I14" s="3"/>
      <c r="J14" s="3"/>
      <c r="K14" s="3"/>
      <c r="L14" s="3"/>
    </row>
    <row r="15" spans="1:12" x14ac:dyDescent="0.2">
      <c r="E15" s="3"/>
      <c r="F15" s="8"/>
      <c r="G15" s="3"/>
      <c r="H15" s="8"/>
      <c r="I15" s="3"/>
      <c r="J15" s="3"/>
      <c r="K15" s="3"/>
      <c r="L15" s="3"/>
    </row>
    <row r="16" spans="1:12" x14ac:dyDescent="0.2">
      <c r="E16" s="3"/>
      <c r="F16" s="8"/>
      <c r="G16" s="3"/>
      <c r="H16" s="8"/>
      <c r="I16" s="3"/>
      <c r="J16" s="3"/>
      <c r="K16" s="3"/>
      <c r="L16" s="3"/>
    </row>
    <row r="17" spans="5:12" x14ac:dyDescent="0.2">
      <c r="E17" s="3"/>
      <c r="F17" s="4"/>
      <c r="G17" s="3"/>
      <c r="H17" s="4"/>
      <c r="I17" s="8"/>
      <c r="J17" s="8"/>
      <c r="K17" s="8"/>
      <c r="L17" s="8"/>
    </row>
    <row r="18" spans="5:12" x14ac:dyDescent="0.2">
      <c r="E18" s="3"/>
      <c r="F18" s="4"/>
      <c r="G18" s="3"/>
      <c r="H18" s="4"/>
      <c r="I18" s="8"/>
      <c r="J18" s="8"/>
      <c r="K18" s="8"/>
      <c r="L18" s="8"/>
    </row>
    <row r="19" spans="5:12" x14ac:dyDescent="0.2">
      <c r="E19" s="3"/>
      <c r="F19" s="4"/>
      <c r="G19" s="3"/>
      <c r="H19" s="4"/>
      <c r="I19" s="8"/>
      <c r="J19" s="8"/>
      <c r="K19" s="8"/>
      <c r="L19" s="8"/>
    </row>
    <row r="20" spans="5:12" x14ac:dyDescent="0.2">
      <c r="I20" s="8"/>
      <c r="J20" s="8"/>
      <c r="K20" s="8"/>
      <c r="L20" s="8"/>
    </row>
    <row r="21" spans="5:12" x14ac:dyDescent="0.2">
      <c r="I21" s="8"/>
      <c r="J21" s="8"/>
      <c r="K21" s="8"/>
      <c r="L21" s="8"/>
    </row>
    <row r="22" spans="5:12" x14ac:dyDescent="0.2">
      <c r="I22" s="5"/>
      <c r="J22" s="4"/>
      <c r="K22" s="5"/>
      <c r="L22" s="4"/>
    </row>
    <row r="23" spans="5:12" x14ac:dyDescent="0.2">
      <c r="I23" s="5"/>
      <c r="J23" s="4"/>
      <c r="K23" s="5"/>
      <c r="L23" s="4"/>
    </row>
    <row r="24" spans="5:12" x14ac:dyDescent="0.2">
      <c r="I24" s="5"/>
      <c r="J24" s="4"/>
      <c r="K24" s="5"/>
      <c r="L24" s="4"/>
    </row>
  </sheetData>
  <mergeCells count="4">
    <mergeCell ref="C5:F5"/>
    <mergeCell ref="G5:H5"/>
    <mergeCell ref="I5:J5"/>
    <mergeCell ref="K5:L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4063-5CA9-C143-ABF4-D12D6270E814}">
  <dimension ref="A1:M21"/>
  <sheetViews>
    <sheetView tabSelected="1" topLeftCell="H1" zoomScale="245" workbookViewId="0">
      <selection activeCell="J4" sqref="J4"/>
    </sheetView>
  </sheetViews>
  <sheetFormatPr baseColWidth="10" defaultRowHeight="16" x14ac:dyDescent="0.2"/>
  <cols>
    <col min="1" max="5" width="20.83203125" customWidth="1"/>
    <col min="6" max="6" width="21" customWidth="1"/>
    <col min="7" max="7" width="20.83203125" customWidth="1"/>
    <col min="8" max="8" width="21" customWidth="1"/>
    <col min="9" max="9" width="20.83203125" customWidth="1"/>
    <col min="10" max="10" width="21" customWidth="1"/>
    <col min="11" max="11" width="20.83203125" customWidth="1"/>
    <col min="12" max="12" width="21" customWidth="1"/>
  </cols>
  <sheetData>
    <row r="1" spans="1:13" x14ac:dyDescent="0.2">
      <c r="A1" s="6" t="s">
        <v>2</v>
      </c>
      <c r="B1" s="6" t="s">
        <v>27</v>
      </c>
      <c r="C1" s="6" t="s">
        <v>28</v>
      </c>
      <c r="D1" s="6" t="s">
        <v>10</v>
      </c>
      <c r="E1" s="1"/>
      <c r="F1" s="1"/>
      <c r="G1" s="1"/>
      <c r="H1" s="1"/>
      <c r="I1" s="1"/>
      <c r="J1" s="1"/>
      <c r="K1" s="1"/>
      <c r="L1" s="1"/>
    </row>
    <row r="2" spans="1:13" x14ac:dyDescent="0.2">
      <c r="A2" s="1"/>
      <c r="B2" s="1">
        <v>512</v>
      </c>
      <c r="C2" s="1">
        <v>512</v>
      </c>
      <c r="D2" s="1">
        <v>128</v>
      </c>
      <c r="E2" s="1"/>
      <c r="F2" s="1"/>
      <c r="G2" s="1"/>
      <c r="H2" s="1"/>
      <c r="I2" s="1"/>
      <c r="J2" s="1"/>
      <c r="K2" s="1"/>
      <c r="L2" s="1"/>
    </row>
    <row r="5" spans="1:13" x14ac:dyDescent="0.2">
      <c r="C5" s="10" t="s">
        <v>35</v>
      </c>
      <c r="D5" s="10"/>
      <c r="E5" s="10"/>
      <c r="F5" s="10"/>
      <c r="G5" s="10" t="s">
        <v>36</v>
      </c>
      <c r="H5" s="10"/>
      <c r="I5" s="10" t="s">
        <v>37</v>
      </c>
      <c r="J5" s="10"/>
      <c r="K5" s="10" t="s">
        <v>40</v>
      </c>
      <c r="L5" s="10"/>
    </row>
    <row r="6" spans="1:13" x14ac:dyDescent="0.2">
      <c r="A6" s="7" t="s">
        <v>0</v>
      </c>
      <c r="B6" s="7" t="s">
        <v>21</v>
      </c>
      <c r="C6" s="7" t="s">
        <v>9</v>
      </c>
      <c r="D6" s="7" t="s">
        <v>11</v>
      </c>
      <c r="E6" s="7" t="s">
        <v>14</v>
      </c>
      <c r="F6" s="7" t="s">
        <v>15</v>
      </c>
      <c r="G6" s="7" t="s">
        <v>25</v>
      </c>
      <c r="H6" s="7" t="s">
        <v>26</v>
      </c>
      <c r="I6" s="7" t="s">
        <v>29</v>
      </c>
      <c r="J6" s="7" t="s">
        <v>30</v>
      </c>
      <c r="K6" s="7" t="s">
        <v>41</v>
      </c>
      <c r="L6" s="7" t="s">
        <v>42</v>
      </c>
    </row>
    <row r="8" spans="1:13" x14ac:dyDescent="0.2">
      <c r="A8" t="s">
        <v>20</v>
      </c>
      <c r="B8" t="s">
        <v>22</v>
      </c>
      <c r="C8">
        <v>1.63</v>
      </c>
      <c r="D8">
        <v>293</v>
      </c>
      <c r="E8" s="3">
        <f>$B$2*$D$2/C8</f>
        <v>40206.134969325154</v>
      </c>
      <c r="F8" s="3">
        <f>E8/D8</f>
        <v>137.22230364957392</v>
      </c>
      <c r="G8" s="3">
        <f>MIN((Arithmetic!G$10),(Arithmetic!G$11))/(724705896)</f>
        <v>107588.47199995734</v>
      </c>
      <c r="H8" s="3">
        <f>MIN((Arithmetic!H$10),(Arithmetic!H$11))/(724705896)</f>
        <v>358.62823999985784</v>
      </c>
      <c r="I8" s="3">
        <f>1/(1/(Arithmetic!I$10)+1/(Arithmetic!I$11))/(724705896)</f>
        <v>38924.554493199714</v>
      </c>
      <c r="J8" s="3">
        <f>1/(1/(Arithmetic!J$10)+1/(Arithmetic!J$11))/(724705896)</f>
        <v>45.314145382959069</v>
      </c>
      <c r="K8" s="3">
        <f>1/(1/(Arithmetic!M$10)+1/(Arithmetic!M$11))/(724705896)</f>
        <v>58.386831739799561</v>
      </c>
      <c r="L8" s="3">
        <f>1/(1/(Arithmetic!N$10)+1/(Arithmetic!N$11))/(724705896)</f>
        <v>0.74171491163922765</v>
      </c>
      <c r="M8" s="8"/>
    </row>
    <row r="9" spans="1:13" x14ac:dyDescent="0.2">
      <c r="B9" t="s">
        <v>23</v>
      </c>
      <c r="C9">
        <v>12.39</v>
      </c>
      <c r="D9">
        <v>297</v>
      </c>
      <c r="E9" s="3">
        <f>$B$2*$D$2/C9</f>
        <v>5289.4269572235671</v>
      </c>
      <c r="F9" s="3">
        <f>E9/D9</f>
        <v>17.809518374490125</v>
      </c>
      <c r="G9" s="3">
        <f>MIN((Arithmetic!G$10),(Arithmetic!G$11))/(4297355192)</f>
        <v>18143.717825594158</v>
      </c>
      <c r="H9" s="3">
        <f>MIN((Arithmetic!H$10),(Arithmetic!H$11))/(4297355192)</f>
        <v>60.479059418647189</v>
      </c>
      <c r="I9" s="3">
        <f>1/(1/(Arithmetic!I$10)+1/(Arithmetic!I$11))/(4297355192)</f>
        <v>6564.2361126929918</v>
      </c>
      <c r="J9" s="3">
        <f>1/(1/(Arithmetic!J$10)+1/(Arithmetic!J$11))/(4297355192)</f>
        <v>7.6417765960714226</v>
      </c>
      <c r="K9" s="3">
        <f>1/(1/(Arithmetic!M$10)+1/(Arithmetic!M$11))/(4297355192)</f>
        <v>9.8463541690394862</v>
      </c>
      <c r="L9" s="3">
        <f>1/(1/(Arithmetic!N$10)+1/(Arithmetic!N$11))/(4297355192)</f>
        <v>0.12508278827329181</v>
      </c>
      <c r="M9" s="8"/>
    </row>
    <row r="10" spans="1:13" x14ac:dyDescent="0.2">
      <c r="B10" t="s">
        <v>24</v>
      </c>
      <c r="C10">
        <v>7.08</v>
      </c>
      <c r="D10">
        <v>294</v>
      </c>
      <c r="E10" s="3">
        <f>$B$2*$D$2/C10</f>
        <v>9256.4971751412431</v>
      </c>
      <c r="F10" s="3">
        <f>E10/D10</f>
        <v>31.484684269187902</v>
      </c>
      <c r="G10" s="3">
        <f>MIN((Arithmetic!G$10),(Arithmetic!G$11))/(1255899984)</f>
        <v>62082.969180131782</v>
      </c>
      <c r="H10" s="3">
        <f>MIN((Arithmetic!H$10),(Arithmetic!H$11))/(1255899984)</f>
        <v>206.94323060043928</v>
      </c>
      <c r="I10" s="3">
        <f>1/(1/(Arithmetic!I$10)+1/(Arithmetic!I$11))/(1255899984)</f>
        <v>22461.067361869736</v>
      </c>
      <c r="J10" s="3">
        <f>1/(1/(Arithmetic!J$10)+1/(Arithmetic!J$11))/(1255899984)</f>
        <v>26.148123855085274</v>
      </c>
      <c r="K10" s="3">
        <f>1/(1/(Arithmetic!M$10)+1/(Arithmetic!M$11))/(1255899984)</f>
        <v>33.691601042804599</v>
      </c>
      <c r="L10" s="3">
        <f>1/(1/(Arithmetic!N$10)+1/(Arithmetic!N$11))/(1255899984)</f>
        <v>0.42799998125970778</v>
      </c>
      <c r="M10" s="8"/>
    </row>
    <row r="11" spans="1:13" x14ac:dyDescent="0.2">
      <c r="E11" s="3"/>
      <c r="F11" s="3"/>
      <c r="G11" s="3"/>
      <c r="H11" s="3"/>
      <c r="I11" s="3"/>
      <c r="J11" s="3"/>
      <c r="K11" s="3"/>
      <c r="L11" s="3"/>
      <c r="M11" s="8"/>
    </row>
    <row r="12" spans="1:13" x14ac:dyDescent="0.2">
      <c r="E12" s="3"/>
      <c r="F12" s="8"/>
      <c r="G12" s="3"/>
      <c r="H12" s="8"/>
      <c r="I12" s="3"/>
      <c r="J12" s="3"/>
      <c r="K12" s="3"/>
      <c r="L12" s="3"/>
    </row>
    <row r="13" spans="1:13" x14ac:dyDescent="0.2">
      <c r="E13" s="3"/>
      <c r="F13" s="8"/>
      <c r="G13" s="3"/>
      <c r="H13" s="8"/>
      <c r="I13" s="3"/>
      <c r="J13" s="3"/>
      <c r="K13" s="3"/>
      <c r="L13" s="3"/>
    </row>
    <row r="14" spans="1:13" x14ac:dyDescent="0.2">
      <c r="E14" s="3"/>
      <c r="F14" s="8"/>
      <c r="G14" s="3"/>
      <c r="H14" s="4"/>
      <c r="I14" s="8"/>
      <c r="J14" s="8"/>
      <c r="K14" s="8"/>
      <c r="L14" s="8"/>
    </row>
    <row r="15" spans="1:13" x14ac:dyDescent="0.2">
      <c r="E15" s="3"/>
      <c r="F15" s="8"/>
      <c r="G15" s="3"/>
      <c r="H15" s="4"/>
      <c r="I15" s="8"/>
      <c r="J15" s="8"/>
      <c r="K15" s="8"/>
      <c r="L15" s="8"/>
    </row>
    <row r="16" spans="1:13" x14ac:dyDescent="0.2">
      <c r="E16" s="3"/>
      <c r="F16" s="4"/>
      <c r="G16" s="3"/>
      <c r="H16" s="4"/>
      <c r="I16" s="8"/>
      <c r="J16" s="8"/>
      <c r="K16" s="8"/>
      <c r="L16" s="8"/>
    </row>
    <row r="17" spans="9:12" x14ac:dyDescent="0.2">
      <c r="I17" s="8"/>
      <c r="J17" s="8"/>
      <c r="K17" s="8"/>
      <c r="L17" s="8"/>
    </row>
    <row r="18" spans="9:12" x14ac:dyDescent="0.2">
      <c r="I18" s="8"/>
      <c r="J18" s="8"/>
      <c r="K18" s="8"/>
      <c r="L18" s="8"/>
    </row>
    <row r="19" spans="9:12" x14ac:dyDescent="0.2">
      <c r="I19" s="5"/>
      <c r="J19" s="4"/>
      <c r="K19" s="5"/>
      <c r="L19" s="4"/>
    </row>
    <row r="20" spans="9:12" x14ac:dyDescent="0.2">
      <c r="I20" s="5"/>
      <c r="J20" s="4"/>
      <c r="K20" s="5"/>
      <c r="L20" s="4"/>
    </row>
    <row r="21" spans="9:12" x14ac:dyDescent="0.2">
      <c r="I21" s="5"/>
      <c r="J21" s="4"/>
      <c r="K21" s="5"/>
      <c r="L21" s="4"/>
    </row>
  </sheetData>
  <mergeCells count="4">
    <mergeCell ref="C5:F5"/>
    <mergeCell ref="G5:H5"/>
    <mergeCell ref="I5:J5"/>
    <mergeCell ref="K5:L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Arithmetic</vt:lpstr>
      <vt:lpstr>Matrix</vt:lpstr>
      <vt:lpstr>Convolution</vt:lpstr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Orian Leitersdorf</dc:creator>
  <cp:lastModifiedBy>Orian Leitersdorf</cp:lastModifiedBy>
  <dcterms:created xsi:type="dcterms:W3CDTF">2022-05-07T21:15:36Z</dcterms:created>
  <dcterms:modified xsi:type="dcterms:W3CDTF">2023-08-21T21:41:18Z</dcterms:modified>
</cp:coreProperties>
</file>