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s>
  <definedNames/>
  <calcPr/>
  <extLst>
    <ext uri="GoogleSheetsCustomDataVersion1">
      <go:sheetsCustomData xmlns:go="http://customooxmlschemas.google.com/" r:id="rId5" roundtripDataSignature="AMtx7mhyeYXccXVGFZVaSKzsdleMdwAKBw=="/>
    </ext>
  </extLst>
</workbook>
</file>

<file path=xl/sharedStrings.xml><?xml version="1.0" encoding="utf-8"?>
<sst xmlns="http://schemas.openxmlformats.org/spreadsheetml/2006/main" count="693" uniqueCount="682">
  <si>
    <t>es</t>
  </si>
  <si>
    <t>pt</t>
  </si>
  <si>
    <t>ar</t>
  </si>
  <si>
    <t>km</t>
  </si>
  <si>
    <t>fr</t>
  </si>
  <si>
    <t>ro</t>
  </si>
  <si>
    <t>my</t>
  </si>
  <si>
    <t>sw</t>
  </si>
  <si>
    <t>th</t>
  </si>
  <si>
    <t>si</t>
  </si>
  <si>
    <t>vi</t>
  </si>
  <si>
    <t>ne</t>
  </si>
  <si>
    <t>de</t>
  </si>
  <si>
    <t>he</t>
  </si>
  <si>
    <t>cs</t>
  </si>
  <si>
    <t>it</t>
  </si>
  <si>
    <t>el</t>
  </si>
  <si>
    <t>smart_charge_des</t>
  </si>
  <si>
    <t>Remind the charging status to avoid overcharging and monitor the battery level</t>
  </si>
  <si>
    <t>cancel</t>
  </si>
  <si>
    <t>Cancel</t>
  </si>
  <si>
    <t>excess_files</t>
  </si>
  <si>
    <t>Excess Files</t>
  </si>
  <si>
    <t>feedback_description</t>
  </si>
  <si>
    <t>Write to us</t>
  </si>
  <si>
    <t>antivirus</t>
  </si>
  <si>
    <t>Secure App</t>
  </si>
  <si>
    <t>optimize_chargin_progress</t>
  </si>
  <si>
    <t>• Optimize your charging process</t>
  </si>
  <si>
    <t>dont_disturb</t>
  </si>
  <si>
    <t>Don\'t Disturb</t>
  </si>
  <si>
    <t>dnd_description</t>
  </si>
  <si>
    <t>Set up time notifications</t>
  </si>
  <si>
    <t>detect_junk_file</t>
  </si>
  <si>
    <t>Detected junk files</t>
  </si>
  <si>
    <t>in_danger</t>
  </si>
  <si>
    <t>In danger</t>
  </si>
  <si>
    <t>find_and_grant</t>
  </si>
  <si>
    <t xml:space="preserve">Find  888  and grant  888 </t>
  </si>
  <si>
    <t>lock_need_to_unlock_wrong</t>
  </si>
  <si>
    <t>The pattern do not match. Please try again.</t>
  </si>
  <si>
    <t>total_files_found</t>
  </si>
  <si>
    <t>Total files found</t>
  </si>
  <si>
    <t>remind_me_when_app_draing</t>
  </si>
  <si>
    <t>Remind me when apps draning battery</t>
  </si>
  <si>
    <t>notification_created_shortcut</t>
  </si>
  <si>
    <t>Shortcut  888  created</t>
  </si>
  <si>
    <t>safety_optimizing</t>
  </si>
  <si>
    <t>Safety optimizing for apps...</t>
  </si>
  <si>
    <t>delete_the_residual</t>
  </si>
  <si>
    <t>Delete the residual junk after app uninstalled</t>
  </si>
  <si>
    <t>fix</t>
  </si>
  <si>
    <t>Fix</t>
  </si>
  <si>
    <t>skip_app_virus</t>
  </si>
  <si>
    <t>"The selected application will be ignored during virus scan "</t>
  </si>
  <si>
    <t>sercurity_question</t>
  </si>
  <si>
    <t>Security Question:</t>
  </si>
  <si>
    <t>optimizing</t>
  </si>
  <si>
    <t>Optimizing...</t>
  </si>
  <si>
    <t>phone_booster</t>
  </si>
  <si>
    <t>Phone Boost</t>
  </si>
  <si>
    <t>Notificationbarcleanup_RightNow</t>
  </si>
  <si>
    <t>Enable now</t>
  </si>
  <si>
    <t>create_shortcut</t>
  </si>
  <si>
    <t>Create shortcut</t>
  </si>
  <si>
    <t>search_for</t>
  </si>
  <si>
    <t>Search For…</t>
  </si>
  <si>
    <t>ram</t>
  </si>
  <si>
    <t>RAM</t>
  </si>
  <si>
    <t>synchronize</t>
  </si>
  <si>
    <t>Synchronized</t>
  </si>
  <si>
    <t>password_question_08</t>
  </si>
  <si>
    <t>If you could travel back in time, when would you like to go?</t>
  </si>
  <si>
    <t>title_home</t>
  </si>
  <si>
    <t>Home</t>
  </si>
  <si>
    <t>game_booster_des</t>
  </si>
  <si>
    <t>Play games faster, speed up your phone memory and improve your gameplay</t>
  </si>
  <si>
    <t>sm_edge_device_optimized</t>
  </si>
  <si>
    <t>Great! The power problem solved!</t>
  </si>
  <si>
    <t>password_question_07</t>
  </si>
  <si>
    <t>Where would you like to visit when you were a child?</t>
  </si>
  <si>
    <t>antivirus_description</t>
  </si>
  <si>
    <t>Secretly consuming your battery</t>
  </si>
  <si>
    <t>password_question_09</t>
  </si>
  <si>
    <t>Who is your boyfriend?</t>
  </si>
  <si>
    <t>password_question_04</t>
  </si>
  <si>
    <t>What was your dream when you were a child?</t>
  </si>
  <si>
    <t>floatint_windown_per</t>
  </si>
  <si>
    <t>floating Window permission</t>
  </si>
  <si>
    <t>password_question_03</t>
  </si>
  <si>
    <t>Who is your girlfriend?</t>
  </si>
  <si>
    <t>password_question_06</t>
  </si>
  <si>
    <t>"What's the name of your favorite teacher in high school?"</t>
  </si>
  <si>
    <t>lock_settings_help_how_to_record</t>
  </si>
  <si>
    <t>How to draw an unlock pattern</t>
  </si>
  <si>
    <t>password_question_05</t>
  </si>
  <si>
    <t>If you had a crush on someone of the same gender, who is she/he?</t>
  </si>
  <si>
    <t>memory_kill_found</t>
  </si>
  <si>
    <t>Memory killer found</t>
  </si>
  <si>
    <t>password_question_02</t>
  </si>
  <si>
    <t>"What's the name of your favorite pet?"</t>
  </si>
  <si>
    <t>password_question_01</t>
  </si>
  <si>
    <t>What is your most memorable thing?</t>
  </si>
  <si>
    <t>completed</t>
  </si>
  <si>
    <t>Completed!</t>
  </si>
  <si>
    <t>password_error_count</t>
  </si>
  <si>
    <t>The pattern does not match. Please try again.</t>
  </si>
  <si>
    <t>running_app</t>
  </si>
  <si>
    <t>Running App</t>
  </si>
  <si>
    <t>version</t>
  </si>
  <si>
    <t>Version</t>
  </si>
  <si>
    <t>lock_recording_incorrect_too_short</t>
  </si>
  <si>
    <t>You should connect at least 4 points</t>
  </si>
  <si>
    <t>some_app_use_permission</t>
  </si>
  <si>
    <t>Some applications use dangerous permissions</t>
  </si>
  <si>
    <t>lock_pattern_entered_header</t>
  </si>
  <si>
    <t>Record pattern</t>
  </si>
  <si>
    <t>size</t>
  </si>
  <si>
    <t xml:space="preserve">Size :  888 </t>
  </si>
  <si>
    <t>normal_boost</t>
  </si>
  <si>
    <t>Normal save</t>
  </si>
  <si>
    <t>not_setup_answer_question</t>
  </si>
  <si>
    <t>You don\'t setup answer quesion security</t>
  </si>
  <si>
    <t>boost</t>
  </si>
  <si>
    <t>Boost now</t>
  </si>
  <si>
    <t>stop_at</t>
  </si>
  <si>
    <t>Stop at</t>
  </si>
  <si>
    <t>junk_files_description</t>
  </si>
  <si>
    <t>Delete unnecessary data, cache files, redundancy, ads</t>
  </si>
  <si>
    <t>game_add</t>
  </si>
  <si>
    <t xml:space="preserve">Games Added:  888 </t>
  </si>
  <si>
    <t>scanning</t>
  </si>
  <si>
    <t>Scanning…</t>
  </si>
  <si>
    <t>system_app</t>
  </si>
  <si>
    <t>System App</t>
  </si>
  <si>
    <t>title_personal</t>
  </si>
  <si>
    <t>Personal</t>
  </si>
  <si>
    <t>virus_app</t>
  </si>
  <si>
    <t>virus app</t>
  </si>
  <si>
    <t>battery</t>
  </si>
  <si>
    <t>Battery</t>
  </si>
  <si>
    <t>notification_manager_des</t>
  </si>
  <si>
    <t>Make messy notification bar fresh again</t>
  </si>
  <si>
    <t>user_apps</t>
  </si>
  <si>
    <t>User Apps</t>
  </si>
  <si>
    <t>uninstall</t>
  </si>
  <si>
    <t>Uninstall</t>
  </si>
  <si>
    <t>per_access_location_des</t>
  </si>
  <si>
    <t>This application can access its exact position and is a risk for your privacy.</t>
  </si>
  <si>
    <t>lockscreen_access_pattern_cell_added</t>
  </si>
  <si>
    <t>Added cell</t>
  </si>
  <si>
    <t>app_lock_description</t>
  </si>
  <si>
    <t>Protect the privacy  data and the property</t>
  </si>
  <si>
    <t>antivirus_result</t>
  </si>
  <si>
    <t>Safe! All risks are resolved!</t>
  </si>
  <si>
    <t>selcet_file_to_clean</t>
  </si>
  <si>
    <t>You not select file to clean</t>
  </si>
  <si>
    <t>try_it</t>
  </si>
  <si>
    <t>Try</t>
  </si>
  <si>
    <t>apps</t>
  </si>
  <si>
    <t>Apps</t>
  </si>
  <si>
    <t>use_cpu_cleaner</t>
  </si>
  <si>
    <t>Use CPU cleaner to cool down</t>
  </si>
  <si>
    <t>battery_full_des</t>
  </si>
  <si>
    <t>Charging ended. Please unplug the source.</t>
  </si>
  <si>
    <t>third_app</t>
  </si>
  <si>
    <t>Third Party Application</t>
  </si>
  <si>
    <t>Notificationbar_Spamnotification</t>
  </si>
  <si>
    <t>Spam notifications:</t>
  </si>
  <si>
    <t>phone_booster_des</t>
  </si>
  <si>
    <t>Memory Booster cleans up memory by closing inactive applications, increasing speed</t>
  </si>
  <si>
    <t>empty_item_select</t>
  </si>
  <si>
    <t>You must select at least 1 item</t>
  </si>
  <si>
    <t>add_games</t>
  </si>
  <si>
    <t>Add games</t>
  </si>
  <si>
    <t>junk_files_des</t>
  </si>
  <si>
    <t>Analyze and safely remove the junk files that take up your memory and storage space</t>
  </si>
  <si>
    <t>hibernation</t>
  </si>
  <si>
    <t>"Hibernation..... "</t>
  </si>
  <si>
    <t>busy_total</t>
  </si>
  <si>
    <t>Busy / Total</t>
  </si>
  <si>
    <t>app_protect</t>
  </si>
  <si>
    <t>Application protected</t>
  </si>
  <si>
    <t>per_send_sms_title</t>
  </si>
  <si>
    <t>Can send SMS</t>
  </si>
  <si>
    <t>app_name</t>
  </si>
  <si>
    <t>Smart File Manager</t>
  </si>
  <si>
    <t>answer</t>
  </si>
  <si>
    <t>Answer:</t>
  </si>
  <si>
    <t>use_save_battery</t>
  </si>
  <si>
    <t>Use battery save</t>
  </si>
  <si>
    <t>just_now_time</t>
  </si>
  <si>
    <t>just now</t>
  </si>
  <si>
    <t>other_app</t>
  </si>
  <si>
    <t>Other Application</t>
  </si>
  <si>
    <t>grant_now</t>
  </si>
  <si>
    <t>Grant now</t>
  </si>
  <si>
    <t>per_record_audio_title</t>
  </si>
  <si>
    <t>Can record audio</t>
  </si>
  <si>
    <t>general_settings</t>
  </si>
  <si>
    <t>General Settings</t>
  </si>
  <si>
    <t>select_game_to_boost</t>
  </si>
  <si>
    <t>Select game to accelerate</t>
  </si>
  <si>
    <t>accessibility_setting_permission</t>
  </si>
  <si>
    <t>Grant permission to use accessibility service</t>
  </si>
  <si>
    <t>search_applications</t>
  </si>
  <si>
    <t>Search Apps…</t>
  </si>
  <si>
    <t>hide_pattern</t>
  </si>
  <si>
    <t>Hide pattern</t>
  </si>
  <si>
    <t>per_call_phone_des</t>
  </si>
  <si>
    <t>This app can initiate a phone call without going through the Dialer user interface for the user to confirm the call. This can add charges to data plan and is a HIGH privacy risk.</t>
  </si>
  <si>
    <t>every_day</t>
  </si>
  <si>
    <t>Every day</t>
  </si>
  <si>
    <t>per_read_phone_title</t>
  </si>
  <si>
    <t>Phone data shared</t>
  </si>
  <si>
    <t>subject_feedback</t>
  </si>
  <si>
    <t>Feedback</t>
  </si>
  <si>
    <t>smart_charge_description</t>
  </si>
  <si>
    <t>More flexible settings charging</t>
  </si>
  <si>
    <t>app_install</t>
  </si>
  <si>
    <t>App install</t>
  </si>
  <si>
    <t>paywall_no_ads</t>
  </si>
  <si>
    <t>No Ads</t>
  </si>
  <si>
    <t>analyzing_battery_usage</t>
  </si>
  <si>
    <t>Analyzing Battery Usage</t>
  </si>
  <si>
    <t>write_setting_per</t>
  </si>
  <si>
    <t>write setting permission</t>
  </si>
  <si>
    <t>never_reminder</t>
  </si>
  <si>
    <t>Never remind</t>
  </si>
  <si>
    <t>dectect_apk_uninstall</t>
  </si>
  <si>
    <t>Detected 1 apk installed</t>
  </si>
  <si>
    <t>empty</t>
  </si>
  <si>
    <t/>
  </si>
  <si>
    <t>per_camera_des</t>
  </si>
  <si>
    <t>This application can access the camera device and is a risk for your privacy.</t>
  </si>
  <si>
    <t>turn_on</t>
  </si>
  <si>
    <t>Turn on now</t>
  </si>
  <si>
    <t>per_record_audio_des</t>
  </si>
  <si>
    <t>This application can record audio and is a risk for your privacy.</t>
  </si>
  <si>
    <t>usage_access_permission</t>
  </si>
  <si>
    <t>usage Access permission</t>
  </si>
  <si>
    <t>downloader_files</t>
  </si>
  <si>
    <t>Downloaded Files</t>
  </si>
  <si>
    <t>uninstall_description</t>
  </si>
  <si>
    <t>Select the application to uninstall</t>
  </si>
  <si>
    <t>permission_needed</t>
  </si>
  <si>
    <t>Permission Needed</t>
  </si>
  <si>
    <t>social_app</t>
  </si>
  <si>
    <t>Social network application</t>
  </si>
  <si>
    <t>clean_notifi</t>
  </si>
  <si>
    <t>Clean Notification</t>
  </si>
  <si>
    <t>minute_ago</t>
  </si>
  <si>
    <t xml:space="preserve"> 888  minute ago</t>
  </si>
  <si>
    <t>listen_notification_permission</t>
  </si>
  <si>
    <t>Grant permission to listen to device notifications</t>
  </si>
  <si>
    <t>per_read_sms_title</t>
  </si>
  <si>
    <t>Can read your SMS</t>
  </si>
  <si>
    <t>resolve_all</t>
  </si>
  <si>
    <t>Resolve now</t>
  </si>
  <si>
    <t>boosting</t>
  </si>
  <si>
    <t>Boosting...</t>
  </si>
  <si>
    <t>paywall_main_text</t>
  </si>
  <si>
    <t>Become Premium</t>
  </si>
  <si>
    <t>security_and_privacy</t>
  </si>
  <si>
    <t>Security &amp; Privacy</t>
  </si>
  <si>
    <t>lockscreen_access_pattern_detected</t>
  </si>
  <si>
    <t>Pattern has been saved</t>
  </si>
  <si>
    <t>no_data</t>
  </si>
  <si>
    <t>No data</t>
  </si>
  <si>
    <t>turn_off</t>
  </si>
  <si>
    <t>Turn off</t>
  </si>
  <si>
    <t>on_off</t>
  </si>
  <si>
    <t>OFF/ON</t>
  </si>
  <si>
    <t>check</t>
  </si>
  <si>
    <t>Check</t>
  </si>
  <si>
    <t>try_all</t>
  </si>
  <si>
    <t>Try All 777 Features</t>
  </si>
  <si>
    <t>toolbox_description</t>
  </si>
  <si>
    <t>Use more flexible tools</t>
  </si>
  <si>
    <t>power_saving_des</t>
  </si>
  <si>
    <t>Saves battery charge by closing applications that consume of energy</t>
  </si>
  <si>
    <t>app_virus_content</t>
  </si>
  <si>
    <t>Check out apps that have permissions may harm your device</t>
  </si>
  <si>
    <t>paywall_header</t>
  </si>
  <si>
    <t>Subscribe</t>
  </si>
  <si>
    <t>remind_me_when_cpu</t>
  </si>
  <si>
    <t>Remind me when CPU overheating</t>
  </si>
  <si>
    <t>settings_description</t>
  </si>
  <si>
    <t>More flexible settings</t>
  </si>
  <si>
    <t>battery_low</t>
  </si>
  <si>
    <t>Battery low</t>
  </si>
  <si>
    <t>feedback_tint</t>
  </si>
  <si>
    <t>Please feel free to express your displeasure. If the opinion is adopted, there will be a big prize (required)</t>
  </si>
  <si>
    <t>app_background_task</t>
  </si>
  <si>
    <t>This app background task</t>
  </si>
  <si>
    <t>password_gestrue_tips</t>
  </si>
  <si>
    <t>Draw pattern to unlock</t>
  </si>
  <si>
    <t>per_send_sms_des</t>
  </si>
  <si>
    <t>This application can send SMS. This can add charges to data plan and is a HIGH privacy risk.</t>
  </si>
  <si>
    <t>paywall_uncompleted</t>
  </si>
  <si>
    <t>Uncompleted</t>
  </si>
  <si>
    <t>security_settings</t>
  </si>
  <si>
    <t>App Secure Settings</t>
  </si>
  <si>
    <t>app_dangerous_content</t>
  </si>
  <si>
    <t>Check out apps that have permissions that may harm your device</t>
  </si>
  <si>
    <t>accessibility_permission</t>
  </si>
  <si>
    <t>accessibility permission</t>
  </si>
  <si>
    <t>remind_charger</t>
  </si>
  <si>
    <t>• Real time reminder to help you avoid overcharging</t>
  </si>
  <si>
    <t>cpu_cooler_des</t>
  </si>
  <si>
    <t>Professional cooling mode lowers the phone\'s CPU temperature</t>
  </si>
  <si>
    <t>paywall_early_access</t>
  </si>
  <si>
    <t>Early access to all new features and improvements</t>
  </si>
  <si>
    <t>Notificationbarcleanup_Guide1</t>
  </si>
  <si>
    <t>Sort out spam notifications and clear them in one tap</t>
  </si>
  <si>
    <t>conduct_scan_virus</t>
  </si>
  <si>
    <t>Conduct a virus scan</t>
  </si>
  <si>
    <t>privacy_policy_himself</t>
  </si>
  <si>
    <t>Privacy Policy</t>
  </si>
  <si>
    <t>paywall_continuous_improvement</t>
  </si>
  <si>
    <t>Continuous Improvement</t>
  </si>
  <si>
    <t>notification_setting</t>
  </si>
  <si>
    <t>Notification Settings</t>
  </si>
  <si>
    <t>power_saver_description</t>
  </si>
  <si>
    <t>Saves battery charge by closing applications</t>
  </si>
  <si>
    <t>dangerous_apps</t>
  </si>
  <si>
    <t>App Dangerous</t>
  </si>
  <si>
    <t>paywall_priority_user_support</t>
  </si>
  <si>
    <t>Priority user support</t>
  </si>
  <si>
    <t>optimize_now</t>
  </si>
  <si>
    <t>Optimize now</t>
  </si>
  <si>
    <t>fast_charger_boosted_result</t>
  </si>
  <si>
    <t>Fast charging boosted</t>
  </si>
  <si>
    <t>game_booster_description</t>
  </si>
  <si>
    <t>Play games faster by increasing your memory speed</t>
  </si>
  <si>
    <t>ignore</t>
  </si>
  <si>
    <t>Ignore</t>
  </si>
  <si>
    <t>cooling_completed</t>
  </si>
  <si>
    <t>Cooling completed!</t>
  </si>
  <si>
    <t>cpu_cooler</t>
  </si>
  <si>
    <t>CPU Cooler</t>
  </si>
  <si>
    <t>app_virus_contain</t>
  </si>
  <si>
    <t>This application contains virus</t>
  </si>
  <si>
    <t>while_list</t>
  </si>
  <si>
    <t>While list scan</t>
  </si>
  <si>
    <t>answer_blank</t>
  </si>
  <si>
    <t>Answer can not blank</t>
  </si>
  <si>
    <t>per_call_phone_title</t>
  </si>
  <si>
    <t>Can make calls</t>
  </si>
  <si>
    <t>app_lock_des</t>
  </si>
  <si>
    <t>Protect your desired apps from intruders with a pattern lock or unlock code</t>
  </si>
  <si>
    <t>conduct_cleanup</t>
  </si>
  <si>
    <t>Conduct a cleanup</t>
  </si>
  <si>
    <t>boosting_completed</t>
  </si>
  <si>
    <t>Boosting completed!</t>
  </si>
  <si>
    <t>app_uninstall_des</t>
  </si>
  <si>
    <t>Rapidly uninstall useless apps</t>
  </si>
  <si>
    <t>grant_app_permission</t>
  </si>
  <si>
    <t>Grant access to the external storage memory in the device</t>
  </si>
  <si>
    <t>per_access_location_title</t>
  </si>
  <si>
    <t>Location shared</t>
  </si>
  <si>
    <t>ram_going_full</t>
  </si>
  <si>
    <t>RAM is going to be full</t>
  </si>
  <si>
    <t>power_saving</t>
  </si>
  <si>
    <t>Power Saving</t>
  </si>
  <si>
    <t>note_turn_off_notifi</t>
  </si>
  <si>
    <t>In some devices  888  will NOT be stable if notification toggle is turned off.</t>
  </si>
  <si>
    <t>deep_clean_result</t>
  </si>
  <si>
    <t>Finished!</t>
  </si>
  <si>
    <t>brightness</t>
  </si>
  <si>
    <t>Brightness</t>
  </si>
  <si>
    <t>contact_method</t>
  </si>
  <si>
    <t>Contact method: QQ/Cellphone (required)</t>
  </si>
  <si>
    <t>link_store_more_app</t>
  </si>
  <si>
    <t>https://play.google.com/store/apps/developer?id=your+store</t>
  </si>
  <si>
    <t>system_apps</t>
  </si>
  <si>
    <t>System Apps</t>
  </si>
  <si>
    <t>privacy_policy</t>
  </si>
  <si>
    <t>By continuing, you agree to the Privacy Policy</t>
  </si>
  <si>
    <t>app_not_exist</t>
  </si>
  <si>
    <t>Application not exist</t>
  </si>
  <si>
    <t>use_junk_file</t>
  </si>
  <si>
    <t>Use function Junk file to clean</t>
  </si>
  <si>
    <t>cpu_description</t>
  </si>
  <si>
    <t>Reduce device temperature to save battery</t>
  </si>
  <si>
    <t>create_pattern_lock</t>
  </si>
  <si>
    <t>Create graphic key for app lock</t>
  </si>
  <si>
    <t>skip_all</t>
  </si>
  <si>
    <t>Skip all</t>
  </si>
  <si>
    <t>phone_boost_reminder</t>
  </si>
  <si>
    <t>Phone Boost Reminder</t>
  </si>
  <si>
    <t>phone_boost_description</t>
  </si>
  <si>
    <t>Improve performance, free up memory</t>
  </si>
  <si>
    <t>select_app</t>
  </si>
  <si>
    <t>Select the application to protect</t>
  </si>
  <si>
    <t>feedback</t>
  </si>
  <si>
    <t>app_lock</t>
  </si>
  <si>
    <t>App Lock</t>
  </si>
  <si>
    <t>forgot_gesture</t>
  </si>
  <si>
    <t>Forgot Gesture</t>
  </si>
  <si>
    <t>battery_draining_app</t>
  </si>
  <si>
    <t>Battery - Draining Apps</t>
  </si>
  <si>
    <t>hide_notification_all</t>
  </si>
  <si>
    <t>Disable notifications when playing games</t>
  </si>
  <si>
    <t>text_splash_screen</t>
  </si>
  <si>
    <t>Light, Fast and Smart</t>
  </si>
  <si>
    <t>lock_recording_intro_header</t>
  </si>
  <si>
    <t>Set the App\'s unlock pattern</t>
  </si>
  <si>
    <t>content_permission_1</t>
  </si>
  <si>
    <t>Please grant Accessibility to close following auto start apps. Acceleration could be increased by 50%</t>
  </si>
  <si>
    <t>accessibility_service_description</t>
  </si>
  <si>
    <t xml:space="preserve">Tap on top right use to Accessiblility service.
        This will allow Super Cleaner to:
        - Deep clean hidden junk
        - Hibernate draining apps
        You will have to accept Android system warinings when enabling Accessibility service. Clean master will not use these for any orther purpose than listed here.
    </t>
  </si>
  <si>
    <t>overlay_permission</t>
  </si>
  <si>
    <t>Grant permission to display on other applications</t>
  </si>
  <si>
    <t>smart_charge</t>
  </si>
  <si>
    <t>Smart Charge</t>
  </si>
  <si>
    <t>wifi</t>
  </si>
  <si>
    <t>Wi-Fi</t>
  </si>
  <si>
    <t>auto_optimized</t>
  </si>
  <si>
    <t>Automatically optimized</t>
  </si>
  <si>
    <t>app_uninstall</t>
  </si>
  <si>
    <t>Uninstall App</t>
  </si>
  <si>
    <t>paywall_vip_support</t>
  </si>
  <si>
    <t>Vip Support</t>
  </si>
  <si>
    <t>paywall_free_trial</t>
  </si>
  <si>
    <t>Start your 7 day free trial then $9.99 per month</t>
  </si>
  <si>
    <t>search_application</t>
  </si>
  <si>
    <t>Search Apps</t>
  </si>
  <si>
    <t>Calculating</t>
  </si>
  <si>
    <t>Calculating....</t>
  </si>
  <si>
    <t>start_use</t>
  </si>
  <si>
    <t>Start using</t>
  </si>
  <si>
    <t>change_the_password</t>
  </si>
  <si>
    <t>Change the pattern</t>
  </si>
  <si>
    <t>deep_clean</t>
  </si>
  <si>
    <t>Deep clean</t>
  </si>
  <si>
    <t>lock_pattern_confirmed_header</t>
  </si>
  <si>
    <t>Confirmed Pattern</t>
  </si>
  <si>
    <t>per_camera_title</t>
  </si>
  <si>
    <t>Can access camera</t>
  </si>
  <si>
    <t>cooling</t>
  </si>
  <si>
    <t>Cooling...</t>
  </si>
  <si>
    <t>reset</t>
  </si>
  <si>
    <t>Reset</t>
  </si>
  <si>
    <t>personal_description</t>
  </si>
  <si>
    <t>Protect your phone</t>
  </si>
  <si>
    <t>ready_boost</t>
  </si>
  <si>
    <t>Ready accelerate</t>
  </si>
  <si>
    <t>scan_virus</t>
  </si>
  <si>
    <t>Scan virus .....</t>
  </si>
  <si>
    <t>paywall_start_now</t>
  </si>
  <si>
    <t>Start now</t>
  </si>
  <si>
    <t>lockscreen_access_pattern_cleared</t>
  </si>
  <si>
    <t>Pattern has been deleted</t>
  </si>
  <si>
    <t>clean_result</t>
  </si>
  <si>
    <t>Finished! Cleaned!</t>
  </si>
  <si>
    <t>clean_up</t>
  </si>
  <si>
    <t>Clean up</t>
  </si>
  <si>
    <t>save</t>
  </si>
  <si>
    <t>Save</t>
  </si>
  <si>
    <t>skip</t>
  </si>
  <si>
    <t>Skip</t>
  </si>
  <si>
    <t>result_cooler</t>
  </si>
  <si>
    <t>Excellent! Successfully cooled down.</t>
  </si>
  <si>
    <t>deep_clean_des</t>
  </si>
  <si>
    <t>Clean up files more deeply to release more space</t>
  </si>
  <si>
    <t>start_at</t>
  </si>
  <si>
    <t>Start at</t>
  </si>
  <si>
    <t>cleaning_completed</t>
  </si>
  <si>
    <t>Cleaning completed!</t>
  </si>
  <si>
    <t>cooled_cpu</t>
  </si>
  <si>
    <t>Cooled CPU to 10°С...</t>
  </si>
  <si>
    <t>per_read_sms_des</t>
  </si>
  <si>
    <t>This application can read your private SMS and is a risk for your privacy.</t>
  </si>
  <si>
    <t>create_home_shortcut</t>
  </si>
  <si>
    <t>Create home screen shortcut</t>
  </si>
  <si>
    <t>smart_charger_can_help</t>
  </si>
  <si>
    <t>Smart charger help you</t>
  </si>
  <si>
    <t>large_files</t>
  </si>
  <si>
    <t>Large Files</t>
  </si>
  <si>
    <t>title_tool</t>
  </si>
  <si>
    <t>Toolbox</t>
  </si>
  <si>
    <t>has_protected_your_phone</t>
  </si>
  <si>
    <t xml:space="preserve"> 888  has protected your phone  888  day(s)</t>
  </si>
  <si>
    <t>create_password</t>
  </si>
  <si>
    <t>Create Password</t>
  </si>
  <si>
    <t>notification_toggle</t>
  </si>
  <si>
    <t>Notification</t>
  </si>
  <si>
    <t>welcome_to_the_app_lock</t>
  </si>
  <si>
    <t>Welcome to the App lock</t>
  </si>
  <si>
    <t>share</t>
  </si>
  <si>
    <t>Share</t>
  </si>
  <si>
    <t>ignore_list</t>
  </si>
  <si>
    <t>Ignore List</t>
  </si>
  <si>
    <t>protect</t>
  </si>
  <si>
    <t>Protect</t>
  </si>
  <si>
    <t>scaning_cpu</t>
  </si>
  <si>
    <t>Scanning CPU ...</t>
  </si>
  <si>
    <t>app_runing_background</t>
  </si>
  <si>
    <t>App is running in background</t>
  </si>
  <si>
    <t>delete_the_apk</t>
  </si>
  <si>
    <t>Delete the APK file after app installed</t>
  </si>
  <si>
    <t>lockscreen_access_pattern_start</t>
  </si>
  <si>
    <t>Draw unlock pattern</t>
  </si>
  <si>
    <t>scan_analyzing_cpu</t>
  </si>
  <si>
    <t>Analyzing the CPU...</t>
  </si>
  <si>
    <t>deep_boost</t>
  </si>
  <si>
    <t>Deep save</t>
  </si>
  <si>
    <t>do_not_disturb</t>
  </si>
  <si>
    <t>Disable Notification Panel</t>
  </si>
  <si>
    <t>junk_reminder</t>
  </si>
  <si>
    <t>Junk Reminder Frequency</t>
  </si>
  <si>
    <t>off</t>
  </si>
  <si>
    <t>Off</t>
  </si>
  <si>
    <t>scan_analyzing_power_usage</t>
  </si>
  <si>
    <t>Analyzing power usage...</t>
  </si>
  <si>
    <t>save_now</t>
  </si>
  <si>
    <t>Save now</t>
  </si>
  <si>
    <t>app_safe</t>
  </si>
  <si>
    <t>This application is safe</t>
  </si>
  <si>
    <t>secretly_consuming_battery</t>
  </si>
  <si>
    <t>rate_app</t>
  </si>
  <si>
    <t>Rate App</t>
  </si>
  <si>
    <t>per_outgoing_call_title</t>
  </si>
  <si>
    <t>Can control outgoing calls</t>
  </si>
  <si>
    <t>deleting</t>
  </si>
  <si>
    <t>Deleting, please wait ....</t>
  </si>
  <si>
    <t>op_clean</t>
  </si>
  <si>
    <t>Clean now</t>
  </si>
  <si>
    <t>dectect_apk_install</t>
  </si>
  <si>
    <t>used_total_formatted</t>
  </si>
  <si>
    <t>{0} GB / {1} GB</t>
  </si>
  <si>
    <t>list_app_skip</t>
  </si>
  <si>
    <t>List Ignore</t>
  </si>
  <si>
    <t>cool_down</t>
  </si>
  <si>
    <t>Cool down</t>
  </si>
  <si>
    <t>paywall_privacy_policy</t>
  </si>
  <si>
    <t>phone_is_hot</t>
  </si>
  <si>
    <t>Phone is hot</t>
  </si>
  <si>
    <t>date</t>
  </si>
  <si>
    <t xml:space="preserve">Date :  888 </t>
  </si>
  <si>
    <t>data_manager</t>
  </si>
  <si>
    <t>Data manager</t>
  </si>
  <si>
    <t>auto</t>
  </si>
  <si>
    <t>Auto</t>
  </si>
  <si>
    <t>clean_and_boost</t>
  </si>
  <si>
    <t>Clean &amp; Boost</t>
  </si>
  <si>
    <t>app_dangerous</t>
  </si>
  <si>
    <t xml:space="preserve"> 888  Threat</t>
  </si>
  <si>
    <t>vibrate</t>
  </si>
  <si>
    <t>Vibration</t>
  </si>
  <si>
    <t>security_threats</t>
  </si>
  <si>
    <t>Security threats</t>
  </si>
  <si>
    <t>user_app</t>
  </si>
  <si>
    <t>User App</t>
  </si>
  <si>
    <t>notification</t>
  </si>
  <si>
    <t>lock_need_to_confirm</t>
  </si>
  <si>
    <t>Draw the pattern again to confirm</t>
  </si>
  <si>
    <t>every_7days</t>
  </si>
  <si>
    <t>Every 7 days</t>
  </si>
  <si>
    <t>optimize</t>
  </si>
  <si>
    <t>Optimize</t>
  </si>
  <si>
    <t>mb</t>
  </si>
  <si>
    <t>MB</t>
  </si>
  <si>
    <t>game_booster</t>
  </si>
  <si>
    <t>Game Booster</t>
  </si>
  <si>
    <t>skip_app_title</t>
  </si>
  <si>
    <t>The selected applications will not be cancelled during the cleanup</t>
  </si>
  <si>
    <t>scan_antivirus</t>
  </si>
  <si>
    <t>Analyzing for apps that can harm...</t>
  </si>
  <si>
    <t>remove_app_unstall</t>
  </si>
  <si>
    <t>removed, found redundant, deleted files to free up more space.</t>
  </si>
  <si>
    <t>protect_description</t>
  </si>
  <si>
    <t>More flexible settings to protect</t>
  </si>
  <si>
    <t>write_setting_permission</t>
  </si>
  <si>
    <t>"Grant permission to change device settings</t>
  </si>
  <si>
    <t>every_3days</t>
  </si>
  <si>
    <t>Every 3 days</t>
  </si>
  <si>
    <t>notification_manager_description</t>
  </si>
  <si>
    <t>Ignore unnecessary notifications</t>
  </si>
  <si>
    <t>settings</t>
  </si>
  <si>
    <t>Settings</t>
  </si>
  <si>
    <t>scaning</t>
  </si>
  <si>
    <t>Scanning……</t>
  </si>
  <si>
    <t>paywall_phone_cleaning_without_ads</t>
  </si>
  <si>
    <t>Phone cleaning without advertising</t>
  </si>
  <si>
    <t>further_optimize_cpu</t>
  </si>
  <si>
    <t>To further optimize your CPU</t>
  </si>
  <si>
    <t>optimizing_completed</t>
  </si>
  <si>
    <t>Optimizing completed!</t>
  </si>
  <si>
    <t>external_storage_permission</t>
  </si>
  <si>
    <t>_1_minute</t>
  </si>
  <si>
    <t>1 minute</t>
  </si>
  <si>
    <t>protect_now</t>
  </si>
  <si>
    <t>Protect now</t>
  </si>
  <si>
    <t>answer_question_error</t>
  </si>
  <si>
    <t>Security answer question error</t>
  </si>
  <si>
    <t>issues_found</t>
  </si>
  <si>
    <t>paywall_week</t>
  </si>
  <si>
    <t xml:space="preserve"> 888 /Week</t>
  </si>
  <si>
    <t>safe</t>
  </si>
  <si>
    <t>Safe! Threats eliminated!</t>
  </si>
  <si>
    <t>cpu_heating_app</t>
  </si>
  <si>
    <t>CPU - Heating Apps</t>
  </si>
  <si>
    <t>use_phone_boost</t>
  </si>
  <si>
    <t>Use Phone Boost to free up space</t>
  </si>
  <si>
    <t>boost_result</t>
  </si>
  <si>
    <t>Done! Boosted!</t>
  </si>
  <si>
    <t>note</t>
  </si>
  <si>
    <t>Note</t>
  </si>
  <si>
    <t>game</t>
  </si>
  <si>
    <t>Game</t>
  </si>
  <si>
    <t>no_junk</t>
  </si>
  <si>
    <t>No junk file found</t>
  </si>
  <si>
    <t>notification_manager</t>
  </si>
  <si>
    <t>Notification Manager</t>
  </si>
  <si>
    <t>obsolete_apk</t>
  </si>
  <si>
    <t>Useless APKs</t>
  </si>
  <si>
    <t>power_full</t>
  </si>
  <si>
    <t>Battery is full</t>
  </si>
  <si>
    <t>percent</t>
  </si>
  <si>
    <t>%</t>
  </si>
  <si>
    <t>rom</t>
  </si>
  <si>
    <t>ROM</t>
  </si>
  <si>
    <t>security</t>
  </si>
  <si>
    <t>App Secure</t>
  </si>
  <si>
    <t>notification_manager_result</t>
  </si>
  <si>
    <t>ok</t>
  </si>
  <si>
    <t>OK</t>
  </si>
  <si>
    <t>per_outgoing_call_des</t>
  </si>
  <si>
    <t>This app can see the number being dialed during an outgoing call with the option to redirect the call to a different number or abort the call altogether. This can add charges to data plan and is a HIGH privacy risk.</t>
  </si>
  <si>
    <t>antivirus_settings</t>
  </si>
  <si>
    <t>on</t>
  </si>
  <si>
    <t>On</t>
  </si>
  <si>
    <t>feedback_text_button</t>
  </si>
  <si>
    <t>Submit feedback</t>
  </si>
  <si>
    <t>cleaning</t>
  </si>
  <si>
    <t>Cleaning...</t>
  </si>
  <si>
    <t>input_your_answer</t>
  </si>
  <si>
    <t>Input your answer</t>
  </si>
  <si>
    <t>subscribe</t>
  </si>
  <si>
    <t>safety_scanning</t>
  </si>
  <si>
    <t>Safety Scanning</t>
  </si>
  <si>
    <t>listener_notification_per</t>
  </si>
  <si>
    <t>listen notification permission</t>
  </si>
  <si>
    <t>spam_notification</t>
  </si>
  <si>
    <t>Notification spam:</t>
  </si>
  <si>
    <t>clean</t>
  </si>
  <si>
    <t>Clean</t>
  </si>
  <si>
    <t>lock_settings</t>
  </si>
  <si>
    <t>Lock Settings</t>
  </si>
  <si>
    <t>cpu_cooler_reminder</t>
  </si>
  <si>
    <t>CPU Cooler Reminder</t>
  </si>
  <si>
    <t>system_cache</t>
  </si>
  <si>
    <t>System Cache</t>
  </si>
  <si>
    <t>password_answer_set_toast</t>
  </si>
  <si>
    <t>Security Question and Answer have been set.</t>
  </si>
  <si>
    <t>bluetooth</t>
  </si>
  <si>
    <t>Bluetooth</t>
  </si>
  <si>
    <t>battery_saver</t>
  </si>
  <si>
    <t>Battery Saver</t>
  </si>
  <si>
    <t>junk_reminder_frequency</t>
  </si>
  <si>
    <t>list_game</t>
  </si>
  <si>
    <t>Game list</t>
  </si>
  <si>
    <t>intruder_selfie</t>
  </si>
  <si>
    <t>Intruder Selfie</t>
  </si>
  <si>
    <t>remind_when_memory</t>
  </si>
  <si>
    <t>Remind when memory overusing</t>
  </si>
  <si>
    <t>lock_immediately_after_locking_the_screen</t>
  </si>
  <si>
    <t>Lock app immediately</t>
  </si>
  <si>
    <t>request_permission</t>
  </si>
  <si>
    <t>Permission request</t>
  </si>
  <si>
    <t>real_time_protection</t>
  </si>
  <si>
    <t>Real-time Protection</t>
  </si>
  <si>
    <t>charging_finished</t>
  </si>
  <si>
    <t>Charging finished</t>
  </si>
  <si>
    <t>paywall_year</t>
  </si>
  <si>
    <t xml:space="preserve"> 888 /Year</t>
  </si>
  <si>
    <t>antivirus_des</t>
  </si>
  <si>
    <t>Check apps on your device for threats and eliminate them safely</t>
  </si>
  <si>
    <t>per_read_phone_des</t>
  </si>
  <si>
    <t>This app collects and sends SIM card details, including address book, mobile PIN, and call history. This can add charges to data plan and is a HIGH privacy risk.</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</si>
</sst>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Arial"/>
    </font>
    <font>
      <color theme="1"/>
      <name val="Calibri"/>
    </font>
    <font>
      <sz val="11.0"/>
      <color rgb="FF202122"/>
      <name val="Sans-serif"/>
    </font>
    <font>
      <sz val="11.0"/>
      <color rgb="FF202122"/>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3" numFmtId="0" xfId="0" applyAlignment="1" applyFont="1">
      <alignment readingOrder="0"/>
    </xf>
    <xf borderId="0" fillId="0" fontId="1"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6.0"/>
    <col customWidth="1" min="3" max="26" width="7.63"/>
  </cols>
  <sheetData>
    <row r="1">
      <c r="C1" s="1" t="s">
        <v>0</v>
      </c>
      <c r="D1" s="1" t="s">
        <v>1</v>
      </c>
      <c r="E1" s="2" t="s">
        <v>2</v>
      </c>
      <c r="F1" s="2" t="s">
        <v>3</v>
      </c>
      <c r="G1" s="1" t="s">
        <v>4</v>
      </c>
      <c r="H1" s="2" t="s">
        <v>5</v>
      </c>
      <c r="I1" s="2" t="s">
        <v>6</v>
      </c>
      <c r="J1" s="2" t="s">
        <v>7</v>
      </c>
      <c r="K1" s="2" t="s">
        <v>8</v>
      </c>
      <c r="L1" s="3" t="s">
        <v>9</v>
      </c>
      <c r="M1" s="2" t="s">
        <v>10</v>
      </c>
      <c r="N1" s="2" t="s">
        <v>11</v>
      </c>
      <c r="O1" s="2" t="s">
        <v>12</v>
      </c>
      <c r="P1" s="2" t="s">
        <v>13</v>
      </c>
      <c r="Q1" s="2" t="s">
        <v>14</v>
      </c>
      <c r="R1" s="2" t="s">
        <v>15</v>
      </c>
      <c r="S1" s="2" t="s">
        <v>16</v>
      </c>
    </row>
    <row r="2">
      <c r="A2" s="4" t="s">
        <v>17</v>
      </c>
      <c r="B2" s="4" t="s">
        <v>18</v>
      </c>
      <c r="C2" s="4" t="str">
        <f>IFERROR(__xludf.DUMMYFUNCTION("GOOGLETRANSLATE(B2, ""en"", ""es"")"),"Recuerde el estado de carga para evitar sobrecargar y monitorear el nivel de la batería")</f>
        <v>Recuerde el estado de carga para evitar sobrecargar y monitorear el nivel de la batería</v>
      </c>
      <c r="D2" s="4" t="str">
        <f>IFERROR(__xludf.DUMMYFUNCTION("GOOGLETRANSLATE(B2, ""en"", ""pt"")"),"Lembre o status de carregamento para evitar sobrecarga e monitorar o nível da bateria")</f>
        <v>Lembre o status de carregamento para evitar sobrecarga e monitorar o nível da bateria</v>
      </c>
      <c r="E2" s="4" t="str">
        <f>IFERROR(__xludf.DUMMYFUNCTION("GOOGLETRANSLATE(B2, ""en"", ""ar"")"),"ذكر حالة الشحن لتجنب الشحن الزائد ومراقبة مستوى البطارية")</f>
        <v>ذكر حالة الشحن لتجنب الشحن الزائد ومراقبة مستوى البطارية</v>
      </c>
      <c r="F2" s="4" t="str">
        <f>IFERROR(__xludf.DUMMYFUNCTION("GOOGLETRANSLATE(B2, ""en"", ""km"")"),"រំ att កពីស្ថានភាពសាកថ្មដើម្បីចៀសវាងការចំណាយហួសកំរិតនិងតាមដានកម្រិតថ្ម")</f>
        <v>រំ att កពីស្ថានភាពសាកថ្មដើម្បីចៀសវាងការចំណាយហួសកំរិតនិងតាមដានកម្រិតថ្ម</v>
      </c>
      <c r="G2" s="4" t="str">
        <f>IFERROR(__xludf.DUMMYFUNCTION("GOOGLETRANSLATE(B2, ""en"", ""fr"")"),"Rappelez le statut de charge d'éviter de surcharger et de surveiller le niveau de la batterie")</f>
        <v>Rappelez le statut de charge d'éviter de surcharger et de surveiller le niveau de la batterie</v>
      </c>
      <c r="H2" s="4" t="str">
        <f>IFERROR(__xludf.DUMMYFUNCTION("GOOGLETRANSLATE(B2, ""en"", ""ro"")"),"Reamintește starea de încărcare pentru a evita supraîncărcarea și monitorizarea nivelului bateriei")</f>
        <v>Reamintește starea de încărcare pentru a evita supraîncărcarea și monitorizarea nivelului bateriei</v>
      </c>
      <c r="I2" s="4" t="str">
        <f>IFERROR(__xludf.DUMMYFUNCTION("GOOGLETRANSLATE(B2, ""en"", ""my"")"),"အားသွင်းခြင်းနှင့်ဘက်ထရီအဆင့်ကိုမွမ်းမံခြင်းနှင့်စောင့်ကြည့်ခြင်းမှရှောင်ရှားရန်အားသွင်းအခြေအနေကိုသတိပေးပါ")</f>
        <v>အားသွင်းခြင်းနှင့်ဘက်ထရီအဆင့်ကိုမွမ်းမံခြင်းနှင့်စောင့်ကြည့်ခြင်းမှရှောင်ရှားရန်အားသွင်းအခြေအနေကိုသတိပေးပါ</v>
      </c>
      <c r="J2" s="4" t="str">
        <f>IFERROR(__xludf.DUMMYFUNCTION("GOOGLETRANSLATE(B2, ""en"", ""sw"")"),"Kukumbusha hali ya malipo ili kuepuka overcharging na kufuatilia kiwango cha betri")</f>
        <v>Kukumbusha hali ya malipo ili kuepuka overcharging na kufuatilia kiwango cha betri</v>
      </c>
      <c r="K2" s="4" t="str">
        <f>IFERROR(__xludf.DUMMYFUNCTION("GOOGLETRANSLATE(B2, ""en"", ""th"")"),"เตือนสถานะการชาร์จเพื่อหลีกเลี่ยงการชาร์จมากเกินไปและตรวจสอบระดับแบตเตอรี่")</f>
        <v>เตือนสถานะการชาร์จเพื่อหลีกเลี่ยงการชาร์จมากเกินไปและตรวจสอบระดับแบตเตอรี่</v>
      </c>
      <c r="L2" s="4" t="str">
        <f>IFERROR(__xludf.DUMMYFUNCTION("GOOGLETRANSLATE(B2, ""en"", ""si"")"),"බැටරි මට්ටම ඉක්මවා ගොස් අධීක්ෂණය නොකිරීමට අයකිරීමේ තත්ත්වය මතක් කරන්න")</f>
        <v>බැටරි මට්ටම ඉක්මවා ගොස් අධීක්ෂණය නොකිරීමට අයකිරීමේ තත්ත්වය මතක් කරන්න</v>
      </c>
      <c r="M2" s="4" t="str">
        <f>IFERROR(__xludf.DUMMYFUNCTION("GOOGLETRANSLATE(B2, ""en"", ""vi"")"),"Nhắc nhở trạng thái sạc để tránh quá mức và theo dõi mức pin")</f>
        <v>Nhắc nhở trạng thái sạc để tránh quá mức và theo dõi mức pin</v>
      </c>
      <c r="N2" s="4" t="str">
        <f>IFERROR(__xludf.DUMMYFUNCTION("GOOGLETRANSLATE(B2, ""en"", ""ne"")"),"ब्याकर्जिंगबाट बच्न र ब्याट्री स्तरलाई हटाउन चार्ज गर्ने स्थिति सम्झाउँदछ")</f>
        <v>ब्याकर्जिंगबाट बच्न र ब्याट्री स्तरलाई हटाउन चार्ज गर्ने स्थिति सम्झाउँदछ</v>
      </c>
      <c r="O2" s="4" t="str">
        <f>IFERROR(__xludf.DUMMYFUNCTION("GOOGLETRANSLATE(B2, ""en"", ""de"")"),"Erinnern Sie den Ladezustand, um Überladen zu vermeiden und den Akkuladel zu überwachen")</f>
        <v>Erinnern Sie den Ladezustand, um Überladen zu vermeiden und den Akkuladel zu überwachen</v>
      </c>
      <c r="P2" s="4" t="str">
        <f>IFERROR(__xludf.DUMMYFUNCTION("GOOGLETRANSLATE(B2, ""en"", ""he"")"),"הזכר את מצב הטעינה כדי למנוע overcharging ולפקח על רמת הסוללה")</f>
        <v>הזכר את מצב הטעינה כדי למנוע overcharging ולפקח על רמת הסוללה</v>
      </c>
      <c r="Q2" s="4" t="str">
        <f>IFERROR(__xludf.DUMMYFUNCTION("GOOGLETRANSLATE(B2, ""en"", ""cs"")"),"Připomeňte stav nabíjení, aby nedošlo k přebírání a sledování úrovně baterie")</f>
        <v>Připomeňte stav nabíjení, aby nedošlo k přebírání a sledování úrovně baterie</v>
      </c>
      <c r="R2" s="4" t="str">
        <f>IFERROR(__xludf.DUMMYFUNCTION("GOOGLETRANSLATE(B2, ""en"", ""it"")"),"Ricordare allo stato di ricarica per evitare il sovraccarico e monitorare il livello della batteria")</f>
        <v>Ricordare allo stato di ricarica per evitare il sovraccarico e monitorare il livello della batteria</v>
      </c>
      <c r="S2" s="4" t="str">
        <f>IFERROR(__xludf.DUMMYFUNCTION("GOOGLETRANSLATE(B2, ""en"", ""el"")"),"Υπενθυμίστε την κατάσταση φόρτισης για να αποφύγετε την υπερφόρτιση και την παρακολούθηση της στάθμης της μπαταρίας")</f>
        <v>Υπενθυμίστε την κατάσταση φόρτισης για να αποφύγετε την υπερφόρτιση και την παρακολούθηση της στάθμης της μπαταρίας</v>
      </c>
    </row>
    <row r="3">
      <c r="A3" s="4" t="s">
        <v>19</v>
      </c>
      <c r="B3" s="4" t="s">
        <v>20</v>
      </c>
      <c r="C3" s="4" t="str">
        <f>IFERROR(__xludf.DUMMYFUNCTION("GOOGLETRANSLATE(B3, ""en"", ""es"")"),"Cancelar")</f>
        <v>Cancelar</v>
      </c>
      <c r="D3" s="4" t="str">
        <f>IFERROR(__xludf.DUMMYFUNCTION("GOOGLETRANSLATE(B3, ""en"", ""pt"")"),"Cancelar")</f>
        <v>Cancelar</v>
      </c>
      <c r="E3" s="4" t="str">
        <f>IFERROR(__xludf.DUMMYFUNCTION("GOOGLETRANSLATE(B3, ""en"", ""ar"")"),"يلغي")</f>
        <v>يلغي</v>
      </c>
      <c r="F3" s="4" t="str">
        <f>IFERROR(__xludf.DUMMYFUNCTION("GOOGLETRANSLATE(B3, ""en"", ""km"")"),"លប់ចោល")</f>
        <v>លប់ចោល</v>
      </c>
      <c r="G3" s="4" t="str">
        <f>IFERROR(__xludf.DUMMYFUNCTION("GOOGLETRANSLATE(B3, ""en"", ""fr"")"),"Annuler")</f>
        <v>Annuler</v>
      </c>
      <c r="H3" s="4" t="str">
        <f>IFERROR(__xludf.DUMMYFUNCTION("GOOGLETRANSLATE(B3, ""en"", ""ro"")"),"Anulare")</f>
        <v>Anulare</v>
      </c>
      <c r="I3" s="4" t="str">
        <f>IFERROR(__xludf.DUMMYFUNCTION("GOOGLETRANSLATE(B3, ""en"", ""my"")"),"ပျက်စေ")</f>
        <v>ပျက်စေ</v>
      </c>
      <c r="J3" s="4" t="str">
        <f>IFERROR(__xludf.DUMMYFUNCTION("GOOGLETRANSLATE(B3, ""en"", ""sw"")"),"Futa.")</f>
        <v>Futa.</v>
      </c>
      <c r="K3" s="4" t="str">
        <f>IFERROR(__xludf.DUMMYFUNCTION("GOOGLETRANSLATE(B3, ""en"", ""th"")"),"ยกเลิก")</f>
        <v>ยกเลิก</v>
      </c>
      <c r="L3" s="4" t="str">
        <f>IFERROR(__xludf.DUMMYFUNCTION("GOOGLETRANSLATE(B3, ""en"", ""si"")"),"අවලංගු කරන්න")</f>
        <v>අවලංගු කරන්න</v>
      </c>
      <c r="M3" s="4" t="str">
        <f>IFERROR(__xludf.DUMMYFUNCTION("GOOGLETRANSLATE(B3, ""en"", ""vi"")"),"Hủy bỏ")</f>
        <v>Hủy bỏ</v>
      </c>
      <c r="N3" s="4" t="str">
        <f>IFERROR(__xludf.DUMMYFUNCTION("GOOGLETRANSLATE(B3, ""en"", ""ne"")"),"रद्द गर्नु")</f>
        <v>रद्द गर्नु</v>
      </c>
      <c r="O3" s="4" t="str">
        <f>IFERROR(__xludf.DUMMYFUNCTION("GOOGLETRANSLATE(B3, ""en"", ""de"")"),"Abbrechen")</f>
        <v>Abbrechen</v>
      </c>
      <c r="P3" s="4" t="str">
        <f>IFERROR(__xludf.DUMMYFUNCTION("GOOGLETRANSLATE(B3, ""en"", ""he"")"),"לְבַטֵל")</f>
        <v>לְבַטֵל</v>
      </c>
      <c r="Q3" s="4" t="str">
        <f>IFERROR(__xludf.DUMMYFUNCTION("GOOGLETRANSLATE(B3, ""en"", ""cs"")"),"zrušení")</f>
        <v>zrušení</v>
      </c>
      <c r="R3" s="4" t="str">
        <f>IFERROR(__xludf.DUMMYFUNCTION("GOOGLETRANSLATE(B3, ""en"", ""it"")"),"Annulla")</f>
        <v>Annulla</v>
      </c>
      <c r="S3" s="4" t="str">
        <f>IFERROR(__xludf.DUMMYFUNCTION("GOOGLETRANSLATE(B3, ""en"", ""el"")"),"Ματαίωση")</f>
        <v>Ματαίωση</v>
      </c>
    </row>
    <row r="4">
      <c r="A4" s="4" t="s">
        <v>21</v>
      </c>
      <c r="B4" s="4" t="s">
        <v>22</v>
      </c>
      <c r="C4" s="4" t="str">
        <f>IFERROR(__xludf.DUMMYFUNCTION("GOOGLETRANSLATE(B4, ""en"", ""es"")"),"Exceso de archivos")</f>
        <v>Exceso de archivos</v>
      </c>
      <c r="D4" s="4" t="str">
        <f>IFERROR(__xludf.DUMMYFUNCTION("GOOGLETRANSLATE(B4, ""en"", ""pt"")"),"Arquivos em excesso")</f>
        <v>Arquivos em excesso</v>
      </c>
      <c r="E4" s="4" t="str">
        <f>IFERROR(__xludf.DUMMYFUNCTION("GOOGLETRANSLATE(B4, ""en"", ""ar"")"),"الملفات الزائدة")</f>
        <v>الملفات الزائدة</v>
      </c>
      <c r="F4" s="4" t="str">
        <f>IFERROR(__xludf.DUMMYFUNCTION("GOOGLETRANSLATE(B4, ""en"", ""km"")"),"ឯកសារលើស")</f>
        <v>ឯកសារលើស</v>
      </c>
      <c r="G4" s="4" t="str">
        <f>IFERROR(__xludf.DUMMYFUNCTION("GOOGLETRANSLATE(B4, ""en"", ""fr"")"),"Excès de fichiers")</f>
        <v>Excès de fichiers</v>
      </c>
      <c r="H4" s="4" t="str">
        <f>IFERROR(__xludf.DUMMYFUNCTION("GOOGLETRANSLATE(B4, ""en"", ""ro"")"),"Excesul de fișiere")</f>
        <v>Excesul de fișiere</v>
      </c>
      <c r="I4" s="4" t="str">
        <f>IFERROR(__xludf.DUMMYFUNCTION("GOOGLETRANSLATE(B4, ""en"", ""my"")"),"ပိုလျှံဖိုင်များ")</f>
        <v>ပိုလျှံဖိုင်များ</v>
      </c>
      <c r="J4" s="4" t="str">
        <f>IFERROR(__xludf.DUMMYFUNCTION("GOOGLETRANSLATE(B4, ""en"", ""sw"")"),"Faili za ziada")</f>
        <v>Faili za ziada</v>
      </c>
      <c r="K4" s="4" t="str">
        <f>IFERROR(__xludf.DUMMYFUNCTION("GOOGLETRANSLATE(B4, ""en"", ""th"")"),"ไฟล์ส่วนเกิน")</f>
        <v>ไฟล์ส่วนเกิน</v>
      </c>
      <c r="L4" s="4" t="str">
        <f>IFERROR(__xludf.DUMMYFUNCTION("GOOGLETRANSLATE(B4, ""en"", ""si"")"),"අතිරික්ත ලිපිගොනු")</f>
        <v>අතිරික්ත ලිපිගොනු</v>
      </c>
      <c r="M4" s="4" t="str">
        <f>IFERROR(__xludf.DUMMYFUNCTION("GOOGLETRANSLATE(B4, ""en"", ""vi"")"),"Hồ sơ quá mức")</f>
        <v>Hồ sơ quá mức</v>
      </c>
      <c r="N4" s="4" t="str">
        <f>IFERROR(__xludf.DUMMYFUNCTION("GOOGLETRANSLATE(B4, ""en"", ""ne"")"),"अतिरिक्त फाईलहरू")</f>
        <v>अतिरिक्त फाईलहरू</v>
      </c>
      <c r="O4" s="4" t="str">
        <f>IFERROR(__xludf.DUMMYFUNCTION("GOOGLETRANSLATE(B4, ""en"", ""de"")"),"Überschüssige Dateien")</f>
        <v>Überschüssige Dateien</v>
      </c>
      <c r="P4" s="4" t="str">
        <f>IFERROR(__xludf.DUMMYFUNCTION("GOOGLETRANSLATE(B4, ""en"", ""he"")"),"עודף קבצים")</f>
        <v>עודף קבצים</v>
      </c>
      <c r="Q4" s="4" t="str">
        <f>IFERROR(__xludf.DUMMYFUNCTION("GOOGLETRANSLATE(B4, ""en"", ""cs"")"),"Přebytečné soubory")</f>
        <v>Přebytečné soubory</v>
      </c>
      <c r="R4" s="4" t="str">
        <f>IFERROR(__xludf.DUMMYFUNCTION("GOOGLETRANSLATE(B4, ""en"", ""it"")"),"File in eccesso")</f>
        <v>File in eccesso</v>
      </c>
      <c r="S4" s="4" t="str">
        <f>IFERROR(__xludf.DUMMYFUNCTION("GOOGLETRANSLATE(B4, ""en"", ""el"")"),"Υπερβολικά αρχεία")</f>
        <v>Υπερβολικά αρχεία</v>
      </c>
    </row>
    <row r="5">
      <c r="A5" s="4" t="s">
        <v>23</v>
      </c>
      <c r="B5" s="4" t="s">
        <v>24</v>
      </c>
      <c r="C5" s="4" t="str">
        <f>IFERROR(__xludf.DUMMYFUNCTION("GOOGLETRANSLATE(B5, ""en"", ""es"")"),"Escríbenos")</f>
        <v>Escríbenos</v>
      </c>
      <c r="D5" s="4" t="str">
        <f>IFERROR(__xludf.DUMMYFUNCTION("GOOGLETRANSLATE(B5, ""en"", ""pt"")"),"Escreva para nós")</f>
        <v>Escreva para nós</v>
      </c>
      <c r="E5" s="4" t="str">
        <f>IFERROR(__xludf.DUMMYFUNCTION("GOOGLETRANSLATE(B5, ""en"", ""ar"")"),"اكتب لنا")</f>
        <v>اكتب لنا</v>
      </c>
      <c r="F5" s="4" t="str">
        <f>IFERROR(__xludf.DUMMYFUNCTION("GOOGLETRANSLATE(B5, ""en"", ""km"")"),"សរសេរមកយើង")</f>
        <v>សរសេរមកយើង</v>
      </c>
      <c r="G5" s="4" t="str">
        <f>IFERROR(__xludf.DUMMYFUNCTION("GOOGLETRANSLATE(B5, ""en"", ""fr"")"),"Écrivez-nous")</f>
        <v>Écrivez-nous</v>
      </c>
      <c r="H5" s="4" t="str">
        <f>IFERROR(__xludf.DUMMYFUNCTION("GOOGLETRANSLATE(B5, ""en"", ""ro"")"),"Scrie-ne")</f>
        <v>Scrie-ne</v>
      </c>
      <c r="I5" s="4" t="str">
        <f>IFERROR(__xludf.DUMMYFUNCTION("GOOGLETRANSLATE(B5, ""en"", ""my"")"),"ကျွန်တော်တို့ကိုရေးပါ")</f>
        <v>ကျွန်တော်တို့ကိုရေးပါ</v>
      </c>
      <c r="J5" s="4" t="str">
        <f>IFERROR(__xludf.DUMMYFUNCTION("GOOGLETRANSLATE(B5, ""en"", ""sw"")"),"Andika kwa Marekani")</f>
        <v>Andika kwa Marekani</v>
      </c>
      <c r="K5" s="4" t="str">
        <f>IFERROR(__xludf.DUMMYFUNCTION("GOOGLETRANSLATE(B5, ""en"", ""th"")"),"เขียนถึงเรา")</f>
        <v>เขียนถึงเรา</v>
      </c>
      <c r="L5" s="4" t="str">
        <f>IFERROR(__xludf.DUMMYFUNCTION("GOOGLETRANSLATE(B5, ""en"", ""si"")"),"අපට ලියන්න")</f>
        <v>අපට ලියන්න</v>
      </c>
      <c r="M5" s="4" t="str">
        <f>IFERROR(__xludf.DUMMYFUNCTION("GOOGLETRANSLATE(B5, ""en"", ""vi"")"),"Viết thư cho chúng tôi")</f>
        <v>Viết thư cho chúng tôi</v>
      </c>
      <c r="N5" s="4" t="str">
        <f>IFERROR(__xludf.DUMMYFUNCTION("GOOGLETRANSLATE(B5, ""en"", ""ne"")"),"हामीलाई लेख")</f>
        <v>हामीलाई लेख</v>
      </c>
      <c r="O5" s="4" t="str">
        <f>IFERROR(__xludf.DUMMYFUNCTION("GOOGLETRANSLATE(B5, ""en"", ""de"")"),"Schreib uns")</f>
        <v>Schreib uns</v>
      </c>
      <c r="P5" s="4" t="str">
        <f>IFERROR(__xludf.DUMMYFUNCTION("GOOGLETRANSLATE(B5, ""en"", ""he"")"),"כתוב לנו")</f>
        <v>כתוב לנו</v>
      </c>
      <c r="Q5" s="4" t="str">
        <f>IFERROR(__xludf.DUMMYFUNCTION("GOOGLETRANSLATE(B5, ""en"", ""cs"")"),"Napsat nám.")</f>
        <v>Napsat nám.</v>
      </c>
      <c r="R5" s="4" t="str">
        <f>IFERROR(__xludf.DUMMYFUNCTION("GOOGLETRANSLATE(B5, ""en"", ""it"")"),"Scrivici")</f>
        <v>Scrivici</v>
      </c>
      <c r="S5" s="4" t="str">
        <f>IFERROR(__xludf.DUMMYFUNCTION("GOOGLETRANSLATE(B5, ""en"", ""el"")"),"Γράψτε μας")</f>
        <v>Γράψτε μας</v>
      </c>
    </row>
    <row r="6">
      <c r="A6" s="4" t="s">
        <v>25</v>
      </c>
      <c r="B6" s="4" t="s">
        <v>26</v>
      </c>
      <c r="C6" s="4" t="str">
        <f>IFERROR(__xludf.DUMMYFUNCTION("GOOGLETRANSLATE(B6, ""en"", ""es"")"),"Aplicación segura")</f>
        <v>Aplicación segura</v>
      </c>
      <c r="D6" s="4" t="str">
        <f>IFERROR(__xludf.DUMMYFUNCTION("GOOGLETRANSLATE(B6, ""en"", ""pt"")"),"App seguro")</f>
        <v>App seguro</v>
      </c>
      <c r="E6" s="4" t="str">
        <f>IFERROR(__xludf.DUMMYFUNCTION("GOOGLETRANSLATE(B6, ""en"", ""ar"")"),"آمن التطبيق")</f>
        <v>آمن التطبيق</v>
      </c>
      <c r="F6" s="4" t="str">
        <f>IFERROR(__xludf.DUMMYFUNCTION("GOOGLETRANSLATE(B6, ""en"", ""km"")"),"កម្មវិធីមានសុវត្ថិភាព")</f>
        <v>កម្មវិធីមានសុវត្ថិភាព</v>
      </c>
      <c r="G6" s="4" t="str">
        <f>IFERROR(__xludf.DUMMYFUNCTION("GOOGLETRANSLATE(B6, ""en"", ""fr"")"),"Application sécurisée")</f>
        <v>Application sécurisée</v>
      </c>
      <c r="H6" s="4" t="str">
        <f>IFERROR(__xludf.DUMMYFUNCTION("GOOGLETRANSLATE(B6, ""en"", ""ro"")"),"Aplicația securizată")</f>
        <v>Aplicația securizată</v>
      </c>
      <c r="I6" s="4" t="str">
        <f>IFERROR(__xludf.DUMMYFUNCTION("GOOGLETRANSLATE(B6, ""en"", ""my"")"),"Secure App")</f>
        <v>Secure App</v>
      </c>
      <c r="J6" s="4" t="str">
        <f>IFERROR(__xludf.DUMMYFUNCTION("GOOGLETRANSLATE(B6, ""en"", ""sw"")"),"Programu salama")</f>
        <v>Programu salama</v>
      </c>
      <c r="K6" s="4" t="str">
        <f>IFERROR(__xludf.DUMMYFUNCTION("GOOGLETRANSLATE(B6, ""en"", ""th"")"),"แอปที่ปลอดภัย")</f>
        <v>แอปที่ปลอดภัย</v>
      </c>
      <c r="L6" s="4" t="str">
        <f>IFERROR(__xludf.DUMMYFUNCTION("GOOGLETRANSLATE(B6, ""en"", ""si"")"),"ආරක්ෂිත යෙදුම")</f>
        <v>ආරක්ෂිත යෙදුම</v>
      </c>
      <c r="M6" s="4" t="str">
        <f>IFERROR(__xludf.DUMMYFUNCTION("GOOGLETRANSLATE(B6, ""en"", ""vi"")"),"Ứng dụng an toàn")</f>
        <v>Ứng dụng an toàn</v>
      </c>
      <c r="N6" s="4" t="str">
        <f>IFERROR(__xludf.DUMMYFUNCTION("GOOGLETRANSLATE(B6, ""en"", ""ne"")"),"पुल स्याउ")</f>
        <v>पुल स्याउ</v>
      </c>
      <c r="O6" s="4" t="str">
        <f>IFERROR(__xludf.DUMMYFUNCTION("GOOGLETRANSLATE(B6, ""en"", ""de"")"),"Sichere App")</f>
        <v>Sichere App</v>
      </c>
      <c r="P6" s="4" t="str">
        <f>IFERROR(__xludf.DUMMYFUNCTION("GOOGLETRANSLATE(B6, ""en"", ""he"")"),"מאובטח App.")</f>
        <v>מאובטח App.</v>
      </c>
      <c r="Q6" s="4" t="str">
        <f>IFERROR(__xludf.DUMMYFUNCTION("GOOGLETRANSLATE(B6, ""en"", ""cs"")"),"Secure App.")</f>
        <v>Secure App.</v>
      </c>
      <c r="R6" s="4" t="str">
        <f>IFERROR(__xludf.DUMMYFUNCTION("GOOGLETRANSLATE(B6, ""en"", ""it"")"),"Secure App.")</f>
        <v>Secure App.</v>
      </c>
      <c r="S6" s="4" t="str">
        <f>IFERROR(__xludf.DUMMYFUNCTION("GOOGLETRANSLATE(B6, ""en"", ""el"")"),"Ασφαλής εφαρμογή")</f>
        <v>Ασφαλής εφαρμογή</v>
      </c>
    </row>
    <row r="7">
      <c r="A7" s="4" t="s">
        <v>27</v>
      </c>
      <c r="B7" s="4" t="s">
        <v>28</v>
      </c>
      <c r="C7" s="4" t="str">
        <f>IFERROR(__xludf.DUMMYFUNCTION("GOOGLETRANSLATE(B7, ""en"", ""es"")"),"• Optimizar su proceso de carga.")</f>
        <v>• Optimizar su proceso de carga.</v>
      </c>
      <c r="D7" s="4" t="str">
        <f>IFERROR(__xludf.DUMMYFUNCTION("GOOGLETRANSLATE(B7, ""en"", ""pt"")"),"• Otimize seu processo de carregamento")</f>
        <v>• Otimize seu processo de carregamento</v>
      </c>
      <c r="E7" s="4" t="str">
        <f>IFERROR(__xludf.DUMMYFUNCTION("GOOGLETRANSLATE(B7, ""en"", ""ar"")"),"• تحسين عملية الشحن الخاصة بك")</f>
        <v>• تحسين عملية الشحن الخاصة بك</v>
      </c>
      <c r="F7" s="4" t="str">
        <f>IFERROR(__xludf.DUMMYFUNCTION("GOOGLETRANSLATE(B7, ""en"", ""km"")"),"•បង្កើនប្រសិទ្ធភាពដំណើរការសាករបស់អ្នក")</f>
        <v>•បង្កើនប្រសិទ្ធភាពដំណើរការសាករបស់អ្នក</v>
      </c>
      <c r="G7" s="4" t="str">
        <f>IFERROR(__xludf.DUMMYFUNCTION("GOOGLETRANSLATE(B7, ""en"", ""fr"")"),"• Optimiser votre processus de charge")</f>
        <v>• Optimiser votre processus de charge</v>
      </c>
      <c r="H7" s="4" t="str">
        <f>IFERROR(__xludf.DUMMYFUNCTION("GOOGLETRANSLATE(B7, ""en"", ""ro"")"),"• Optimizați procesul de încărcare")</f>
        <v>• Optimizați procesul de încărcare</v>
      </c>
      <c r="I7" s="4" t="str">
        <f>IFERROR(__xludf.DUMMYFUNCTION("GOOGLETRANSLATE(B7, ""en"", ""my"")"),"•သင်၏အားသွင်းလုပ်ငန်းစဉ်ကိုအကောင်းဆုံးလုပ်ပါ")</f>
        <v>•သင်၏အားသွင်းလုပ်ငန်းစဉ်ကိုအကောင်းဆုံးလုပ်ပါ</v>
      </c>
      <c r="J7" s="4" t="str">
        <f>IFERROR(__xludf.DUMMYFUNCTION("GOOGLETRANSLATE(B7, ""en"", ""sw"")"),"• Kuongeza mchakato wako wa malipo")</f>
        <v>• Kuongeza mchakato wako wa malipo</v>
      </c>
      <c r="K7" s="4" t="str">
        <f>IFERROR(__xludf.DUMMYFUNCTION("GOOGLETRANSLATE(B7, ""en"", ""th"")"),"•เพิ่มประสิทธิภาพกระบวนการชาร์จของคุณ")</f>
        <v>•เพิ่มประสิทธิภาพกระบวนการชาร์จของคุณ</v>
      </c>
      <c r="L7" s="4" t="str">
        <f>IFERROR(__xludf.DUMMYFUNCTION("GOOGLETRANSLATE(B7, ""en"", ""si"")"),"Action ඔබේ ආරෝපණ ක්රියාවලිය ප්රශස්ත කරන්න")</f>
        <v>Action ඔබේ ආරෝපණ ක්රියාවලිය ප්රශස්ත කරන්න</v>
      </c>
      <c r="M7" s="4" t="str">
        <f>IFERROR(__xludf.DUMMYFUNCTION("GOOGLETRANSLATE(B7, ""en"", ""vi"")"),"• Tối ưu hóa quá trình sạc của bạn")</f>
        <v>• Tối ưu hóa quá trình sạc của bạn</v>
      </c>
      <c r="N7" s="4" t="str">
        <f>IFERROR(__xludf.DUMMYFUNCTION("GOOGLETRANSLATE(B7, ""en"", ""ne"")"),"Your तपाईंको चार्ज प्रक्रियालाई अप्टिमिट गर्नुहोस्")</f>
        <v>Your तपाईंको चार्ज प्रक्रियालाई अप्टिमिट गर्नुहोस्</v>
      </c>
      <c r="O7" s="4" t="str">
        <f>IFERROR(__xludf.DUMMYFUNCTION("GOOGLETRANSLATE(B7, ""en"", ""de"")"),"• Optimieren Sie Ihren Ladevorgang")</f>
        <v>• Optimieren Sie Ihren Ladevorgang</v>
      </c>
      <c r="P7" s="4" t="str">
        <f>IFERROR(__xludf.DUMMYFUNCTION("GOOGLETRANSLATE(B7, ""en"", ""he"")"),"• אופטימיזציה של תהליך הטעינה שלך")</f>
        <v>• אופטימיזציה של תהליך הטעינה שלך</v>
      </c>
      <c r="Q7" s="4" t="str">
        <f>IFERROR(__xludf.DUMMYFUNCTION("GOOGLETRANSLATE(B7, ""en"", ""cs"")"),"• Optimalizace procesu nabíjení")</f>
        <v>• Optimalizace procesu nabíjení</v>
      </c>
      <c r="R7" s="4" t="str">
        <f>IFERROR(__xludf.DUMMYFUNCTION("GOOGLETRANSLATE(B7, ""en"", ""it"")"),"• Ottimizza il processo di ricarica")</f>
        <v>• Ottimizza il processo di ricarica</v>
      </c>
      <c r="S7" s="4" t="str">
        <f>IFERROR(__xludf.DUMMYFUNCTION("GOOGLETRANSLATE(B7, ""en"", ""el"")"),"• Βελτιστοποιήστε τη διαδικασία φόρτισης")</f>
        <v>• Βελτιστοποιήστε τη διαδικασία φόρτισης</v>
      </c>
    </row>
    <row r="8">
      <c r="A8" s="4" t="s">
        <v>29</v>
      </c>
      <c r="B8" s="4" t="s">
        <v>30</v>
      </c>
      <c r="C8" s="4" t="str">
        <f>IFERROR(__xludf.DUMMYFUNCTION("GOOGLETRANSLATE(B8, ""en"", ""es"")"),"No molestar")</f>
        <v>No molestar</v>
      </c>
      <c r="D8" s="4" t="str">
        <f>IFERROR(__xludf.DUMMYFUNCTION("GOOGLETRANSLATE(B8, ""en"", ""pt"")"),"Não perturbe")</f>
        <v>Não perturbe</v>
      </c>
      <c r="E8" s="4" t="str">
        <f>IFERROR(__xludf.DUMMYFUNCTION("GOOGLETRANSLATE(B8, ""en"", ""ar"")"),"لا تزعج")</f>
        <v>لا تزعج</v>
      </c>
      <c r="F8" s="4" t="str">
        <f>IFERROR(__xludf.DUMMYFUNCTION("GOOGLETRANSLATE(B8, ""en"", ""km"")"),"កុំរំខាន")</f>
        <v>កុំរំខាន</v>
      </c>
      <c r="G8" s="4" t="str">
        <f>IFERROR(__xludf.DUMMYFUNCTION("GOOGLETRANSLATE(B8, ""en"", ""fr"")"),"Ne pas déranger")</f>
        <v>Ne pas déranger</v>
      </c>
      <c r="H8" s="4" t="str">
        <f>IFERROR(__xludf.DUMMYFUNCTION("GOOGLETRANSLATE(B8, ""en"", ""ro"")"),"Nu deranjează")</f>
        <v>Nu deranjează</v>
      </c>
      <c r="I8" s="4" t="str">
        <f>IFERROR(__xludf.DUMMYFUNCTION("GOOGLETRANSLATE(B8, ""en"", ""my"")"),"DUSH DUSS")</f>
        <v>DUSH DUSS</v>
      </c>
      <c r="J8" s="4" t="str">
        <f>IFERROR(__xludf.DUMMYFUNCTION("GOOGLETRANSLATE(B8, ""en"", ""sw"")"),"Usisumbue.")</f>
        <v>Usisumbue.</v>
      </c>
      <c r="K8" s="4" t="str">
        <f>IFERROR(__xludf.DUMMYFUNCTION("GOOGLETRANSLATE(B8, ""en"", ""th"")"),"ไม่รบกวน")</f>
        <v>ไม่รบกวน</v>
      </c>
      <c r="L8" s="4" t="str">
        <f>IFERROR(__xludf.DUMMYFUNCTION("GOOGLETRANSLATE(B8, ""en"", ""si"")"),"බාධා කරන්න එපා")</f>
        <v>බාධා කරන්න එපා</v>
      </c>
      <c r="M8" s="4" t="str">
        <f>IFERROR(__xludf.DUMMYFUNCTION("GOOGLETRANSLATE(B8, ""en"", ""vi"")"),"Đừng làm phiền")</f>
        <v>Đừng làm phiền</v>
      </c>
      <c r="N8" s="4" t="str">
        <f>IFERROR(__xludf.DUMMYFUNCTION("GOOGLETRANSLATE(B8, ""en"", ""ne"")"),"नहटाउनुहोस्")</f>
        <v>नहटाउनुहोस्</v>
      </c>
      <c r="O8" s="4" t="str">
        <f>IFERROR(__xludf.DUMMYFUNCTION("GOOGLETRANSLATE(B8, ""en"", ""de"")"),"Nicht stören")</f>
        <v>Nicht stören</v>
      </c>
      <c r="P8" s="4" t="str">
        <f>IFERROR(__xludf.DUMMYFUNCTION("GOOGLETRANSLATE(B8, ""en"", ""he"")"),"אל תפריע")</f>
        <v>אל תפריע</v>
      </c>
      <c r="Q8" s="4" t="str">
        <f>IFERROR(__xludf.DUMMYFUNCTION("GOOGLETRANSLATE(B8, ""en"", ""cs"")"),"DON \ 't rušit")</f>
        <v>DON \ 't rušit</v>
      </c>
      <c r="R8" s="4" t="str">
        <f>IFERROR(__xludf.DUMMYFUNCTION("GOOGLETRANSLATE(B8, ""en"", ""it"")"),"Non disturbare")</f>
        <v>Non disturbare</v>
      </c>
      <c r="S8" s="4" t="str">
        <f>IFERROR(__xludf.DUMMYFUNCTION("GOOGLETRANSLATE(B8, ""en"", ""el"")"),"Μην ενοχλείτε")</f>
        <v>Μην ενοχλείτε</v>
      </c>
    </row>
    <row r="9">
      <c r="A9" s="4" t="s">
        <v>31</v>
      </c>
      <c r="B9" s="4" t="s">
        <v>32</v>
      </c>
      <c r="C9" s="4" t="str">
        <f>IFERROR(__xludf.DUMMYFUNCTION("GOOGLETRANSLATE(B9, ""en"", ""es"")"),"Establecer notificaciones de tiempo")</f>
        <v>Establecer notificaciones de tiempo</v>
      </c>
      <c r="D9" s="4" t="str">
        <f>IFERROR(__xludf.DUMMYFUNCTION("GOOGLETRANSLATE(B9, ""en"", ""pt"")"),"Configurar notificações de tempo")</f>
        <v>Configurar notificações de tempo</v>
      </c>
      <c r="E9" s="4" t="str">
        <f>IFERROR(__xludf.DUMMYFUNCTION("GOOGLETRANSLATE(B9, ""en"", ""ar"")"),"إعداد إشعارات الوقت")</f>
        <v>إعداد إشعارات الوقت</v>
      </c>
      <c r="F9" s="4" t="str">
        <f>IFERROR(__xludf.DUMMYFUNCTION("GOOGLETRANSLATE(B9, ""en"", ""km"")"),"រៀបចំការជូនដំណឹងពេលវេលា")</f>
        <v>រៀបចំការជូនដំណឹងពេលវេលា</v>
      </c>
      <c r="G9" s="4" t="str">
        <f>IFERROR(__xludf.DUMMYFUNCTION("GOOGLETRANSLATE(B9, ""en"", ""fr"")"),"Configurer les notifications de temps")</f>
        <v>Configurer les notifications de temps</v>
      </c>
      <c r="H9" s="4" t="str">
        <f>IFERROR(__xludf.DUMMYFUNCTION("GOOGLETRANSLATE(B9, ""en"", ""ro"")"),"Configurați notificările de timp")</f>
        <v>Configurați notificările de timp</v>
      </c>
      <c r="I9" s="4" t="str">
        <f>IFERROR(__xludf.DUMMYFUNCTION("GOOGLETRANSLATE(B9, ""en"", ""my"")"),"အချိန်အသိပေးချက်များကို set up")</f>
        <v>အချိန်အသိပေးချက်များကို set up</v>
      </c>
      <c r="J9" s="4" t="str">
        <f>IFERROR(__xludf.DUMMYFUNCTION("GOOGLETRANSLATE(B9, ""en"", ""sw"")"),"Weka arifa za wakati.")</f>
        <v>Weka arifa za wakati.</v>
      </c>
      <c r="K9" s="4" t="str">
        <f>IFERROR(__xludf.DUMMYFUNCTION("GOOGLETRANSLATE(B9, ""en"", ""th"")"),"ตั้งค่าการแจ้งเตือนเวลา")</f>
        <v>ตั้งค่าการแจ้งเตือนเวลา</v>
      </c>
      <c r="L9" s="4" t="str">
        <f>IFERROR(__xludf.DUMMYFUNCTION("GOOGLETRANSLATE(B9, ""en"", ""si"")"),"කාලය දැනුම්දීම් සකසන්න")</f>
        <v>කාලය දැනුම්දීම් සකසන්න</v>
      </c>
      <c r="M9" s="4" t="str">
        <f>IFERROR(__xludf.DUMMYFUNCTION("GOOGLETRANSLATE(B9, ""en"", ""vi"")"),"Thiết lập thông báo thời gian")</f>
        <v>Thiết lập thông báo thời gian</v>
      </c>
      <c r="N9" s="4" t="str">
        <f>IFERROR(__xludf.DUMMYFUNCTION("GOOGLETRANSLATE(B9, ""en"", ""ne"")"),"समय सूचनाहरू सेट अप गर्नुहोस्")</f>
        <v>समय सूचनाहरू सेट अप गर्नुहोस्</v>
      </c>
      <c r="O9" s="4" t="str">
        <f>IFERROR(__xludf.DUMMYFUNCTION("GOOGLETRANSLATE(B9, ""en"", ""de"")"),"Zeit benachrichtigen")</f>
        <v>Zeit benachrichtigen</v>
      </c>
      <c r="P9" s="4" t="str">
        <f>IFERROR(__xludf.DUMMYFUNCTION("GOOGLETRANSLATE(B9, ""en"", ""he"")"),"הגדר הודעות זמן")</f>
        <v>הגדר הודעות זמן</v>
      </c>
      <c r="Q9" s="4" t="str">
        <f>IFERROR(__xludf.DUMMYFUNCTION("GOOGLETRANSLATE(B9, ""en"", ""cs"")"),"Nastavit časová oznámení")</f>
        <v>Nastavit časová oznámení</v>
      </c>
      <c r="R9" s="4" t="str">
        <f>IFERROR(__xludf.DUMMYFUNCTION("GOOGLETRANSLATE(B9, ""en"", ""it"")"),"Imposta le notifiche del tempo")</f>
        <v>Imposta le notifiche del tempo</v>
      </c>
      <c r="S9" s="4" t="str">
        <f>IFERROR(__xludf.DUMMYFUNCTION("GOOGLETRANSLATE(B9, ""en"", ""el"")"),"Ρύθμιση ειδοποιήσεων χρόνου")</f>
        <v>Ρύθμιση ειδοποιήσεων χρόνου</v>
      </c>
    </row>
    <row r="10">
      <c r="A10" s="4" t="s">
        <v>33</v>
      </c>
      <c r="B10" s="4" t="s">
        <v>34</v>
      </c>
      <c r="C10" s="4" t="str">
        <f>IFERROR(__xludf.DUMMYFUNCTION("GOOGLETRANSLATE(B10, ""en"", ""es"")"),"Archivos basura detectados")</f>
        <v>Archivos basura detectados</v>
      </c>
      <c r="D10" s="4" t="str">
        <f>IFERROR(__xludf.DUMMYFUNCTION("GOOGLETRANSLATE(B10, ""en"", ""pt"")"),"Detectado arquivos lixo")</f>
        <v>Detectado arquivos lixo</v>
      </c>
      <c r="E10" s="4" t="str">
        <f>IFERROR(__xludf.DUMMYFUNCTION("GOOGLETRANSLATE(B10, ""en"", ""ar"")"),"الكشف عن الملفات غير المرغوب فيه")</f>
        <v>الكشف عن الملفات غير المرغوب فيه</v>
      </c>
      <c r="F10" s="4" t="str">
        <f>IFERROR(__xludf.DUMMYFUNCTION("GOOGLETRANSLATE(B10, ""en"", ""km"")"),"បានរកឃើញឯកសារឥតបានការ")</f>
        <v>បានរកឃើញឯកសារឥតបានការ</v>
      </c>
      <c r="G10" s="4" t="str">
        <f>IFERROR(__xludf.DUMMYFUNCTION("GOOGLETRANSLATE(B10, ""en"", ""fr"")"),"Fichiers indésirables détectés")</f>
        <v>Fichiers indésirables détectés</v>
      </c>
      <c r="H10" s="4" t="str">
        <f>IFERROR(__xludf.DUMMYFUNCTION("GOOGLETRANSLATE(B10, ""en"", ""ro"")"),"Detectate fișiere junk.")</f>
        <v>Detectate fișiere junk.</v>
      </c>
      <c r="I10" s="4" t="str">
        <f>IFERROR(__xludf.DUMMYFUNCTION("GOOGLETRANSLATE(B10, ""en"", ""my"")"),"ရှာဖွေတွေ့ရှိ junk ဖိုင်များ")</f>
        <v>ရှာဖွေတွေ့ရှိ junk ဖိုင်များ</v>
      </c>
      <c r="J10" s="4" t="str">
        <f>IFERROR(__xludf.DUMMYFUNCTION("GOOGLETRANSLATE(B10, ""en"", ""sw"")"),"Kuona faili za junk")</f>
        <v>Kuona faili za junk</v>
      </c>
      <c r="K10" s="4" t="str">
        <f>IFERROR(__xludf.DUMMYFUNCTION("GOOGLETRANSLATE(B10, ""en"", ""th"")"),"ตรวจพบไฟล์ขยะ")</f>
        <v>ตรวจพบไฟล์ขยะ</v>
      </c>
      <c r="L10" s="4" t="str">
        <f>IFERROR(__xludf.DUMMYFUNCTION("GOOGLETRANSLATE(B10, ""en"", ""si"")"),"හඳුනාගත් ජන්ක් ලිපිගොනු")</f>
        <v>හඳුනාගත් ජන්ක් ලිපිගොනු</v>
      </c>
      <c r="M10" s="4" t="str">
        <f>IFERROR(__xludf.DUMMYFUNCTION("GOOGLETRANSLATE(B10, ""en"", ""vi"")"),"Phát hiện các tập tin rác")</f>
        <v>Phát hiện các tập tin rác</v>
      </c>
      <c r="N10" s="4" t="str">
        <f>IFERROR(__xludf.DUMMYFUNCTION("GOOGLETRANSLATE(B10, ""en"", ""ne"")"),"जंक फाइलहरू पत्ता लगायो")</f>
        <v>जंक फाइलहरू पत्ता लगायो</v>
      </c>
      <c r="O10" s="4" t="str">
        <f>IFERROR(__xludf.DUMMYFUNCTION("GOOGLETRANSLATE(B10, ""en"", ""de"")"),"Entdeckte Junk-Dateien")</f>
        <v>Entdeckte Junk-Dateien</v>
      </c>
      <c r="P10" s="4" t="str">
        <f>IFERROR(__xludf.DUMMYFUNCTION("GOOGLETRANSLATE(B10, ""en"", ""he"")"),"זיהו קבצי זבל")</f>
        <v>זיהו קבצי זבל</v>
      </c>
      <c r="Q10" s="4" t="str">
        <f>IFERROR(__xludf.DUMMYFUNCTION("GOOGLETRANSLATE(B10, ""en"", ""cs"")"),"Detekované nevyžádané soubory")</f>
        <v>Detekované nevyžádané soubory</v>
      </c>
      <c r="R10" s="4" t="str">
        <f>IFERROR(__xludf.DUMMYFUNCTION("GOOGLETRANSLATE(B10, ""en"", ""it"")"),"File junk rilevati")</f>
        <v>File junk rilevati</v>
      </c>
      <c r="S10" s="4" t="str">
        <f>IFERROR(__xludf.DUMMYFUNCTION("GOOGLETRANSLATE(B10, ""en"", ""el"")"),"Ανίχνευση ανεπιθύμητων αρχείων")</f>
        <v>Ανίχνευση ανεπιθύμητων αρχείων</v>
      </c>
    </row>
    <row r="11">
      <c r="A11" s="4" t="s">
        <v>35</v>
      </c>
      <c r="B11" s="4" t="s">
        <v>36</v>
      </c>
      <c r="C11" s="4" t="str">
        <f>IFERROR(__xludf.DUMMYFUNCTION("GOOGLETRANSLATE(B11, ""en"", ""es"")"),"En peligro")</f>
        <v>En peligro</v>
      </c>
      <c r="D11" s="4" t="str">
        <f>IFERROR(__xludf.DUMMYFUNCTION("GOOGLETRANSLATE(B11, ""en"", ""pt"")"),"Em perigo")</f>
        <v>Em perigo</v>
      </c>
      <c r="E11" s="4" t="str">
        <f>IFERROR(__xludf.DUMMYFUNCTION("GOOGLETRANSLATE(B11, ""en"", ""ar"")"),"في خطر")</f>
        <v>في خطر</v>
      </c>
      <c r="F11" s="4" t="str">
        <f>IFERROR(__xludf.DUMMYFUNCTION("GOOGLETRANSLATE(B11, ""en"", ""km"")"),"មានគ្រោះថ្នាក់")</f>
        <v>មានគ្រោះថ្នាក់</v>
      </c>
      <c r="G11" s="4" t="str">
        <f>IFERROR(__xludf.DUMMYFUNCTION("GOOGLETRANSLATE(B11, ""en"", ""fr"")"),"En danger")</f>
        <v>En danger</v>
      </c>
      <c r="H11" s="4" t="str">
        <f>IFERROR(__xludf.DUMMYFUNCTION("GOOGLETRANSLATE(B11, ""en"", ""ro"")"),"In pericol")</f>
        <v>In pericol</v>
      </c>
      <c r="I11" s="4" t="str">
        <f>IFERROR(__xludf.DUMMYFUNCTION("GOOGLETRANSLATE(B11, ""en"", ""my"")"),"အန္တရာယ်အတွက်")</f>
        <v>အန္တရာယ်အတွက်</v>
      </c>
      <c r="J11" s="4" t="str">
        <f>IFERROR(__xludf.DUMMYFUNCTION("GOOGLETRANSLATE(B11, ""en"", ""sw"")"),"Katika hatari")</f>
        <v>Katika hatari</v>
      </c>
      <c r="K11" s="4" t="str">
        <f>IFERROR(__xludf.DUMMYFUNCTION("GOOGLETRANSLATE(B11, ""en"", ""th"")"),"ตกอยู่ในอันตราย")</f>
        <v>ตกอยู่ในอันตราย</v>
      </c>
      <c r="L11" s="4" t="str">
        <f>IFERROR(__xludf.DUMMYFUNCTION("GOOGLETRANSLATE(B11, ""en"", ""si"")"),"අනතුරේ")</f>
        <v>අනතුරේ</v>
      </c>
      <c r="M11" s="4" t="str">
        <f>IFERROR(__xludf.DUMMYFUNCTION("GOOGLETRANSLATE(B11, ""en"", ""vi"")"),"Gặp nguy hiểm")</f>
        <v>Gặp nguy hiểm</v>
      </c>
      <c r="N11" s="4" t="str">
        <f>IFERROR(__xludf.DUMMYFUNCTION("GOOGLETRANSLATE(B11, ""en"", ""ne"")"),"खतरा मा")</f>
        <v>खतरा मा</v>
      </c>
      <c r="O11" s="4" t="str">
        <f>IFERROR(__xludf.DUMMYFUNCTION("GOOGLETRANSLATE(B11, ""en"", ""de"")"),"In Gefahr")</f>
        <v>In Gefahr</v>
      </c>
      <c r="P11" s="4" t="str">
        <f>IFERROR(__xludf.DUMMYFUNCTION("GOOGLETRANSLATE(B11, ""en"", ""he"")"),"בסכנה")</f>
        <v>בסכנה</v>
      </c>
      <c r="Q11" s="4" t="str">
        <f>IFERROR(__xludf.DUMMYFUNCTION("GOOGLETRANSLATE(B11, ""en"", ""cs"")"),"V nebezpečí")</f>
        <v>V nebezpečí</v>
      </c>
      <c r="R11" s="4" t="str">
        <f>IFERROR(__xludf.DUMMYFUNCTION("GOOGLETRANSLATE(B11, ""en"", ""it"")"),"In pericolo")</f>
        <v>In pericolo</v>
      </c>
      <c r="S11" s="4" t="str">
        <f>IFERROR(__xludf.DUMMYFUNCTION("GOOGLETRANSLATE(B11, ""en"", ""el"")"),"Σε κίνδυνο")</f>
        <v>Σε κίνδυνο</v>
      </c>
    </row>
    <row r="12">
      <c r="A12" s="4" t="s">
        <v>37</v>
      </c>
      <c r="B12" s="4" t="s">
        <v>38</v>
      </c>
      <c r="C12" s="4" t="str">
        <f>IFERROR(__xludf.DUMMYFUNCTION("GOOGLETRANSLATE(B12, ""en"", ""es"")"),"Encuentra 888 y Grant 888")</f>
        <v>Encuentra 888 y Grant 888</v>
      </c>
      <c r="D12" s="4" t="str">
        <f>IFERROR(__xludf.DUMMYFUNCTION("GOOGLETRANSLATE(B12, ""en"", ""pt"")"),"Encontre 888 e conceda 888")</f>
        <v>Encontre 888 e conceda 888</v>
      </c>
      <c r="E12" s="4" t="str">
        <f>IFERROR(__xludf.DUMMYFUNCTION("GOOGLETRANSLATE(B12, ""en"", ""ar"")"),"ابحث عن 888 ومنحة 888")</f>
        <v>ابحث عن 888 ومنحة 888</v>
      </c>
      <c r="F12" s="4" t="str">
        <f>IFERROR(__xludf.DUMMYFUNCTION("GOOGLETRANSLATE(B12, ""en"", ""km"")"),"ស្វែងរក 888 និង Grant 888")</f>
        <v>ស្វែងរក 888 និង Grant 888</v>
      </c>
      <c r="G12" s="4" t="str">
        <f>IFERROR(__xludf.DUMMYFUNCTION("GOOGLETRANSLATE(B12, ""en"", ""fr"")"),"Trouver 888 et subvention 888")</f>
        <v>Trouver 888 et subvention 888</v>
      </c>
      <c r="H12" s="4" t="str">
        <f>IFERROR(__xludf.DUMMYFUNCTION("GOOGLETRANSLATE(B12, ""en"", ""ro"")"),"Găsiți 888 și Grant 888")</f>
        <v>Găsiți 888 și Grant 888</v>
      </c>
      <c r="I12" s="4" t="str">
        <f>IFERROR(__xludf.DUMMYFUNCTION("GOOGLETRANSLATE(B12, ""en"", ""my"")"),"888 ကိုရှာပြီး 888")</f>
        <v>888 ကိုရှာပြီး 888</v>
      </c>
      <c r="J12" s="4" t="str">
        <f>IFERROR(__xludf.DUMMYFUNCTION("GOOGLETRANSLATE(B12, ""en"", ""sw"")"),"Pata 888 na Grant 888.")</f>
        <v>Pata 888 na Grant 888.</v>
      </c>
      <c r="K12" s="4" t="str">
        <f>IFERROR(__xludf.DUMMYFUNCTION("GOOGLETRANSLATE(B12, ""en"", ""th"")"),"ค้นหา 888 และให้ 888")</f>
        <v>ค้นหา 888 และให้ 888</v>
      </c>
      <c r="L12" s="4" t="str">
        <f>IFERROR(__xludf.DUMMYFUNCTION("GOOGLETRANSLATE(B12, ""en"", ""si"")"),"888 ක් සොයා 888 ක් ප්රදානය කරන්න")</f>
        <v>888 ක් සොයා 888 ක් ප්රදානය කරන්න</v>
      </c>
      <c r="M12" s="4" t="str">
        <f>IFERROR(__xludf.DUMMYFUNCTION("GOOGLETRANSLATE(B12, ""en"", ""vi"")"),"Tìm 888 và cấp 888")</f>
        <v>Tìm 888 và cấp 888</v>
      </c>
      <c r="N12" s="4" t="str">
        <f>IFERROR(__xludf.DUMMYFUNCTION("GOOGLETRANSLATE(B12, ""en"", ""ne"")"),"8 888 खोज्नुहोस् र अनुदान 88888")</f>
        <v>8 888 खोज्नुहोस् र अनुदान 88888</v>
      </c>
      <c r="O12" s="4" t="str">
        <f>IFERROR(__xludf.DUMMYFUNCTION("GOOGLETRANSLATE(B12, ""en"", ""de"")"),"Finden Sie 888 und gewähren Sie 888")</f>
        <v>Finden Sie 888 und gewähren Sie 888</v>
      </c>
      <c r="P12" s="4" t="str">
        <f>IFERROR(__xludf.DUMMYFUNCTION("GOOGLETRANSLATE(B12, ""en"", ""he"")"),"מצא 888 ומענק 888")</f>
        <v>מצא 888 ומענק 888</v>
      </c>
      <c r="Q12" s="4" t="str">
        <f>IFERROR(__xludf.DUMMYFUNCTION("GOOGLETRANSLATE(B12, ""en"", ""cs"")"),"Najít 888 a grant 888")</f>
        <v>Najít 888 a grant 888</v>
      </c>
      <c r="R12" s="4" t="str">
        <f>IFERROR(__xludf.DUMMYFUNCTION("GOOGLETRANSLATE(B12, ""en"", ""it"")"),"Trova 888 e Grant 888")</f>
        <v>Trova 888 e Grant 888</v>
      </c>
      <c r="S12" s="4" t="str">
        <f>IFERROR(__xludf.DUMMYFUNCTION("GOOGLETRANSLATE(B12, ""en"", ""el"")"),"Βρείτε 888 και Grant 888")</f>
        <v>Βρείτε 888 και Grant 888</v>
      </c>
    </row>
    <row r="13">
      <c r="A13" s="4" t="s">
        <v>39</v>
      </c>
      <c r="B13" s="4" t="s">
        <v>40</v>
      </c>
      <c r="C13" s="4" t="str">
        <f>IFERROR(__xludf.DUMMYFUNCTION("GOOGLETRANSLATE(B13, ""en"", ""es"")"),"El patrón no coincide. Inténtalo de nuevo.")</f>
        <v>El patrón no coincide. Inténtalo de nuevo.</v>
      </c>
      <c r="D13" s="4" t="str">
        <f>IFERROR(__xludf.DUMMYFUNCTION("GOOGLETRANSLATE(B13, ""en"", ""pt"")"),"O padrão não corresponde. Por favor, tente novamente.")</f>
        <v>O padrão não corresponde. Por favor, tente novamente.</v>
      </c>
      <c r="E13" s="4" t="str">
        <f>IFERROR(__xludf.DUMMYFUNCTION("GOOGLETRANSLATE(B13, ""en"", ""ar"")"),"النمط لا تتطابق. حاول مرة اخرى.")</f>
        <v>النمط لا تتطابق. حاول مرة اخرى.</v>
      </c>
      <c r="F13" s="4" t="str">
        <f>IFERROR(__xludf.DUMMYFUNCTION("GOOGLETRANSLATE(B13, ""en"", ""km"")"),"លំនាំមិនត្រូវគ្នាទេ។ សូម​ព្យាយាម​ម្តង​ទៀត។")</f>
        <v>លំនាំមិនត្រូវគ្នាទេ។ សូម​ព្យាយាម​ម្តង​ទៀត។</v>
      </c>
      <c r="G13" s="4" t="str">
        <f>IFERROR(__xludf.DUMMYFUNCTION("GOOGLETRANSLATE(B13, ""en"", ""fr"")"),"Le modèle ne correspond pas. Veuillez réessayer.")</f>
        <v>Le modèle ne correspond pas. Veuillez réessayer.</v>
      </c>
      <c r="H13" s="4" t="str">
        <f>IFERROR(__xludf.DUMMYFUNCTION("GOOGLETRANSLATE(B13, ""en"", ""ro"")"),"Modelul nu se potrivește. Vă rugăm să încercați din nou.")</f>
        <v>Modelul nu se potrivește. Vă rugăm să încercați din nou.</v>
      </c>
      <c r="I13" s="4" t="str">
        <f>IFERROR(__xludf.DUMMYFUNCTION("GOOGLETRANSLATE(B13, ""en"", ""my"")"),"အဆိုပါပုံစံမကိုက်ညီပါ ကျေးဇူးပြုပြီးထပ်ကြိုးစားပါ")</f>
        <v>အဆိုပါပုံစံမကိုက်ညီပါ ကျေးဇူးပြုပြီးထပ်ကြိုးစားပါ</v>
      </c>
      <c r="J13" s="4" t="str">
        <f>IFERROR(__xludf.DUMMYFUNCTION("GOOGLETRANSLATE(B13, ""en"", ""sw"")"),"Mfano haufanani. Tafadhali jaribu tena.")</f>
        <v>Mfano haufanani. Tafadhali jaribu tena.</v>
      </c>
      <c r="K13" s="4" t="str">
        <f>IFERROR(__xludf.DUMMYFUNCTION("GOOGLETRANSLATE(B13, ""en"", ""th"")"),"รูปแบบไม่ตรงกัน กรุณาลองอีกครั้ง.")</f>
        <v>รูปแบบไม่ตรงกัน กรุณาลองอีกครั้ง.</v>
      </c>
      <c r="L13" s="4" t="str">
        <f>IFERROR(__xludf.DUMMYFUNCTION("GOOGLETRANSLATE(B13, ""en"", ""si"")"),"රටාව නොගැලපේ. කරුණාකර නැවත උත්සාහ කරන්න.")</f>
        <v>රටාව නොගැලපේ. කරුණාකර නැවත උත්සාහ කරන්න.</v>
      </c>
      <c r="M13" s="4" t="str">
        <f>IFERROR(__xludf.DUMMYFUNCTION("GOOGLETRANSLATE(B13, ""en"", ""vi"")"),"Mẫu không khớp. Vui lòng thử lại.")</f>
        <v>Mẫu không khớp. Vui lòng thử lại.</v>
      </c>
      <c r="N13" s="4" t="str">
        <f>IFERROR(__xludf.DUMMYFUNCTION("GOOGLETRANSLATE(B13, ""en"", ""ne"")"),"ढाँचा मेल खाँदैन। फेरि प्रयास गर्नुहोस।")</f>
        <v>ढाँचा मेल खाँदैन। फेरि प्रयास गर्नुहोस।</v>
      </c>
      <c r="O13" s="4" t="str">
        <f>IFERROR(__xludf.DUMMYFUNCTION("GOOGLETRANSLATE(B13, ""en"", ""de"")"),"Das Muster stimmt nicht überein. Bitte versuche es erneut.")</f>
        <v>Das Muster stimmt nicht überein. Bitte versuche es erneut.</v>
      </c>
      <c r="P13" s="4" t="str">
        <f>IFERROR(__xludf.DUMMYFUNCTION("GOOGLETRANSLATE(B13, ""en"", ""he"")"),"הדפוס אינו תואם. בבקשה נסה שוב.")</f>
        <v>הדפוס אינו תואם. בבקשה נסה שוב.</v>
      </c>
      <c r="Q13" s="4" t="str">
        <f>IFERROR(__xludf.DUMMYFUNCTION("GOOGLETRANSLATE(B13, ""en"", ""cs"")"),"Vzor se neodpovídá. Prosím zkuste to znovu.")</f>
        <v>Vzor se neodpovídá. Prosím zkuste to znovu.</v>
      </c>
      <c r="R13" s="4" t="str">
        <f>IFERROR(__xludf.DUMMYFUNCTION("GOOGLETRANSLATE(B13, ""en"", ""it"")"),"Il modello non corrisponde. Per favore riprova.")</f>
        <v>Il modello non corrisponde. Per favore riprova.</v>
      </c>
      <c r="S13" s="4" t="str">
        <f>IFERROR(__xludf.DUMMYFUNCTION("GOOGLETRANSLATE(B13, ""en"", ""el"")"),"Το μοτίβο δεν ταιριάζει. ΠΑΡΑΚΑΛΩ προσπαθησε ξανα.")</f>
        <v>Το μοτίβο δεν ταιριάζει. ΠΑΡΑΚΑΛΩ προσπαθησε ξανα.</v>
      </c>
    </row>
    <row r="14">
      <c r="A14" s="4" t="s">
        <v>41</v>
      </c>
      <c r="B14" s="4" t="s">
        <v>42</v>
      </c>
      <c r="C14" s="4" t="str">
        <f>IFERROR(__xludf.DUMMYFUNCTION("GOOGLETRANSLATE(B14, ""en"", ""es"")"),"Total de archivos encontrados")</f>
        <v>Total de archivos encontrados</v>
      </c>
      <c r="D14" s="4" t="str">
        <f>IFERROR(__xludf.DUMMYFUNCTION("GOOGLETRANSLATE(B14, ""en"", ""pt"")"),"Total de arquivos encontrados")</f>
        <v>Total de arquivos encontrados</v>
      </c>
      <c r="E14" s="4" t="str">
        <f>IFERROR(__xludf.DUMMYFUNCTION("GOOGLETRANSLATE(B14, ""en"", ""ar"")"),"كل الملفات وجدت")</f>
        <v>كل الملفات وجدت</v>
      </c>
      <c r="F14" s="4" t="str">
        <f>IFERROR(__xludf.DUMMYFUNCTION("GOOGLETRANSLATE(B14, ""en"", ""km"")"),"រកឃើញឯកសារសរុប")</f>
        <v>រកឃើញឯកសារសរុប</v>
      </c>
      <c r="G14" s="4" t="str">
        <f>IFERROR(__xludf.DUMMYFUNCTION("GOOGLETRANSLATE(B14, ""en"", ""fr"")"),"Nombre total de fichiers trouvés")</f>
        <v>Nombre total de fichiers trouvés</v>
      </c>
      <c r="H14" s="4" t="str">
        <f>IFERROR(__xludf.DUMMYFUNCTION("GOOGLETRANSLATE(B14, ""en"", ""ro"")"),"Fișiere totale găsite")</f>
        <v>Fișiere totale găsite</v>
      </c>
      <c r="I14" s="4" t="str">
        <f>IFERROR(__xludf.DUMMYFUNCTION("GOOGLETRANSLATE(B14, ""en"", ""my"")"),"စုစုပေါင်းဖိုင်များတွေ့ရှိခဲ့ပါတယ်")</f>
        <v>စုစုပေါင်းဖိုင်များတွေ့ရှိခဲ့ပါတယ်</v>
      </c>
      <c r="J14" s="4" t="str">
        <f>IFERROR(__xludf.DUMMYFUNCTION("GOOGLETRANSLATE(B14, ""en"", ""sw"")"),"Faili za jumla zimepatikana.")</f>
        <v>Faili za jumla zimepatikana.</v>
      </c>
      <c r="K14" s="4" t="str">
        <f>IFERROR(__xludf.DUMMYFUNCTION("GOOGLETRANSLATE(B14, ""en"", ""th"")"),"พบไฟล์ทั้งหมด")</f>
        <v>พบไฟล์ทั้งหมด</v>
      </c>
      <c r="L14" s="4" t="str">
        <f>IFERROR(__xludf.DUMMYFUNCTION("GOOGLETRANSLATE(B14, ""en"", ""si"")"),"මුළු ලිපිගොනු හමු විය")</f>
        <v>මුළු ලිපිගොනු හමු විය</v>
      </c>
      <c r="M14" s="4" t="str">
        <f>IFERROR(__xludf.DUMMYFUNCTION("GOOGLETRANSLATE(B14, ""en"", ""vi"")"),"Tổng số tập tin được tìm thấy")</f>
        <v>Tổng số tập tin được tìm thấy</v>
      </c>
      <c r="N14" s="4" t="str">
        <f>IFERROR(__xludf.DUMMYFUNCTION("GOOGLETRANSLATE(B14, ""en"", ""ne"")"),"कुल फाईलहरू फेला पर्यो")</f>
        <v>कुल फाईलहरू फेला पर्यो</v>
      </c>
      <c r="O14" s="4" t="str">
        <f>IFERROR(__xludf.DUMMYFUNCTION("GOOGLETRANSLATE(B14, ""en"", ""de"")"),"Anzahl aller gefundenen Dateien")</f>
        <v>Anzahl aller gefundenen Dateien</v>
      </c>
      <c r="P14" s="4" t="str">
        <f>IFERROR(__xludf.DUMMYFUNCTION("GOOGLETRANSLATE(B14, ""en"", ""he"")"),"סך כל הקבצים שנמצאו")</f>
        <v>סך כל הקבצים שנמצאו</v>
      </c>
      <c r="Q14" s="4" t="str">
        <f>IFERROR(__xludf.DUMMYFUNCTION("GOOGLETRANSLATE(B14, ""en"", ""cs"")"),"Celkové nalezené soubory")</f>
        <v>Celkové nalezené soubory</v>
      </c>
      <c r="R14" s="4" t="str">
        <f>IFERROR(__xludf.DUMMYFUNCTION("GOOGLETRANSLATE(B14, ""en"", ""it"")"),"File totali trovati")</f>
        <v>File totali trovati</v>
      </c>
      <c r="S14" s="4" t="str">
        <f>IFERROR(__xludf.DUMMYFUNCTION("GOOGLETRANSLATE(B14, ""en"", ""el"")"),"Τα συνολικά αρχεία που βρέθηκαν")</f>
        <v>Τα συνολικά αρχεία που βρέθηκαν</v>
      </c>
    </row>
    <row r="15">
      <c r="A15" s="4" t="s">
        <v>43</v>
      </c>
      <c r="B15" s="4" t="s">
        <v>44</v>
      </c>
      <c r="C15" s="4" t="str">
        <f>IFERROR(__xludf.DUMMYFUNCTION("GOOGLETRANSLATE(B15, ""en"", ""es"")"),"Recuérdeme cuando las aplicaciones danan la batería")</f>
        <v>Recuérdeme cuando las aplicaciones danan la batería</v>
      </c>
      <c r="D15" s="4" t="str">
        <f>IFERROR(__xludf.DUMMYFUNCTION("GOOGLETRANSLATE(B15, ""en"", ""pt"")"),"Lembre-me quando aplicativos bateria danante")</f>
        <v>Lembre-me quando aplicativos bateria danante</v>
      </c>
      <c r="E15" s="4" t="str">
        <f>IFERROR(__xludf.DUMMYFUNCTION("GOOGLETRANSLATE(B15, ""en"", ""ar"")"),"تذكرني عند قيام Apps Draning Battery")</f>
        <v>تذكرني عند قيام Apps Draning Battery</v>
      </c>
      <c r="F15" s="4" t="str">
        <f>IFERROR(__xludf.DUMMYFUNCTION("GOOGLETRANSLATE(B15, ""en"", ""km"")"),"រំ me កខ្ញុំនៅពេលដែលកម្មវិធី Draning ថ្ម")</f>
        <v>រំ me កខ្ញុំនៅពេលដែលកម្មវិធី Draning ថ្ម</v>
      </c>
      <c r="G15" s="4" t="str">
        <f>IFERROR(__xludf.DUMMYFUNCTION("GOOGLETRANSLATE(B15, ""en"", ""fr"")"),"Rappelez-moi lorsque les applications détenteur de la batterie")</f>
        <v>Rappelez-moi lorsque les applications détenteur de la batterie</v>
      </c>
      <c r="H15" s="4" t="str">
        <f>IFERROR(__xludf.DUMMYFUNCTION("GOOGLETRANSLATE(B15, ""en"", ""ro"")"),"Amintește-mi când apps drenarea bateriei")</f>
        <v>Amintește-mi când apps drenarea bateriei</v>
      </c>
      <c r="I15" s="4" t="str">
        <f>IFERROR(__xludf.DUMMYFUNCTION("GOOGLETRANSLATE(B15, ""en"", ""my"")"),"အက်ပ်များကိုဘက်ထရီအားမောင်းနှင်သောအခါငါ့ကိုသတိပေးပါ")</f>
        <v>အက်ပ်များကိုဘက်ထရီအားမောင်းနှင်သောအခါငါ့ကိုသတိပေးပါ</v>
      </c>
      <c r="J15" s="4" t="str">
        <f>IFERROR(__xludf.DUMMYFUNCTION("GOOGLETRANSLATE(B15, ""en"", ""sw"")"),"Nikumbushe wakati programu za kupiga betri")</f>
        <v>Nikumbushe wakati programu za kupiga betri</v>
      </c>
      <c r="K15" s="4" t="str">
        <f>IFERROR(__xludf.DUMMYFUNCTION("GOOGLETRANSLATE(B15, ""en"", ""th"")"),"เตือนฉันเมื่อแอปที่เรียกใช้แบตเตอรี่")</f>
        <v>เตือนฉันเมื่อแอปที่เรียกใช้แบตเตอรี่</v>
      </c>
      <c r="L15" s="4" t="str">
        <f>IFERROR(__xludf.DUMMYFUNCTION("GOOGLETRANSLATE(B15, ""en"", ""si"")"),"යෙදුම් ඇද ගන්නා විට මට මතක් කරන්න")</f>
        <v>යෙදුම් ඇද ගන්නා විට මට මතක් කරන්න</v>
      </c>
      <c r="M15" s="4" t="str">
        <f>IFERROR(__xludf.DUMMYFUNCTION("GOOGLETRANSLATE(B15, ""en"", ""vi"")"),"Nhắc nhở tôi khi ứng dụng rút pin")</f>
        <v>Nhắc nhở tôi khi ứng dụng rút pin</v>
      </c>
      <c r="N15" s="4" t="str">
        <f>IFERROR(__xludf.DUMMYFUNCTION("GOOGLETRANSLATE(B15, ""en"", ""ne"")"),"मलाई अनुप्रयोगहरू ड्रएर ब्याट्री पेन्ट्री")</f>
        <v>मलाई अनुप्रयोगहरू ड्रएर ब्याट्री पेन्ट्री</v>
      </c>
      <c r="O15" s="4" t="str">
        <f>IFERROR(__xludf.DUMMYFUNCTION("GOOGLETRANSLATE(B15, ""en"", ""de"")"),"Erinnern Sie mich daran, wenn Apps Batterie strömen")</f>
        <v>Erinnern Sie mich daran, wenn Apps Batterie strömen</v>
      </c>
      <c r="P15" s="4" t="str">
        <f>IFERROR(__xludf.DUMMYFUNCTION("GOOGLETRANSLATE(B15, ""en"", ""he"")"),"להזכיר לי כאשר יישומים draning הסוללה")</f>
        <v>להזכיר לי כאשר יישומים draning הסוללה</v>
      </c>
      <c r="Q15" s="4" t="str">
        <f>IFERROR(__xludf.DUMMYFUNCTION("GOOGLETRANSLATE(B15, ""en"", ""cs"")"),"Připomeňte mi, kdy aplikace uniká baterie")</f>
        <v>Připomeňte mi, kdy aplikace uniká baterie</v>
      </c>
      <c r="R15" s="4" t="str">
        <f>IFERROR(__xludf.DUMMYFUNCTION("GOOGLETRANSLATE(B15, ""en"", ""it"")"),"Ricordami quando le app pagano la batteria")</f>
        <v>Ricordami quando le app pagano la batteria</v>
      </c>
      <c r="S15" s="4" t="str">
        <f>IFERROR(__xludf.DUMMYFUNCTION("GOOGLETRANSLATE(B15, ""en"", ""el"")"),"Θυμηθείτε μου όταν οι εφαρμογές καταρρέουν μπαταρία")</f>
        <v>Θυμηθείτε μου όταν οι εφαρμογές καταρρέουν μπαταρία</v>
      </c>
    </row>
    <row r="16">
      <c r="A16" s="4" t="s">
        <v>45</v>
      </c>
      <c r="B16" s="4" t="s">
        <v>46</v>
      </c>
      <c r="C16" s="4" t="str">
        <f>IFERROR(__xludf.DUMMYFUNCTION("GOOGLETRANSLATE(B16, ""en"", ""es"")"),"Atajo 888 creado")</f>
        <v>Atajo 888 creado</v>
      </c>
      <c r="D16" s="4" t="str">
        <f>IFERROR(__xludf.DUMMYFUNCTION("GOOGLETRANSLATE(B16, ""en"", ""pt"")"),"Atalho 888 Criado")</f>
        <v>Atalho 888 Criado</v>
      </c>
      <c r="E16" s="4" t="str">
        <f>IFERROR(__xludf.DUMMYFUNCTION("GOOGLETRANSLATE(B16, ""en"", ""ar"")"),"اختصار 888")</f>
        <v>اختصار 888</v>
      </c>
      <c r="F16" s="4" t="str">
        <f>IFERROR(__xludf.DUMMYFUNCTION("GOOGLETRANSLATE(B16, ""en"", ""km"")"),"ផ្លូវកាត់ 888 បានបង្កើត")</f>
        <v>ផ្លូវកាត់ 888 បានបង្កើត</v>
      </c>
      <c r="G16" s="4" t="str">
        <f>IFERROR(__xludf.DUMMYFUNCTION("GOOGLETRANSLATE(B16, ""en"", ""fr"")"),"Raccourci 888 créé")</f>
        <v>Raccourci 888 créé</v>
      </c>
      <c r="H16" s="4" t="str">
        <f>IFERROR(__xludf.DUMMYFUNCTION("GOOGLETRANSLATE(B16, ""en"", ""ro"")"),"Comandă rapidă 888 creată")</f>
        <v>Comandă rapidă 888 creată</v>
      </c>
      <c r="I16" s="4" t="str">
        <f>IFERROR(__xludf.DUMMYFUNCTION("GOOGLETRANSLATE(B16, ""en"", ""my"")"),"ဖြတ်လမ်း 888 ကိုဖန်တီးခဲ့သည်")</f>
        <v>ဖြတ်လမ်း 888 ကိုဖန်တီးခဲ့သည်</v>
      </c>
      <c r="J16" s="4" t="str">
        <f>IFERROR(__xludf.DUMMYFUNCTION("GOOGLETRANSLATE(B16, ""en"", ""sw"")"),"Njia ya mkato 888 imeundwa")</f>
        <v>Njia ya mkato 888 imeundwa</v>
      </c>
      <c r="K16" s="4" t="str">
        <f>IFERROR(__xludf.DUMMYFUNCTION("GOOGLETRANSLATE(B16, ""en"", ""th"")"),"สร้างทางลัด 888")</f>
        <v>สร้างทางลัด 888</v>
      </c>
      <c r="L16" s="4" t="str">
        <f>IFERROR(__xludf.DUMMYFUNCTION("GOOGLETRANSLATE(B16, ""en"", ""si"")"),"කෙටිමං 888 නිර්මාණය කරන ලදි")</f>
        <v>කෙටිමං 888 නිර්මාණය කරන ලදි</v>
      </c>
      <c r="M16" s="4" t="str">
        <f>IFERROR(__xludf.DUMMYFUNCTION("GOOGLETRANSLATE(B16, ""en"", ""vi"")"),"Phím tắt 888 đã tạo")</f>
        <v>Phím tắt 888 đã tạo</v>
      </c>
      <c r="N16" s="4" t="str">
        <f>IFERROR(__xludf.DUMMYFUNCTION("GOOGLETRANSLATE(B16, ""en"", ""ne"")"),"सर्टकट 8888 सिर्जना गरियो")</f>
        <v>सर्टकट 8888 सिर्जना गरियो</v>
      </c>
      <c r="O16" s="4" t="str">
        <f>IFERROR(__xludf.DUMMYFUNCTION("GOOGLETRANSLATE(B16, ""en"", ""de"")"),"Verknüpfung 888 erstellt")</f>
        <v>Verknüpfung 888 erstellt</v>
      </c>
      <c r="P16" s="4" t="str">
        <f>IFERROR(__xludf.DUMMYFUNCTION("GOOGLETRANSLATE(B16, ""en"", ""he"")"),"קיצור 888 נוצר")</f>
        <v>קיצור 888 נוצר</v>
      </c>
      <c r="Q16" s="4" t="str">
        <f>IFERROR(__xludf.DUMMYFUNCTION("GOOGLETRANSLATE(B16, ""en"", ""cs"")"),"Zkratka 888 vytvořen")</f>
        <v>Zkratka 888 vytvořen</v>
      </c>
      <c r="R16" s="4" t="str">
        <f>IFERROR(__xludf.DUMMYFUNCTION("GOOGLETRANSLATE(B16, ""en"", ""it"")"),"Sceltacolo 888 creato")</f>
        <v>Sceltacolo 888 creato</v>
      </c>
      <c r="S16" s="4" t="str">
        <f>IFERROR(__xludf.DUMMYFUNCTION("GOOGLETRANSLATE(B16, ""en"", ""el"")"),"Συντόμευση 888 δημιουργήθηκε")</f>
        <v>Συντόμευση 888 δημιουργήθηκε</v>
      </c>
    </row>
    <row r="17">
      <c r="A17" s="4" t="s">
        <v>47</v>
      </c>
      <c r="B17" s="4" t="s">
        <v>48</v>
      </c>
      <c r="C17" s="4" t="str">
        <f>IFERROR(__xludf.DUMMYFUNCTION("GOOGLETRANSLATE(B17, ""en"", ""es"")"),"Seguridad Optimización para aplicaciones ...")</f>
        <v>Seguridad Optimización para aplicaciones ...</v>
      </c>
      <c r="D17" s="4" t="str">
        <f>IFERROR(__xludf.DUMMYFUNCTION("GOOGLETRANSLATE(B17, ""en"", ""pt"")"),"Otimização de segurança para aplicativos ...")</f>
        <v>Otimização de segurança para aplicativos ...</v>
      </c>
      <c r="E17" s="4" t="str">
        <f>IFERROR(__xludf.DUMMYFUNCTION("GOOGLETRANSLATE(B17, ""en"", ""ar"")"),"الأمان تحسين التطبيقات ...")</f>
        <v>الأمان تحسين التطبيقات ...</v>
      </c>
      <c r="F17" s="4" t="str">
        <f>IFERROR(__xludf.DUMMYFUNCTION("GOOGLETRANSLATE(B17, ""en"", ""km"")"),"ការធ្វើឱ្យប្រសើរសុវត្ថិភាពសុវត្ថិភាពសម្រាប់កម្មវិធី ...")</f>
        <v>ការធ្វើឱ្យប្រសើរសុវត្ថិភាពសុវត្ថិភាពសម្រាប់កម្មវិធី ...</v>
      </c>
      <c r="G17" s="4" t="str">
        <f>IFERROR(__xludf.DUMMYFUNCTION("GOOGLETRANSLATE(B17, ""en"", ""fr"")"),"Optimisation de la sécurité pour les applications ...")</f>
        <v>Optimisation de la sécurité pour les applications ...</v>
      </c>
      <c r="H17" s="4" t="str">
        <f>IFERROR(__xludf.DUMMYFUNCTION("GOOGLETRANSLATE(B17, ""en"", ""ro"")"),"Optimizarea siguranței pentru aplicații ...")</f>
        <v>Optimizarea siguranței pentru aplicații ...</v>
      </c>
      <c r="I17" s="4" t="str">
        <f>IFERROR(__xludf.DUMMYFUNCTION("GOOGLETRANSLATE(B17, ""en"", ""my"")"),"အက်ပလီကေးရှင်းများအတွက်ပိုမိုလုံခြုံမှု ...")</f>
        <v>အက်ပလီကေးရှင်းများအတွက်ပိုမိုလုံခြုံမှု ...</v>
      </c>
      <c r="J17" s="4" t="str">
        <f>IFERROR(__xludf.DUMMYFUNCTION("GOOGLETRANSLATE(B17, ""en"", ""sw"")"),"Usalama wa kuboresha programu ...")</f>
        <v>Usalama wa kuboresha programu ...</v>
      </c>
      <c r="K17" s="4" t="str">
        <f>IFERROR(__xludf.DUMMYFUNCTION("GOOGLETRANSLATE(B17, ""en"", ""th"")"),"การเพิ่มประสิทธิภาพความปลอดภัยสำหรับแอพ ...")</f>
        <v>การเพิ่มประสิทธิภาพความปลอดภัยสำหรับแอพ ...</v>
      </c>
      <c r="L17" s="4" t="str">
        <f>IFERROR(__xludf.DUMMYFUNCTION("GOOGLETRANSLATE(B17, ""en"", ""si"")"),"යෙදුම් සඳහා ආරක්ෂාව ප්රශස්තිකරණය ...")</f>
        <v>යෙදුම් සඳහා ආරක්ෂාව ප්රශස්තිකරණය ...</v>
      </c>
      <c r="M17" s="4" t="str">
        <f>IFERROR(__xludf.DUMMYFUNCTION("GOOGLETRANSLATE(B17, ""en"", ""vi"")"),"Tối ưu hóa an toàn cho ứng dụng ...")</f>
        <v>Tối ưu hóa an toàn cho ứng dụng ...</v>
      </c>
      <c r="N17" s="4" t="str">
        <f>IFERROR(__xludf.DUMMYFUNCTION("GOOGLETRANSLATE(B17, ""en"", ""ne"")"),"सुरक्षाका लागि सुरक्षा अनुकूलन ...")</f>
        <v>सुरक्षाका लागि सुरक्षा अनुकूलन ...</v>
      </c>
      <c r="O17" s="4" t="str">
        <f>IFERROR(__xludf.DUMMYFUNCTION("GOOGLETRANSLATE(B17, ""en"", ""de"")"),"Sicherheitsoptimierung für Apps ...")</f>
        <v>Sicherheitsoptimierung für Apps ...</v>
      </c>
      <c r="P17" s="4" t="str">
        <f>IFERROR(__xludf.DUMMYFUNCTION("GOOGLETRANSLATE(B17, ""en"", ""he"")"),"בטיחות אופטימיזציה לאפליקציות ...")</f>
        <v>בטיחות אופטימיזציה לאפליקציות ...</v>
      </c>
      <c r="Q17" s="4" t="str">
        <f>IFERROR(__xludf.DUMMYFUNCTION("GOOGLETRANSLATE(B17, ""en"", ""cs"")"),"Bezpečnost optimalizace pro aplikace ...")</f>
        <v>Bezpečnost optimalizace pro aplikace ...</v>
      </c>
      <c r="R17" s="4" t="str">
        <f>IFERROR(__xludf.DUMMYFUNCTION("GOOGLETRANSLATE(B17, ""en"", ""it"")"),"Sicurezza ottimizzazione per app ...")</f>
        <v>Sicurezza ottimizzazione per app ...</v>
      </c>
      <c r="S17" s="4" t="str">
        <f>IFERROR(__xludf.DUMMYFUNCTION("GOOGLETRANSLATE(B17, ""en"", ""el"")"),"Βελτιστοποίηση ασφαλείας για εφαρμογές ...")</f>
        <v>Βελτιστοποίηση ασφαλείας για εφαρμογές ...</v>
      </c>
    </row>
    <row r="18">
      <c r="A18" s="4" t="s">
        <v>49</v>
      </c>
      <c r="B18" s="4" t="s">
        <v>50</v>
      </c>
      <c r="C18" s="4" t="str">
        <f>IFERROR(__xludf.DUMMYFUNCTION("GOOGLETRANSLATE(B18, ""en"", ""es"")"),"Eliminar la basura residual después de la aplicación desinstalada")</f>
        <v>Eliminar la basura residual después de la aplicación desinstalada</v>
      </c>
      <c r="D18" s="4" t="str">
        <f>IFERROR(__xludf.DUMMYFUNCTION("GOOGLETRANSLATE(B18, ""en"", ""pt"")"),"Exclua o lixo residual após o app desinstalado")</f>
        <v>Exclua o lixo residual após o app desinstalado</v>
      </c>
      <c r="E18" s="4" t="str">
        <f>IFERROR(__xludf.DUMMYFUNCTION("GOOGLETRANSLATE(B18, ""en"", ""ar"")"),"حذف غير المرغوب فيه المتبقية بعد إلغاء تثبيت التطبيق")</f>
        <v>حذف غير المرغوب فيه المتبقية بعد إلغاء تثبيت التطبيق</v>
      </c>
      <c r="F18" s="4" t="str">
        <f>IFERROR(__xludf.DUMMYFUNCTION("GOOGLETRANSLATE(B18, ""en"", ""km"")"),"លុបសារធាតុចិញ្ចឹមសំណល់បន្ទាប់ពីកម្មវិធីមិនដំណើរការ")</f>
        <v>លុបសារធាតុចិញ្ចឹមសំណល់បន្ទាប់ពីកម្មវិធីមិនដំណើរការ</v>
      </c>
      <c r="G18" s="4" t="str">
        <f>IFERROR(__xludf.DUMMYFUNCTION("GOOGLETRANSLATE(B18, ""en"", ""fr"")"),"Supprimer la jonque résiduelle après l'application désinstallé")</f>
        <v>Supprimer la jonque résiduelle après l'application désinstallé</v>
      </c>
      <c r="H18" s="4" t="str">
        <f>IFERROR(__xludf.DUMMYFUNCTION("GOOGLETRANSLATE(B18, ""en"", ""ro"")"),"Ștergeți junkul rezidual după aplicația de dezinstalat")</f>
        <v>Ștergeți junkul rezidual după aplicația de dezinstalat</v>
      </c>
      <c r="I18" s="4" t="str">
        <f>IFERROR(__xludf.DUMMYFUNCTION("GOOGLETRANSLATE(B18, ""en"", ""my"")"),"app ကို uninstall လုပ်ပြီးနောက်ကျန်ရှိသော junk ကိုဖျက်ပါ")</f>
        <v>app ကို uninstall လုပ်ပြီးနောက်ကျန်ရှိသော junk ကိုဖျက်ပါ</v>
      </c>
      <c r="J18" s="4" t="str">
        <f>IFERROR(__xludf.DUMMYFUNCTION("GOOGLETRANSLATE(B18, ""en"", ""sw"")"),"Futa junk iliyobaki baada ya programu kufuta")</f>
        <v>Futa junk iliyobaki baada ya programu kufuta</v>
      </c>
      <c r="K18" s="4" t="str">
        <f>IFERROR(__xludf.DUMMYFUNCTION("GOOGLETRANSLATE(B18, ""en"", ""th"")"),"ลบขยะตกค้างหลังจากถอนการติดตั้งแอป")</f>
        <v>ลบขยะตกค้างหลังจากถอนการติดตั้งแอป</v>
      </c>
      <c r="L18" s="4" t="str">
        <f>IFERROR(__xludf.DUMMYFUNCTION("GOOGLETRANSLATE(B18, ""en"", ""si"")"),"යෙදුම අනන්තයෙන් පසු අවශේෂ කුණු කසළ මකන්න")</f>
        <v>යෙදුම අනන්තයෙන් පසු අවශේෂ කුණු කසළ මකන්න</v>
      </c>
      <c r="M18" s="4" t="str">
        <f>IFERROR(__xludf.DUMMYFUNCTION("GOOGLETRANSLATE(B18, ""en"", ""vi"")"),"Xóa rác còn lại sau khi gỡ cài đặt ứng dụng")</f>
        <v>Xóa rác còn lại sau khi gỡ cài đặt ứng dụng</v>
      </c>
      <c r="N18" s="4" t="str">
        <f>IFERROR(__xludf.DUMMYFUNCTION("GOOGLETRANSLATE(B18, ""en"", ""ne"")"),"अपेक्षित पछि अवशिष्ट जंक हटाउनुहोस्")</f>
        <v>अपेक्षित पछि अवशिष्ट जंक हटाउनुहोस्</v>
      </c>
      <c r="O18" s="4" t="str">
        <f>IFERROR(__xludf.DUMMYFUNCTION("GOOGLETRANSLATE(B18, ""en"", ""de"")"),"Löschen Sie den restlichen Müll nach dem Deinstallieren der App")</f>
        <v>Löschen Sie den restlichen Müll nach dem Deinstallieren der App</v>
      </c>
      <c r="P18" s="4" t="str">
        <f>IFERROR(__xludf.DUMMYFUNCTION("GOOGLETRANSLATE(B18, ""en"", ""he"")"),"מחק את הזבל שיורית לאחר הסרת האפליקציה")</f>
        <v>מחק את הזבל שיורית לאחר הסרת האפליקציה</v>
      </c>
      <c r="Q18" s="4" t="str">
        <f>IFERROR(__xludf.DUMMYFUNCTION("GOOGLETRANSLATE(B18, ""en"", ""cs"")"),"Odstranit zbytkovou nevyžádanou po aplikaci Odinstalace")</f>
        <v>Odstranit zbytkovou nevyžádanou po aplikaci Odinstalace</v>
      </c>
      <c r="R18" s="4" t="str">
        <f>IFERROR(__xludf.DUMMYFUNCTION("GOOGLETRANSLATE(B18, ""en"", ""it"")"),"Elimina la spazzatura residua dopo l'app disinstallata")</f>
        <v>Elimina la spazzatura residua dopo l'app disinstallata</v>
      </c>
      <c r="S18" s="4" t="str">
        <f>IFERROR(__xludf.DUMMYFUNCTION("GOOGLETRANSLATE(B18, ""en"", ""el"")"),"Διαγράψτε το υπολειμματικό σκουπίδια μετά την απεγκατάσταση της εφαρμογής")</f>
        <v>Διαγράψτε το υπολειμματικό σκουπίδια μετά την απεγκατάσταση της εφαρμογής</v>
      </c>
    </row>
    <row r="19">
      <c r="A19" s="4" t="s">
        <v>51</v>
      </c>
      <c r="B19" s="4" t="s">
        <v>52</v>
      </c>
      <c r="C19" s="4" t="str">
        <f>IFERROR(__xludf.DUMMYFUNCTION("GOOGLETRANSLATE(B19, ""en"", ""es"")"),"Reparar")</f>
        <v>Reparar</v>
      </c>
      <c r="D19" s="4" t="str">
        <f>IFERROR(__xludf.DUMMYFUNCTION("GOOGLETRANSLATE(B19, ""en"", ""pt"")"),"Consertar")</f>
        <v>Consertar</v>
      </c>
      <c r="E19" s="4" t="str">
        <f>IFERROR(__xludf.DUMMYFUNCTION("GOOGLETRANSLATE(B19, ""en"", ""ar"")"),"يصلح")</f>
        <v>يصلح</v>
      </c>
      <c r="F19" s="4" t="str">
        <f>IFERROR(__xludf.DUMMYFUNCTION("GOOGLETRANSLATE(B19, ""en"", ""km"")"),"ចយសចុល")</f>
        <v>ចយសចុល</v>
      </c>
      <c r="G19" s="4" t="str">
        <f>IFERROR(__xludf.DUMMYFUNCTION("GOOGLETRANSLATE(B19, ""en"", ""fr"")"),"Réparer")</f>
        <v>Réparer</v>
      </c>
      <c r="H19" s="4" t="str">
        <f>IFERROR(__xludf.DUMMYFUNCTION("GOOGLETRANSLATE(B19, ""en"", ""ro"")"),"Fixați")</f>
        <v>Fixați</v>
      </c>
      <c r="I19" s="4" t="str">
        <f>IFERROR(__xludf.DUMMYFUNCTION("GOOGLETRANSLATE(B19, ""en"", ""my"")"),"ပုံသေတပ်ထား")</f>
        <v>ပုံသေတပ်ထား</v>
      </c>
      <c r="J19" s="4" t="str">
        <f>IFERROR(__xludf.DUMMYFUNCTION("GOOGLETRANSLATE(B19, ""en"", ""sw"")"),"Fix")</f>
        <v>Fix</v>
      </c>
      <c r="K19" s="4" t="str">
        <f>IFERROR(__xludf.DUMMYFUNCTION("GOOGLETRANSLATE(B19, ""en"", ""th"")"),"แก้ไข")</f>
        <v>แก้ไข</v>
      </c>
      <c r="L19" s="4" t="str">
        <f>IFERROR(__xludf.DUMMYFUNCTION("GOOGLETRANSLATE(B19, ""en"", ""si"")"),"නිවැරදි කරන්න")</f>
        <v>නිවැරදි කරන්න</v>
      </c>
      <c r="M19" s="4" t="str">
        <f>IFERROR(__xludf.DUMMYFUNCTION("GOOGLETRANSLATE(B19, ""en"", ""vi"")"),"Sửa lại")</f>
        <v>Sửa lại</v>
      </c>
      <c r="N19" s="4" t="str">
        <f>IFERROR(__xludf.DUMMYFUNCTION("GOOGLETRANSLATE(B19, ""en"", ""ne"")"),"ठोक्नु")</f>
        <v>ठोक्नु</v>
      </c>
      <c r="O19" s="4" t="str">
        <f>IFERROR(__xludf.DUMMYFUNCTION("GOOGLETRANSLATE(B19, ""en"", ""de"")"),"Fix")</f>
        <v>Fix</v>
      </c>
      <c r="P19" s="4" t="str">
        <f>IFERROR(__xludf.DUMMYFUNCTION("GOOGLETRANSLATE(B19, ""en"", ""he"")"),"לתקן")</f>
        <v>לתקן</v>
      </c>
      <c r="Q19" s="4" t="str">
        <f>IFERROR(__xludf.DUMMYFUNCTION("GOOGLETRANSLATE(B19, ""en"", ""cs"")"),"Opravit")</f>
        <v>Opravit</v>
      </c>
      <c r="R19" s="4" t="str">
        <f>IFERROR(__xludf.DUMMYFUNCTION("GOOGLETRANSLATE(B19, ""en"", ""it"")"),"Aggiustare")</f>
        <v>Aggiustare</v>
      </c>
      <c r="S19" s="4" t="str">
        <f>IFERROR(__xludf.DUMMYFUNCTION("GOOGLETRANSLATE(B19, ""en"", ""el"")"),"Διορθώσετε")</f>
        <v>Διορθώσετε</v>
      </c>
    </row>
    <row r="20">
      <c r="A20" s="4" t="s">
        <v>53</v>
      </c>
      <c r="B20" s="4" t="s">
        <v>54</v>
      </c>
      <c r="C20" s="4" t="str">
        <f>IFERROR(__xludf.DUMMYFUNCTION("GOOGLETRANSLATE(B20, ""en"", ""es"")"),"""La aplicación seleccionada será ignorada durante el análisis de virus""")</f>
        <v>"La aplicación seleccionada será ignorada durante el análisis de virus"</v>
      </c>
      <c r="D20" s="4" t="str">
        <f>IFERROR(__xludf.DUMMYFUNCTION("GOOGLETRANSLATE(B20, ""en"", ""pt"")"),"""O aplicativo selecionado será ignorado durante a varredura de vírus""")</f>
        <v>"O aplicativo selecionado será ignorado durante a varredura de vírus"</v>
      </c>
      <c r="E20" s="4" t="str">
        <f>IFERROR(__xludf.DUMMYFUNCTION("GOOGLETRANSLATE(B20, ""en"", ""ar"")"),"سيتم تجاهل التطبيق المحدد أثناء مسح الفيروسات """)</f>
        <v>سيتم تجاهل التطبيق المحدد أثناء مسح الفيروسات "</v>
      </c>
      <c r="F20" s="4" t="str">
        <f>IFERROR(__xludf.DUMMYFUNCTION("GOOGLETRANSLATE(B20, ""en"", ""km"")"),"msgstr ""កម្មវិធីដែលបានជ្រើសនឹងត្រូវបានមិនអើពើអំឡុងការស្កេនមេរោគ""")</f>
        <v>msgstr "កម្មវិធីដែលបានជ្រើសនឹងត្រូវបានមិនអើពើអំឡុងការស្កេនមេរោគ"</v>
      </c>
      <c r="G20" s="4" t="str">
        <f>IFERROR(__xludf.DUMMYFUNCTION("GOOGLETRANSLATE(B20, ""en"", ""fr"")"),"""L'application sélectionnée sera ignorée pendant le scan des virus""")</f>
        <v>"L'application sélectionnée sera ignorée pendant le scan des virus"</v>
      </c>
      <c r="H20" s="4" t="str">
        <f>IFERROR(__xludf.DUMMYFUNCTION("GOOGLETRANSLATE(B20, ""en"", ""ro"")"),"""Aplicația selectată va fi ignorată în timpul scanării virusului""")</f>
        <v>"Aplicația selectată va fi ignorată în timpul scanării virusului"</v>
      </c>
      <c r="I20" s="4" t="str">
        <f>IFERROR(__xludf.DUMMYFUNCTION("GOOGLETRANSLATE(B20, ""en"", ""my"")"),"""ရွေးချယ်ထားသောလျှောက်လွှာကိုဗိုင်းရပ်စ်စကင်ဖတ်စစ်ဆေးမှုတွင်လျစ်လျူရှုပါလိမ့်မည်။")</f>
        <v>"ရွေးချယ်ထားသောလျှောက်လွှာကိုဗိုင်းရပ်စ်စကင်ဖတ်စစ်ဆေးမှုတွင်လျစ်လျူရှုပါလိမ့်မည်။</v>
      </c>
      <c r="J20" s="4" t="str">
        <f>IFERROR(__xludf.DUMMYFUNCTION("GOOGLETRANSLATE(B20, ""en"", ""sw"")"),"""Maombi yaliyochaguliwa yatapuuzwa wakati wa Scan ya Virusi""")</f>
        <v>"Maombi yaliyochaguliwa yatapuuzwa wakati wa Scan ya Virusi"</v>
      </c>
      <c r="K20" s="4" t="str">
        <f>IFERROR(__xludf.DUMMYFUNCTION("GOOGLETRANSLATE(B20, ""en"", ""th"")"),"""แอปพลิเคชันที่เลือกจะถูกละเว้นระหว่างการสแกนไวรัส""")</f>
        <v>"แอปพลิเคชันที่เลือกจะถูกละเว้นระหว่างการสแกนไวรัส"</v>
      </c>
      <c r="L20" s="4" t="str">
        <f>IFERROR(__xludf.DUMMYFUNCTION("GOOGLETRANSLATE(B20, ""en"", ""si"")"),"""වෛරස් ස්කෑන් කිරීමේදී තෝරාගත් අයදුම්පත නොසලකා හරිනු ඇත""")</f>
        <v>"වෛරස් ස්කෑන් කිරීමේදී තෝරාගත් අයදුම්පත නොසලකා හරිනු ඇත"</v>
      </c>
      <c r="M20" s="4" t="str">
        <f>IFERROR(__xludf.DUMMYFUNCTION("GOOGLETRANSLATE(B20, ""en"", ""vi"")"),"Ứng dụng đã chọn sẽ bị bỏ qua trong quá trình quét vi-rút")</f>
        <v>Ứng dụng đã chọn sẽ bị bỏ qua trong quá trình quét vi-rút</v>
      </c>
      <c r="N20" s="4" t="str">
        <f>IFERROR(__xludf.DUMMYFUNCTION("GOOGLETRANSLATE(B20, ""en"", ""ne"")"),"""चयनित अनुप्रयोग भाइरस स्क्यानरको बखत उपेक्षा गरिनेछ""")</f>
        <v>"चयनित अनुप्रयोग भाइरस स्क्यानरको बखत उपेक्षा गरिनेछ"</v>
      </c>
      <c r="O20" s="4" t="str">
        <f>IFERROR(__xludf.DUMMYFUNCTION("GOOGLETRANSLATE(B20, ""en"", ""de"")"),"""Die ausgewählte Anwendung wird während des Viren-Scans ignoriert""")</f>
        <v>"Die ausgewählte Anwendung wird während des Viren-Scans ignoriert"</v>
      </c>
      <c r="P20" s="4" t="str">
        <f>IFERROR(__xludf.DUMMYFUNCTION("GOOGLETRANSLATE(B20, ""en"", ""he"")"),"""הבקשה שנבחרה תתעלם במהלך סריקת הנגיף""")</f>
        <v>"הבקשה שנבחרה תתעלם במהלך סריקת הנגיף"</v>
      </c>
      <c r="Q20" s="4" t="str">
        <f>IFERROR(__xludf.DUMMYFUNCTION("GOOGLETRANSLATE(B20, ""en"", ""cs"")"),"""Vybraná aplikace bude ignorována během virového skenování""")</f>
        <v>"Vybraná aplikace bude ignorována během virového skenování"</v>
      </c>
      <c r="R20" s="4" t="str">
        <f>IFERROR(__xludf.DUMMYFUNCTION("GOOGLETRANSLATE(B20, ""en"", ""it"")"),"""L'applicazione selezionata verrà ignorata durante la scansione dei virus""")</f>
        <v>"L'applicazione selezionata verrà ignorata durante la scansione dei virus"</v>
      </c>
      <c r="S20" s="4" t="str">
        <f>IFERROR(__xludf.DUMMYFUNCTION("GOOGLETRANSLATE(B20, ""en"", ""el"")"),"""Η επιλεγμένη εφαρμογή θα αγνοηθεί κατά τη διάρκεια της σάρωσης του ιού""")</f>
        <v>"Η επιλεγμένη εφαρμογή θα αγνοηθεί κατά τη διάρκεια της σάρωσης του ιού"</v>
      </c>
    </row>
    <row r="21" ht="15.75" customHeight="1">
      <c r="A21" s="4" t="s">
        <v>55</v>
      </c>
      <c r="B21" s="4" t="s">
        <v>56</v>
      </c>
      <c r="C21" s="4" t="str">
        <f>IFERROR(__xludf.DUMMYFUNCTION("GOOGLETRANSLATE(B21, ""en"", ""es"")"),"Pregunta de Seguridad:")</f>
        <v>Pregunta de Seguridad:</v>
      </c>
      <c r="D21" s="4" t="str">
        <f>IFERROR(__xludf.DUMMYFUNCTION("GOOGLETRANSLATE(B21, ""en"", ""pt"")"),"Pergunta de Segurança:")</f>
        <v>Pergunta de Segurança:</v>
      </c>
      <c r="E21" s="4" t="str">
        <f>IFERROR(__xludf.DUMMYFUNCTION("GOOGLETRANSLATE(B21, ""en"", ""ar"")"),"مسألة أمان:")</f>
        <v>مسألة أمان:</v>
      </c>
      <c r="F21" s="4" t="str">
        <f>IFERROR(__xludf.DUMMYFUNCTION("GOOGLETRANSLATE(B21, ""en"", ""km"")"),"សំនួរ​សុវត្ថិភាព:")</f>
        <v>សំនួរ​សុវត្ថិភាព:</v>
      </c>
      <c r="G21" s="4" t="str">
        <f>IFERROR(__xludf.DUMMYFUNCTION("GOOGLETRANSLATE(B21, ""en"", ""fr"")"),"Question de sécurité:")</f>
        <v>Question de sécurité:</v>
      </c>
      <c r="H21" s="4" t="str">
        <f>IFERROR(__xludf.DUMMYFUNCTION("GOOGLETRANSLATE(B21, ""en"", ""ro"")"),"Întrebare de securitate:")</f>
        <v>Întrebare de securitate:</v>
      </c>
      <c r="I21" s="4" t="str">
        <f>IFERROR(__xludf.DUMMYFUNCTION("GOOGLETRANSLATE(B21, ""en"", ""my"")"),"လုံခြုံရေးမေးခွန်း:")</f>
        <v>လုံခြုံရေးမေးခွန်း:</v>
      </c>
      <c r="J21" s="4" t="str">
        <f>IFERROR(__xludf.DUMMYFUNCTION("GOOGLETRANSLATE(B21, ""en"", ""sw"")"),"Swali la Usalama:")</f>
        <v>Swali la Usalama:</v>
      </c>
      <c r="K21" s="4" t="str">
        <f>IFERROR(__xludf.DUMMYFUNCTION("GOOGLETRANSLATE(B21, ""en"", ""th"")"),"คำถามเพื่อความปลอดภัย:")</f>
        <v>คำถามเพื่อความปลอดภัย:</v>
      </c>
      <c r="L21" s="4" t="str">
        <f>IFERROR(__xludf.DUMMYFUNCTION("GOOGLETRANSLATE(B21, ""en"", ""si"")"),"ආරක්ෂණ ප්රශ්ණය:")</f>
        <v>ආරක්ෂණ ප්රශ්ණය:</v>
      </c>
      <c r="M21" s="4" t="str">
        <f>IFERROR(__xludf.DUMMYFUNCTION("GOOGLETRANSLATE(B21, ""en"", ""vi"")"),"Câu hỏi bảo mật:")</f>
        <v>Câu hỏi bảo mật:</v>
      </c>
      <c r="N21" s="4" t="str">
        <f>IFERROR(__xludf.DUMMYFUNCTION("GOOGLETRANSLATE(B21, ""en"", ""ne"")"),"सुरक्षा प्रश्न:")</f>
        <v>सुरक्षा प्रश्न:</v>
      </c>
      <c r="O21" s="4" t="str">
        <f>IFERROR(__xludf.DUMMYFUNCTION("GOOGLETRANSLATE(B21, ""en"", ""de"")"),"Sicherheitsfrage:")</f>
        <v>Sicherheitsfrage:</v>
      </c>
      <c r="P21" s="4" t="str">
        <f>IFERROR(__xludf.DUMMYFUNCTION("GOOGLETRANSLATE(B21, ""en"", ""he"")"),"שאלת בטחון:")</f>
        <v>שאלת בטחון:</v>
      </c>
      <c r="Q21" s="4" t="str">
        <f>IFERROR(__xludf.DUMMYFUNCTION("GOOGLETRANSLATE(B21, ""en"", ""cs"")"),"Bezpečnostní otázka:")</f>
        <v>Bezpečnostní otázka:</v>
      </c>
      <c r="R21" s="4" t="str">
        <f>IFERROR(__xludf.DUMMYFUNCTION("GOOGLETRANSLATE(B21, ""en"", ""it"")"),"Domanda di Sicurezza:")</f>
        <v>Domanda di Sicurezza:</v>
      </c>
      <c r="S21" s="4" t="str">
        <f>IFERROR(__xludf.DUMMYFUNCTION("GOOGLETRANSLATE(B21, ""en"", ""el"")"),"Ερώτηση Ασφαλείας:")</f>
        <v>Ερώτηση Ασφαλείας:</v>
      </c>
    </row>
    <row r="22" ht="15.75" customHeight="1">
      <c r="A22" s="4" t="s">
        <v>57</v>
      </c>
      <c r="B22" s="4" t="s">
        <v>58</v>
      </c>
      <c r="C22" s="4" t="str">
        <f>IFERROR(__xludf.DUMMYFUNCTION("GOOGLETRANSLATE(B22, ""en"", ""es"")"),"Optimizando ...")</f>
        <v>Optimizando ...</v>
      </c>
      <c r="D22" s="4" t="str">
        <f>IFERROR(__xludf.DUMMYFUNCTION("GOOGLETRANSLATE(B22, ""en"", ""pt"")"),"Otimizando ...")</f>
        <v>Otimizando ...</v>
      </c>
      <c r="E22" s="4" t="str">
        <f>IFERROR(__xludf.DUMMYFUNCTION("GOOGLETRANSLATE(B22, ""en"", ""ar"")"),"تحسين ...")</f>
        <v>تحسين ...</v>
      </c>
      <c r="F22" s="4" t="str">
        <f>IFERROR(__xludf.DUMMYFUNCTION("GOOGLETRANSLATE(B22, ""en"", ""km"")"),"បង្កើនប្រសិទ្ធភាព ...")</f>
        <v>បង្កើនប្រសិទ្ធភាព ...</v>
      </c>
      <c r="G22" s="4" t="str">
        <f>IFERROR(__xludf.DUMMYFUNCTION("GOOGLETRANSLATE(B22, ""en"", ""fr"")"),"Optimiser ...")</f>
        <v>Optimiser ...</v>
      </c>
      <c r="H22" s="4" t="str">
        <f>IFERROR(__xludf.DUMMYFUNCTION("GOOGLETRANSLATE(B22, ""en"", ""ro"")"),"Optimizarea ...")</f>
        <v>Optimizarea ...</v>
      </c>
      <c r="I22" s="4" t="str">
        <f>IFERROR(__xludf.DUMMYFUNCTION("GOOGLETRANSLATE(B22, ""en"", ""my"")"),"ပိုကောင်းအောင် ...")</f>
        <v>ပိုကောင်းအောင် ...</v>
      </c>
      <c r="J22" s="4" t="str">
        <f>IFERROR(__xludf.DUMMYFUNCTION("GOOGLETRANSLATE(B22, ""en"", ""sw"")"),"Kuboresha ...")</f>
        <v>Kuboresha ...</v>
      </c>
      <c r="K22" s="4" t="str">
        <f>IFERROR(__xludf.DUMMYFUNCTION("GOOGLETRANSLATE(B22, ""en"", ""th"")"),"เพิ่มประสิทธิภาพ ...")</f>
        <v>เพิ่มประสิทธิภาพ ...</v>
      </c>
      <c r="L22" s="4" t="str">
        <f>IFERROR(__xludf.DUMMYFUNCTION("GOOGLETRANSLATE(B22, ""en"", ""si"")"),"ප්රශස්තිකරණය ...")</f>
        <v>ප්රශස්තිකරණය ...</v>
      </c>
      <c r="M22" s="4" t="str">
        <f>IFERROR(__xludf.DUMMYFUNCTION("GOOGLETRANSLATE(B22, ""en"", ""vi"")"),"Tối ưu hóa ...")</f>
        <v>Tối ưu hóa ...</v>
      </c>
      <c r="N22" s="4" t="str">
        <f>IFERROR(__xludf.DUMMYFUNCTION("GOOGLETRANSLATE(B22, ""en"", ""ne"")"),"अनुकूलन ...")</f>
        <v>अनुकूलन ...</v>
      </c>
      <c r="O22" s="4" t="str">
        <f>IFERROR(__xludf.DUMMYFUNCTION("GOOGLETRANSLATE(B22, ""en"", ""de"")"),"Optimierung ...")</f>
        <v>Optimierung ...</v>
      </c>
      <c r="P22" s="4" t="str">
        <f>IFERROR(__xludf.DUMMYFUNCTION("GOOGLETRANSLATE(B22, ""en"", ""he"")"),"אופטימיזציה ...")</f>
        <v>אופטימיזציה ...</v>
      </c>
      <c r="Q22" s="4" t="str">
        <f>IFERROR(__xludf.DUMMYFUNCTION("GOOGLETRANSLATE(B22, ""en"", ""cs"")"),"Optimalizace ...")</f>
        <v>Optimalizace ...</v>
      </c>
      <c r="R22" s="4" t="str">
        <f>IFERROR(__xludf.DUMMYFUNCTION("GOOGLETRANSLATE(B22, ""en"", ""it"")"),"Ottimizzazione ...")</f>
        <v>Ottimizzazione ...</v>
      </c>
      <c r="S22" s="4" t="str">
        <f>IFERROR(__xludf.DUMMYFUNCTION("GOOGLETRANSLATE(B22, ""en"", ""el"")"),"Βελτιστοποίηση ...")</f>
        <v>Βελτιστοποίηση ...</v>
      </c>
    </row>
    <row r="23" ht="15.75" customHeight="1">
      <c r="A23" s="4" t="s">
        <v>59</v>
      </c>
      <c r="B23" s="4" t="s">
        <v>60</v>
      </c>
      <c r="C23" s="4" t="str">
        <f>IFERROR(__xludf.DUMMYFUNCTION("GOOGLETRANSLATE(B23, ""en"", ""es"")"),"Impulso telefónico")</f>
        <v>Impulso telefónico</v>
      </c>
      <c r="D23" s="4" t="str">
        <f>IFERROR(__xludf.DUMMYFUNCTION("GOOGLETRANSLATE(B23, ""en"", ""pt"")"),"Boost Telefone")</f>
        <v>Boost Telefone</v>
      </c>
      <c r="E23" s="4" t="str">
        <f>IFERROR(__xludf.DUMMYFUNCTION("GOOGLETRANSLATE(B23, ""en"", ""ar"")"),"دفعة الهاتف")</f>
        <v>دفعة الهاتف</v>
      </c>
      <c r="F23" s="4" t="str">
        <f>IFERROR(__xludf.DUMMYFUNCTION("GOOGLETRANSLATE(B23, ""en"", ""km"")"),"ការជំរុញទូរស័ព្ទ")</f>
        <v>ការជំរុញទូរស័ព្ទ</v>
      </c>
      <c r="G23" s="4" t="str">
        <f>IFERROR(__xludf.DUMMYFUNCTION("GOOGLETRANSLATE(B23, ""en"", ""fr"")"),"Phone boost")</f>
        <v>Phone boost</v>
      </c>
      <c r="H23" s="4" t="str">
        <f>IFERROR(__xludf.DUMMYFUNCTION("GOOGLETRANSLATE(B23, ""en"", ""ro"")"),"Boost telefonul")</f>
        <v>Boost telefonul</v>
      </c>
      <c r="I23" s="4" t="str">
        <f>IFERROR(__xludf.DUMMYFUNCTION("GOOGLETRANSLATE(B23, ""en"", ""my"")"),"ဖုန်းကိုမြှင့်တင်")</f>
        <v>ဖုန်းကိုမြှင့်တင်</v>
      </c>
      <c r="J23" s="4" t="str">
        <f>IFERROR(__xludf.DUMMYFUNCTION("GOOGLETRANSLATE(B23, ""en"", ""sw"")"),"Kuongeza simu.")</f>
        <v>Kuongeza simu.</v>
      </c>
      <c r="K23" s="4" t="str">
        <f>IFERROR(__xludf.DUMMYFUNCTION("GOOGLETRANSLATE(B23, ""en"", ""th"")"),"เพิ่มโทรศัพท์")</f>
        <v>เพิ่มโทรศัพท์</v>
      </c>
      <c r="L23" s="4" t="str">
        <f>IFERROR(__xludf.DUMMYFUNCTION("GOOGLETRANSLATE(B23, ""en"", ""si"")"),"දුරකථන තල්ලුව")</f>
        <v>දුරකථන තල්ලුව</v>
      </c>
      <c r="M23" s="4" t="str">
        <f>IFERROR(__xludf.DUMMYFUNCTION("GOOGLETRANSLATE(B23, ""en"", ""vi"")"),"Boost điện thoại")</f>
        <v>Boost điện thoại</v>
      </c>
      <c r="N23" s="4" t="str">
        <f>IFERROR(__xludf.DUMMYFUNCTION("GOOGLETRANSLATE(B23, ""en"", ""ne"")"),"फोन बृद्धि")</f>
        <v>फोन बृद्धि</v>
      </c>
      <c r="O23" s="4" t="str">
        <f>IFERROR(__xludf.DUMMYFUNCTION("GOOGLETRANSLATE(B23, ""en"", ""de"")"),"Telefonierboost")</f>
        <v>Telefonierboost</v>
      </c>
      <c r="P23" s="4" t="str">
        <f>IFERROR(__xludf.DUMMYFUNCTION("GOOGLETRANSLATE(B23, ""en"", ""he"")"),"טלפון Boost.")</f>
        <v>טלפון Boost.</v>
      </c>
      <c r="Q23" s="4" t="str">
        <f>IFERROR(__xludf.DUMMYFUNCTION("GOOGLETRANSLATE(B23, ""en"", ""cs"")"),"Telefon Boost.")</f>
        <v>Telefon Boost.</v>
      </c>
      <c r="R23" s="4" t="str">
        <f>IFERROR(__xludf.DUMMYFUNCTION("GOOGLETRANSLATE(B23, ""en"", ""it"")"),"Boost del telefono")</f>
        <v>Boost del telefono</v>
      </c>
      <c r="S23" s="4" t="str">
        <f>IFERROR(__xludf.DUMMYFUNCTION("GOOGLETRANSLATE(B23, ""en"", ""el"")"),"Τηλέφωνο")</f>
        <v>Τηλέφωνο</v>
      </c>
    </row>
    <row r="24" ht="15.75" customHeight="1">
      <c r="A24" s="4" t="s">
        <v>61</v>
      </c>
      <c r="B24" s="4" t="s">
        <v>62</v>
      </c>
      <c r="C24" s="4" t="str">
        <f>IFERROR(__xludf.DUMMYFUNCTION("GOOGLETRANSLATE(B24, ""en"", ""es"")"),"Habilitado ahora")</f>
        <v>Habilitado ahora</v>
      </c>
      <c r="D24" s="4" t="str">
        <f>IFERROR(__xludf.DUMMYFUNCTION("GOOGLETRANSLATE(B24, ""en"", ""pt"")"),"Ativar agora")</f>
        <v>Ativar agora</v>
      </c>
      <c r="E24" s="4" t="str">
        <f>IFERROR(__xludf.DUMMYFUNCTION("GOOGLETRANSLATE(B24, ""en"", ""ar"")"),"تمكين الآن")</f>
        <v>تمكين الآن</v>
      </c>
      <c r="F24" s="4" t="str">
        <f>IFERROR(__xludf.DUMMYFUNCTION("GOOGLETRANSLATE(B24, ""en"", ""km"")"),"បើកដំណើរការឥឡូវនេះ")</f>
        <v>បើកដំណើរការឥឡូវនេះ</v>
      </c>
      <c r="G24" s="4" t="str">
        <f>IFERROR(__xludf.DUMMYFUNCTION("GOOGLETRANSLATE(B24, ""en"", ""fr"")"),"Activer maintenant")</f>
        <v>Activer maintenant</v>
      </c>
      <c r="H24" s="4" t="str">
        <f>IFERROR(__xludf.DUMMYFUNCTION("GOOGLETRANSLATE(B24, ""en"", ""ro"")"),"Activați acum")</f>
        <v>Activați acum</v>
      </c>
      <c r="I24" s="4" t="str">
        <f>IFERROR(__xludf.DUMMYFUNCTION("GOOGLETRANSLATE(B24, ""en"", ""my"")"),"ယခုဖွင့်ပါ")</f>
        <v>ယခုဖွင့်ပါ</v>
      </c>
      <c r="J24" s="4" t="str">
        <f>IFERROR(__xludf.DUMMYFUNCTION("GOOGLETRANSLATE(B24, ""en"", ""sw"")"),"Wezesha Sasa")</f>
        <v>Wezesha Sasa</v>
      </c>
      <c r="K24" s="4" t="str">
        <f>IFERROR(__xludf.DUMMYFUNCTION("GOOGLETRANSLATE(B24, ""en"", ""th"")"),"เปิดใช้งานตอนนี้")</f>
        <v>เปิดใช้งานตอนนี้</v>
      </c>
      <c r="L24" s="4" t="str">
        <f>IFERROR(__xludf.DUMMYFUNCTION("GOOGLETRANSLATE(B24, ""en"", ""si"")"),"දැන් සක්රීය කරන්න")</f>
        <v>දැන් සක්රීය කරන්න</v>
      </c>
      <c r="M24" s="4" t="str">
        <f>IFERROR(__xludf.DUMMYFUNCTION("GOOGLETRANSLATE(B24, ""en"", ""vi"")"),"Kích hoạt ngay bây giờ")</f>
        <v>Kích hoạt ngay bây giờ</v>
      </c>
      <c r="N24" s="4" t="str">
        <f>IFERROR(__xludf.DUMMYFUNCTION("GOOGLETRANSLATE(B24, ""en"", ""ne"")"),"अब सक्षम गर्नुहोस्")</f>
        <v>अब सक्षम गर्नुहोस्</v>
      </c>
      <c r="O24" s="4" t="str">
        <f>IFERROR(__xludf.DUMMYFUNCTION("GOOGLETRANSLATE(B24, ""en"", ""de"")"),"Jetzt aktivieren")</f>
        <v>Jetzt aktivieren</v>
      </c>
      <c r="P24" s="4" t="str">
        <f>IFERROR(__xludf.DUMMYFUNCTION("GOOGLETRANSLATE(B24, ""en"", ""he"")"),"הפעל כעת")</f>
        <v>הפעל כעת</v>
      </c>
      <c r="Q24" s="4" t="str">
        <f>IFERROR(__xludf.DUMMYFUNCTION("GOOGLETRANSLATE(B24, ""en"", ""cs"")"),"Povolit nyní")</f>
        <v>Povolit nyní</v>
      </c>
      <c r="R24" s="4" t="str">
        <f>IFERROR(__xludf.DUMMYFUNCTION("GOOGLETRANSLATE(B24, ""en"", ""it"")"),"Abilita ora.")</f>
        <v>Abilita ora.</v>
      </c>
      <c r="S24" s="4" t="str">
        <f>IFERROR(__xludf.DUMMYFUNCTION("GOOGLETRANSLATE(B24, ""en"", ""el"")"),"Ενεργοποιήστε τώρα")</f>
        <v>Ενεργοποιήστε τώρα</v>
      </c>
    </row>
    <row r="25" ht="15.75" customHeight="1">
      <c r="A25" s="4" t="s">
        <v>63</v>
      </c>
      <c r="B25" s="4" t="s">
        <v>64</v>
      </c>
      <c r="C25" s="4" t="str">
        <f>IFERROR(__xludf.DUMMYFUNCTION("GOOGLETRANSLATE(B25, ""en"", ""es"")"),"Crear acceso directo")</f>
        <v>Crear acceso directo</v>
      </c>
      <c r="D25" s="4" t="str">
        <f>IFERROR(__xludf.DUMMYFUNCTION("GOOGLETRANSLATE(B25, ""en"", ""pt"")"),"Criar atalho")</f>
        <v>Criar atalho</v>
      </c>
      <c r="E25" s="4" t="str">
        <f>IFERROR(__xludf.DUMMYFUNCTION("GOOGLETRANSLATE(B25, ""en"", ""ar"")"),"انشاء اختصار")</f>
        <v>انشاء اختصار</v>
      </c>
      <c r="F25" s="4" t="str">
        <f>IFERROR(__xludf.DUMMYFUNCTION("GOOGLETRANSLATE(B25, ""en"", ""km"")"),"បង្កើតផ្លូវកាត់")</f>
        <v>បង្កើតផ្លូវកាត់</v>
      </c>
      <c r="G25" s="4" t="str">
        <f>IFERROR(__xludf.DUMMYFUNCTION("GOOGLETRANSLATE(B25, ""en"", ""fr"")"),"Créer un raccourci")</f>
        <v>Créer un raccourci</v>
      </c>
      <c r="H25" s="4" t="str">
        <f>IFERROR(__xludf.DUMMYFUNCTION("GOOGLETRANSLATE(B25, ""en"", ""ro"")"),"Crează o scurtătură")</f>
        <v>Crează o scurtătură</v>
      </c>
      <c r="I25" s="4" t="str">
        <f>IFERROR(__xludf.DUMMYFUNCTION("GOOGLETRANSLATE(B25, ""en"", ""my"")"),"ဖြတ်လမ်းဖန်တီး")</f>
        <v>ဖြတ်လမ်းဖန်တီး</v>
      </c>
      <c r="J25" s="4" t="str">
        <f>IFERROR(__xludf.DUMMYFUNCTION("GOOGLETRANSLATE(B25, ""en"", ""sw"")"),"Tengeneza njia ya mkato")</f>
        <v>Tengeneza njia ya mkato</v>
      </c>
      <c r="K25" s="4" t="str">
        <f>IFERROR(__xludf.DUMMYFUNCTION("GOOGLETRANSLATE(B25, ""en"", ""th"")"),"สร้างทางลัด")</f>
        <v>สร้างทางลัด</v>
      </c>
      <c r="L25" s="4" t="str">
        <f>IFERROR(__xludf.DUMMYFUNCTION("GOOGLETRANSLATE(B25, ""en"", ""si"")"),"කෙටිමං සාදන්න")</f>
        <v>කෙටිමං සාදන්න</v>
      </c>
      <c r="M25" s="4" t="str">
        <f>IFERROR(__xludf.DUMMYFUNCTION("GOOGLETRANSLATE(B25, ""en"", ""vi"")"),"Tạo lối tắt")</f>
        <v>Tạo lối tắt</v>
      </c>
      <c r="N25" s="4" t="str">
        <f>IFERROR(__xludf.DUMMYFUNCTION("GOOGLETRANSLATE(B25, ""en"", ""ne"")"),"सर्टकट सिर्जना गर्नुहोस्")</f>
        <v>सर्टकट सिर्जना गर्नुहोस्</v>
      </c>
      <c r="O25" s="4" t="str">
        <f>IFERROR(__xludf.DUMMYFUNCTION("GOOGLETRANSLATE(B25, ""en"", ""de"")"),"Verknüpfung erstellen")</f>
        <v>Verknüpfung erstellen</v>
      </c>
      <c r="P25" s="4" t="str">
        <f>IFERROR(__xludf.DUMMYFUNCTION("GOOGLETRANSLATE(B25, ""en"", ""he"")"),"צור קיצור דרך")</f>
        <v>צור קיצור דרך</v>
      </c>
      <c r="Q25" s="4" t="str">
        <f>IFERROR(__xludf.DUMMYFUNCTION("GOOGLETRANSLATE(B25, ""en"", ""cs"")"),"Vytvořit zástupce")</f>
        <v>Vytvořit zástupce</v>
      </c>
      <c r="R25" s="4" t="str">
        <f>IFERROR(__xludf.DUMMYFUNCTION("GOOGLETRANSLATE(B25, ""en"", ""it"")"),"Creare una scorciatoia")</f>
        <v>Creare una scorciatoia</v>
      </c>
      <c r="S25" s="4" t="str">
        <f>IFERROR(__xludf.DUMMYFUNCTION("GOOGLETRANSLATE(B25, ""en"", ""el"")"),"Δημιουργία συντόμευσης")</f>
        <v>Δημιουργία συντόμευσης</v>
      </c>
    </row>
    <row r="26" ht="15.75" customHeight="1">
      <c r="A26" s="4" t="s">
        <v>65</v>
      </c>
      <c r="B26" s="4" t="s">
        <v>66</v>
      </c>
      <c r="C26" s="4" t="str">
        <f>IFERROR(__xludf.DUMMYFUNCTION("GOOGLETRANSLATE(B26, ""en"", ""es"")"),"Buscar…")</f>
        <v>Buscar…</v>
      </c>
      <c r="D26" s="4" t="str">
        <f>IFERROR(__xludf.DUMMYFUNCTION("GOOGLETRANSLATE(B26, ""en"", ""pt"")"),"Procurar…")</f>
        <v>Procurar…</v>
      </c>
      <c r="E26" s="4" t="str">
        <f>IFERROR(__xludf.DUMMYFUNCTION("GOOGLETRANSLATE(B26, ""en"", ""ar"")"),"بحث عن…")</f>
        <v>بحث عن…</v>
      </c>
      <c r="F26" s="4" t="str">
        <f>IFERROR(__xludf.DUMMYFUNCTION("GOOGLETRANSLATE(B26, ""en"", ""km"")"),"ស្វែងរក…")</f>
        <v>ស្វែងរក…</v>
      </c>
      <c r="G26" s="4" t="str">
        <f>IFERROR(__xludf.DUMMYFUNCTION("GOOGLETRANSLATE(B26, ""en"", ""fr"")"),"Rechercher…")</f>
        <v>Rechercher…</v>
      </c>
      <c r="H26" s="4" t="str">
        <f>IFERROR(__xludf.DUMMYFUNCTION("GOOGLETRANSLATE(B26, ""en"", ""ro"")"),"Caută…")</f>
        <v>Caută…</v>
      </c>
      <c r="I26" s="4" t="str">
        <f>IFERROR(__xludf.DUMMYFUNCTION("GOOGLETRANSLATE(B26, ""en"", ""my"")"),"အားရှာဖွေခြင်း…")</f>
        <v>အားရှာဖွေခြင်း…</v>
      </c>
      <c r="J26" s="4" t="str">
        <f>IFERROR(__xludf.DUMMYFUNCTION("GOOGLETRANSLATE(B26, ""en"", ""sw"")"),"Tafuta…")</f>
        <v>Tafuta…</v>
      </c>
      <c r="K26" s="4" t="str">
        <f>IFERROR(__xludf.DUMMYFUNCTION("GOOGLETRANSLATE(B26, ""en"", ""th"")"),"ค้นหา…")</f>
        <v>ค้นหา…</v>
      </c>
      <c r="L26" s="4" t="str">
        <f>IFERROR(__xludf.DUMMYFUNCTION("GOOGLETRANSLATE(B26, ""en"", ""si"")"),"ඒ සඳහා සොයන්න…")</f>
        <v>ඒ සඳහා සොයන්න…</v>
      </c>
      <c r="M26" s="4" t="str">
        <f>IFERROR(__xludf.DUMMYFUNCTION("GOOGLETRANSLATE(B26, ""en"", ""vi"")"),"Tìm kiếm…")</f>
        <v>Tìm kiếm…</v>
      </c>
      <c r="N26" s="4" t="str">
        <f>IFERROR(__xludf.DUMMYFUNCTION("GOOGLETRANSLATE(B26, ""en"", ""ne"")"),"खोज्नुहोस् ...")</f>
        <v>खोज्नुहोस् ...</v>
      </c>
      <c r="O26" s="4" t="str">
        <f>IFERROR(__xludf.DUMMYFUNCTION("GOOGLETRANSLATE(B26, ""en"", ""de"")"),"Suchen nach…")</f>
        <v>Suchen nach…</v>
      </c>
      <c r="P26" s="4" t="str">
        <f>IFERROR(__xludf.DUMMYFUNCTION("GOOGLETRANSLATE(B26, ""en"", ""he"")"),"לחפש אחר…")</f>
        <v>לחפש אחר…</v>
      </c>
      <c r="Q26" s="4" t="str">
        <f>IFERROR(__xludf.DUMMYFUNCTION("GOOGLETRANSLATE(B26, ""en"", ""cs"")"),"Hledat…")</f>
        <v>Hledat…</v>
      </c>
      <c r="R26" s="4" t="str">
        <f>IFERROR(__xludf.DUMMYFUNCTION("GOOGLETRANSLATE(B26, ""en"", ""it"")"),"Cercare…")</f>
        <v>Cercare…</v>
      </c>
      <c r="S26" s="4" t="str">
        <f>IFERROR(__xludf.DUMMYFUNCTION("GOOGLETRANSLATE(B26, ""en"", ""el"")"),"Ψάχνω για…")</f>
        <v>Ψάχνω για…</v>
      </c>
    </row>
    <row r="27" ht="15.75" customHeight="1">
      <c r="A27" s="4" t="s">
        <v>67</v>
      </c>
      <c r="B27" s="4" t="s">
        <v>68</v>
      </c>
      <c r="C27" s="4" t="str">
        <f>IFERROR(__xludf.DUMMYFUNCTION("GOOGLETRANSLATE(B27, ""en"", ""es"")"),"RAM")</f>
        <v>RAM</v>
      </c>
      <c r="D27" s="4" t="str">
        <f>IFERROR(__xludf.DUMMYFUNCTION("GOOGLETRANSLATE(B27, ""en"", ""pt"")"),"RAM")</f>
        <v>RAM</v>
      </c>
      <c r="E27" s="4" t="str">
        <f>IFERROR(__xludf.DUMMYFUNCTION("GOOGLETRANSLATE(B27, ""en"", ""ar"")"),"الرامات ""الذاكرة العشوائية في الهواتف والحواسيب")</f>
        <v>الرامات "الذاكرة العشوائية في الهواتف والحواسيب</v>
      </c>
      <c r="F27" s="4" t="str">
        <f>IFERROR(__xludf.DUMMYFUNCTION("GOOGLETRANSLATE(B27, ""en"", ""km"")"),"អង្គ​ចងចាំ")</f>
        <v>អង្គ​ចងចាំ</v>
      </c>
      <c r="G27" s="4" t="str">
        <f>IFERROR(__xludf.DUMMYFUNCTION("GOOGLETRANSLATE(B27, ""en"", ""fr"")"),"RAM")</f>
        <v>RAM</v>
      </c>
      <c r="H27" s="4" t="str">
        <f>IFERROR(__xludf.DUMMYFUNCTION("GOOGLETRANSLATE(B27, ""en"", ""ro"")"),"RAM")</f>
        <v>RAM</v>
      </c>
      <c r="I27" s="4" t="str">
        <f>IFERROR(__xludf.DUMMYFUNCTION("GOOGLETRANSLATE(B27, ""en"", ""my"")"),"ရမ်")</f>
        <v>ရမ်</v>
      </c>
      <c r="J27" s="4" t="str">
        <f>IFERROR(__xludf.DUMMYFUNCTION("GOOGLETRANSLATE(B27, ""en"", ""sw"")"),"RAM.")</f>
        <v>RAM.</v>
      </c>
      <c r="K27" s="4" t="str">
        <f>IFERROR(__xludf.DUMMYFUNCTION("GOOGLETRANSLATE(B27, ""en"", ""th"")"),"แกะ")</f>
        <v>แกะ</v>
      </c>
      <c r="L27" s="4" t="str">
        <f>IFERROR(__xludf.DUMMYFUNCTION("GOOGLETRANSLATE(B27, ""en"", ""si"")"),"RAM")</f>
        <v>RAM</v>
      </c>
      <c r="M27" s="4" t="str">
        <f>IFERROR(__xludf.DUMMYFUNCTION("GOOGLETRANSLATE(B27, ""en"", ""vi"")"),"Ram.")</f>
        <v>Ram.</v>
      </c>
      <c r="N27" s="4" t="str">
        <f>IFERROR(__xludf.DUMMYFUNCTION("GOOGLETRANSLATE(B27, ""en"", ""ne"")"),"भेंडा")</f>
        <v>भेंडा</v>
      </c>
      <c r="O27" s="4" t="str">
        <f>IFERROR(__xludf.DUMMYFUNCTION("GOOGLETRANSLATE(B27, ""en"", ""de"")"),"RAM")</f>
        <v>RAM</v>
      </c>
      <c r="P27" s="4" t="str">
        <f>IFERROR(__xludf.DUMMYFUNCTION("GOOGLETRANSLATE(B27, ""en"", ""he"")"),"RAM")</f>
        <v>RAM</v>
      </c>
      <c r="Q27" s="4" t="str">
        <f>IFERROR(__xludf.DUMMYFUNCTION("GOOGLETRANSLATE(B27, ""en"", ""cs"")"),"RAM")</f>
        <v>RAM</v>
      </c>
      <c r="R27" s="4" t="str">
        <f>IFERROR(__xludf.DUMMYFUNCTION("GOOGLETRANSLATE(B27, ""en"", ""it"")"),"Ram")</f>
        <v>Ram</v>
      </c>
      <c r="S27" s="4" t="str">
        <f>IFERROR(__xludf.DUMMYFUNCTION("GOOGLETRANSLATE(B27, ""en"", ""el"")"),"ΕΜΒΟΛΟ")</f>
        <v>ΕΜΒΟΛΟ</v>
      </c>
    </row>
    <row r="28" ht="15.75" customHeight="1">
      <c r="A28" s="4" t="s">
        <v>69</v>
      </c>
      <c r="B28" s="4" t="s">
        <v>70</v>
      </c>
      <c r="C28" s="4" t="str">
        <f>IFERROR(__xludf.DUMMYFUNCTION("GOOGLETRANSLATE(B28, ""en"", ""es"")"),"Sincronizado")</f>
        <v>Sincronizado</v>
      </c>
      <c r="D28" s="4" t="str">
        <f>IFERROR(__xludf.DUMMYFUNCTION("GOOGLETRANSLATE(B28, ""en"", ""pt"")"),"Sincronizado")</f>
        <v>Sincronizado</v>
      </c>
      <c r="E28" s="4" t="str">
        <f>IFERROR(__xludf.DUMMYFUNCTION("GOOGLETRANSLATE(B28, ""en"", ""ar"")"),"متزامنة")</f>
        <v>متزامنة</v>
      </c>
      <c r="F28" s="4" t="str">
        <f>IFERROR(__xludf.DUMMYFUNCTION("GOOGLETRANSLATE(B28, ""en"", ""km"")"),"ធេវីសមខាន់")</f>
        <v>ធេវីសមខាន់</v>
      </c>
      <c r="G28" s="4" t="str">
        <f>IFERROR(__xludf.DUMMYFUNCTION("GOOGLETRANSLATE(B28, ""en"", ""fr"")"),"Synchronisé")</f>
        <v>Synchronisé</v>
      </c>
      <c r="H28" s="4" t="str">
        <f>IFERROR(__xludf.DUMMYFUNCTION("GOOGLETRANSLATE(B28, ""en"", ""ro"")"),"Sincronizat")</f>
        <v>Sincronizat</v>
      </c>
      <c r="I28" s="4" t="str">
        <f>IFERROR(__xludf.DUMMYFUNCTION("GOOGLETRANSLATE(B28, ""en"", ""my"")"),"ပေါင်းစည်း")</f>
        <v>ပေါင်းစည်း</v>
      </c>
      <c r="J28" s="4" t="str">
        <f>IFERROR(__xludf.DUMMYFUNCTION("GOOGLETRANSLATE(B28, ""en"", ""sw"")"),"Synchronized.")</f>
        <v>Synchronized.</v>
      </c>
      <c r="K28" s="4" t="str">
        <f>IFERROR(__xludf.DUMMYFUNCTION("GOOGLETRANSLATE(B28, ""en"", ""th"")"),"ซิงโครไนซ์")</f>
        <v>ซิงโครไนซ์</v>
      </c>
      <c r="L28" s="4" t="str">
        <f>IFERROR(__xludf.DUMMYFUNCTION("GOOGLETRANSLATE(B28, ""en"", ""si"")"),"සමමුහුර්තකරණය")</f>
        <v>සමමුහුර්තකරණය</v>
      </c>
      <c r="M28" s="4" t="str">
        <f>IFERROR(__xludf.DUMMYFUNCTION("GOOGLETRANSLATE(B28, ""en"", ""vi"")"),"Đồng bộ hóa")</f>
        <v>Đồng bộ hóa</v>
      </c>
      <c r="N28" s="4" t="str">
        <f>IFERROR(__xludf.DUMMYFUNCTION("GOOGLETRANSLATE(B28, ""en"", ""ne"")"),"समक्रमण गरियो")</f>
        <v>समक्रमण गरियो</v>
      </c>
      <c r="O28" s="4" t="str">
        <f>IFERROR(__xludf.DUMMYFUNCTION("GOOGLETRANSLATE(B28, ""en"", ""de"")"),"Synchronisiert")</f>
        <v>Synchronisiert</v>
      </c>
      <c r="P28" s="4" t="str">
        <f>IFERROR(__xludf.DUMMYFUNCTION("GOOGLETRANSLATE(B28, ""en"", ""he"")"),"מסונכרן")</f>
        <v>מסונכרן</v>
      </c>
      <c r="Q28" s="4" t="str">
        <f>IFERROR(__xludf.DUMMYFUNCTION("GOOGLETRANSLATE(B28, ""en"", ""cs"")"),"Synchronizovaný")</f>
        <v>Synchronizovaný</v>
      </c>
      <c r="R28" s="4" t="str">
        <f>IFERROR(__xludf.DUMMYFUNCTION("GOOGLETRANSLATE(B28, ""en"", ""it"")"),"Sincronizzato")</f>
        <v>Sincronizzato</v>
      </c>
      <c r="S28" s="4" t="str">
        <f>IFERROR(__xludf.DUMMYFUNCTION("GOOGLETRANSLATE(B28, ""en"", ""el"")"),"Συγχρονισμένος")</f>
        <v>Συγχρονισμένος</v>
      </c>
    </row>
    <row r="29" ht="15.75" customHeight="1">
      <c r="A29" s="4" t="s">
        <v>71</v>
      </c>
      <c r="B29" s="4" t="s">
        <v>72</v>
      </c>
      <c r="C29" s="4" t="str">
        <f>IFERROR(__xludf.DUMMYFUNCTION("GOOGLETRANSLATE(B29, ""en"", ""es"")"),"Si pudieras viajar en el tiempo, ¿cuándo te gustaría ir?")</f>
        <v>Si pudieras viajar en el tiempo, ¿cuándo te gustaría ir?</v>
      </c>
      <c r="D29" s="4" t="str">
        <f>IFERROR(__xludf.DUMMYFUNCTION("GOOGLETRANSLATE(B29, ""en"", ""pt"")"),"Se você pudesse viajar de volta no tempo, quando você gostaria de ir?")</f>
        <v>Se você pudesse viajar de volta no tempo, quando você gostaria de ir?</v>
      </c>
      <c r="E29" s="4" t="str">
        <f>IFERROR(__xludf.DUMMYFUNCTION("GOOGLETRANSLATE(B29, ""en"", ""ar"")"),"إذا كنت تستطيع السفر مرة أخرى في الوقت المناسب، متى تريد أن تذهب؟")</f>
        <v>إذا كنت تستطيع السفر مرة أخرى في الوقت المناسب، متى تريد أن تذهب؟</v>
      </c>
      <c r="F29" s="4" t="str">
        <f>IFERROR(__xludf.DUMMYFUNCTION("GOOGLETRANSLATE(B29, ""en"", ""km"")"),"ប្រសិនបើអ្នកអាចធ្វើដំណើរត្រឡប់មកវិញទាន់ពេលតើអ្នកចង់ទៅនៅពេលណា?")</f>
        <v>ប្រសិនបើអ្នកអាចធ្វើដំណើរត្រឡប់មកវិញទាន់ពេលតើអ្នកចង់ទៅនៅពេលណា?</v>
      </c>
      <c r="G29" s="4" t="str">
        <f>IFERROR(__xludf.DUMMYFUNCTION("GOOGLETRANSLATE(B29, ""en"", ""fr"")"),"Si vous pouviez voyager dans le temps, quand voudriez-vous aller?")</f>
        <v>Si vous pouviez voyager dans le temps, quand voudriez-vous aller?</v>
      </c>
      <c r="H29" s="4" t="str">
        <f>IFERROR(__xludf.DUMMYFUNCTION("GOOGLETRANSLATE(B29, ""en"", ""ro"")"),"Dacă ați putea călători înapoi în timp, când doriți să mergeți?")</f>
        <v>Dacă ați putea călători înapoi în timp, când doriți să mergeți?</v>
      </c>
      <c r="I29" s="4" t="str">
        <f>IFERROR(__xludf.DUMMYFUNCTION("GOOGLETRANSLATE(B29, ""en"", ""my"")"),"သင်အချိန်ပြန်ခရီးသွားနိုင်လျှင်ဘယ်တော့သွားချင်ပါသလဲ။")</f>
        <v>သင်အချိန်ပြန်ခရီးသွားနိုင်လျှင်ဘယ်တော့သွားချင်ပါသလဲ။</v>
      </c>
      <c r="J29" s="4" t="str">
        <f>IFERROR(__xludf.DUMMYFUNCTION("GOOGLETRANSLATE(B29, ""en"", ""sw"")"),"Ikiwa unaweza kusafiri kwa wakati, ungependa kwenda wakati gani?")</f>
        <v>Ikiwa unaweza kusafiri kwa wakati, ungependa kwenda wakati gani?</v>
      </c>
      <c r="K29" s="4" t="str">
        <f>IFERROR(__xludf.DUMMYFUNCTION("GOOGLETRANSLATE(B29, ""en"", ""th"")"),"หากคุณสามารถเดินทางกลับทันเวลาคุณต้องการไปเมื่อไหร่?")</f>
        <v>หากคุณสามารถเดินทางกลับทันเวลาคุณต้องการไปเมื่อไหร่?</v>
      </c>
      <c r="L29" s="4" t="str">
        <f>IFERROR(__xludf.DUMMYFUNCTION("GOOGLETRANSLATE(B29, ""en"", ""si"")"),"ඔබට කාලය තුළ ආපසු ගමන් කළ හැකි නම්, ඔබ යාමට කැමති කවදාද?")</f>
        <v>ඔබට කාලය තුළ ආපසු ගමන් කළ හැකි නම්, ඔබ යාමට කැමති කවදාද?</v>
      </c>
      <c r="M29" s="4" t="str">
        <f>IFERROR(__xludf.DUMMYFUNCTION("GOOGLETRANSLATE(B29, ""en"", ""vi"")"),"Nếu bạn có thể quay ngược thời gian, khi nào bạn muốn đi?")</f>
        <v>Nếu bạn có thể quay ngược thời gian, khi nào bạn muốn đi?</v>
      </c>
      <c r="N29" s="4" t="str">
        <f>IFERROR(__xludf.DUMMYFUNCTION("GOOGLETRANSLATE(B29, ""en"", ""ne"")"),"यदि तपाईं समयमै यात्रा गर्न सक्नुहुनेछ, तपाईं कहिले जान चाहनुहुन्छ?")</f>
        <v>यदि तपाईं समयमै यात्रा गर्न सक्नुहुनेछ, तपाईं कहिले जान चाहनुहुन्छ?</v>
      </c>
      <c r="O29" s="4" t="str">
        <f>IFERROR(__xludf.DUMMYFUNCTION("GOOGLETRANSLATE(B29, ""en"", ""de"")"),"Wenn Sie in der Zeit zurückfahren könnten, wann möchten Sie gehen?")</f>
        <v>Wenn Sie in der Zeit zurückfahren könnten, wann möchten Sie gehen?</v>
      </c>
      <c r="P29" s="4" t="str">
        <f>IFERROR(__xludf.DUMMYFUNCTION("GOOGLETRANSLATE(B29, ""en"", ""he"")"),"אם אתה יכול לנסוע בחזרה בזמן, מתי היית רוצה ללכת?")</f>
        <v>אם אתה יכול לנסוע בחזרה בזמן, מתי היית רוצה ללכת?</v>
      </c>
      <c r="Q29" s="4" t="str">
        <f>IFERROR(__xludf.DUMMYFUNCTION("GOOGLETRANSLATE(B29, ""en"", ""cs"")"),"Kdybyste mohli cestovat včas, kdy chcete jít?")</f>
        <v>Kdybyste mohli cestovat včas, kdy chcete jít?</v>
      </c>
      <c r="R29" s="4" t="str">
        <f>IFERROR(__xludf.DUMMYFUNCTION("GOOGLETRANSLATE(B29, ""en"", ""it"")"),"Se potessi tornare indietro nel tempo, quando vorresti andare?")</f>
        <v>Se potessi tornare indietro nel tempo, quando vorresti andare?</v>
      </c>
      <c r="S29" s="4" t="str">
        <f>IFERROR(__xludf.DUMMYFUNCTION("GOOGLETRANSLATE(B29, ""en"", ""el"")"),"Εάν θα μπορούσατε να ταξιδέψετε πίσω στο χρόνο, πότε θα θέλατε να πάτε;")</f>
        <v>Εάν θα μπορούσατε να ταξιδέψετε πίσω στο χρόνο, πότε θα θέλατε να πάτε;</v>
      </c>
    </row>
    <row r="30" ht="15.75" customHeight="1">
      <c r="A30" s="4" t="s">
        <v>73</v>
      </c>
      <c r="B30" s="4" t="s">
        <v>74</v>
      </c>
      <c r="C30" s="4" t="str">
        <f>IFERROR(__xludf.DUMMYFUNCTION("GOOGLETRANSLATE(B30, ""en"", ""es"")"),"Hogar")</f>
        <v>Hogar</v>
      </c>
      <c r="D30" s="4" t="str">
        <f>IFERROR(__xludf.DUMMYFUNCTION("GOOGLETRANSLATE(B30, ""en"", ""pt"")"),"Casa")</f>
        <v>Casa</v>
      </c>
      <c r="E30" s="4" t="str">
        <f>IFERROR(__xludf.DUMMYFUNCTION("GOOGLETRANSLATE(B30, ""en"", ""ar"")"),"الصفحة الرئيسية")</f>
        <v>الصفحة الرئيسية</v>
      </c>
      <c r="F30" s="4" t="str">
        <f>IFERROR(__xludf.DUMMYFUNCTION("GOOGLETRANSLATE(B30, ""en"", ""km"")"),"ផ្ទហ")</f>
        <v>ផ្ទហ</v>
      </c>
      <c r="G30" s="4" t="str">
        <f>IFERROR(__xludf.DUMMYFUNCTION("GOOGLETRANSLATE(B30, ""en"", ""fr"")"),"Accueil")</f>
        <v>Accueil</v>
      </c>
      <c r="H30" s="4" t="str">
        <f>IFERROR(__xludf.DUMMYFUNCTION("GOOGLETRANSLATE(B30, ""en"", ""ro"")"),"Acasă")</f>
        <v>Acasă</v>
      </c>
      <c r="I30" s="4" t="str">
        <f>IFERROR(__xludf.DUMMYFUNCTION("GOOGLETRANSLATE(B30, ""en"", ""my"")"),"နေအိမ်")</f>
        <v>နေအိမ်</v>
      </c>
      <c r="J30" s="4" t="str">
        <f>IFERROR(__xludf.DUMMYFUNCTION("GOOGLETRANSLATE(B30, ""en"", ""sw"")"),"Nyumbani")</f>
        <v>Nyumbani</v>
      </c>
      <c r="K30" s="4" t="str">
        <f>IFERROR(__xludf.DUMMYFUNCTION("GOOGLETRANSLATE(B30, ""en"", ""th"")"),"บ้าน")</f>
        <v>บ้าน</v>
      </c>
      <c r="L30" s="4" t="str">
        <f>IFERROR(__xludf.DUMMYFUNCTION("GOOGLETRANSLATE(B30, ""en"", ""si"")"),"ගෙදර")</f>
        <v>ගෙදර</v>
      </c>
      <c r="M30" s="4" t="str">
        <f>IFERROR(__xludf.DUMMYFUNCTION("GOOGLETRANSLATE(B30, ""en"", ""vi"")"),"Nhà")</f>
        <v>Nhà</v>
      </c>
      <c r="N30" s="4" t="str">
        <f>IFERROR(__xludf.DUMMYFUNCTION("GOOGLETRANSLATE(B30, ""en"", ""ne"")"),"घर")</f>
        <v>घर</v>
      </c>
      <c r="O30" s="4" t="str">
        <f>IFERROR(__xludf.DUMMYFUNCTION("GOOGLETRANSLATE(B30, ""en"", ""de"")"),"Heim")</f>
        <v>Heim</v>
      </c>
      <c r="P30" s="4" t="str">
        <f>IFERROR(__xludf.DUMMYFUNCTION("GOOGLETRANSLATE(B30, ""en"", ""he"")"),"בית")</f>
        <v>בית</v>
      </c>
      <c r="Q30" s="4" t="str">
        <f>IFERROR(__xludf.DUMMYFUNCTION("GOOGLETRANSLATE(B30, ""en"", ""cs"")"),"Domov")</f>
        <v>Domov</v>
      </c>
      <c r="R30" s="4" t="str">
        <f>IFERROR(__xludf.DUMMYFUNCTION("GOOGLETRANSLATE(B30, ""en"", ""it"")"),"Casa")</f>
        <v>Casa</v>
      </c>
      <c r="S30" s="4" t="str">
        <f>IFERROR(__xludf.DUMMYFUNCTION("GOOGLETRANSLATE(B30, ""en"", ""el"")"),"Σπίτι")</f>
        <v>Σπίτι</v>
      </c>
    </row>
    <row r="31" ht="15.75" customHeight="1">
      <c r="A31" s="4" t="s">
        <v>75</v>
      </c>
      <c r="B31" s="4" t="s">
        <v>76</v>
      </c>
      <c r="C31" s="4" t="str">
        <f>IFERROR(__xludf.DUMMYFUNCTION("GOOGLETRANSLATE(B31, ""en"", ""es"")"),"Juega a juegos más rápido, acelera tu memoria de teléfono y mejora tu juego.")</f>
        <v>Juega a juegos más rápido, acelera tu memoria de teléfono y mejora tu juego.</v>
      </c>
      <c r="D31" s="4" t="str">
        <f>IFERROR(__xludf.DUMMYFUNCTION("GOOGLETRANSLATE(B31, ""en"", ""pt"")"),"Jogar jogos mais rápido, acelere sua memória do telefone e melhore sua jogabilidade")</f>
        <v>Jogar jogos mais rápido, acelere sua memória do telefone e melhore sua jogabilidade</v>
      </c>
      <c r="E31" s="4" t="str">
        <f>IFERROR(__xludf.DUMMYFUNCTION("GOOGLETRANSLATE(B31, ""en"", ""ar"")"),"لعب الألعاب بشكل أسرع، وتسريع ذاكرة هاتفك وتحسين اللعب الخاص بك")</f>
        <v>لعب الألعاب بشكل أسرع، وتسريع ذاكرة هاتفك وتحسين اللعب الخاص بك</v>
      </c>
      <c r="F31" s="4" t="str">
        <f>IFERROR(__xludf.DUMMYFUNCTION("GOOGLETRANSLATE(B31, ""en"", ""km"")"),"លេងហ្គេមលឿនជាងមុនបង្កើនការចងចាំទូរស័ព្ទរបស់អ្នកនិងបង្កើនការលេងហ្គេមរបស់អ្នក")</f>
        <v>លេងហ្គេមលឿនជាងមុនបង្កើនការចងចាំទូរស័ព្ទរបស់អ្នកនិងបង្កើនការលេងហ្គេមរបស់អ្នក</v>
      </c>
      <c r="G31" s="4" t="str">
        <f>IFERROR(__xludf.DUMMYFUNCTION("GOOGLETRANSLATE(B31, ""en"", ""fr"")"),"Jouez aux jeux plus rapidement, accélérez votre mémoire de téléphone et améliorez votre jeu.")</f>
        <v>Jouez aux jeux plus rapidement, accélérez votre mémoire de téléphone et améliorez votre jeu.</v>
      </c>
      <c r="H31" s="4" t="str">
        <f>IFERROR(__xludf.DUMMYFUNCTION("GOOGLETRANSLATE(B31, ""en"", ""ro"")"),"Joacă jocuri mai repede, accelerați memoria telefonului și îmbunătățiți-vă gameplay-ul")</f>
        <v>Joacă jocuri mai repede, accelerați memoria telefonului și îmbunătățiți-vă gameplay-ul</v>
      </c>
      <c r="I31" s="4" t="str">
        <f>IFERROR(__xludf.DUMMYFUNCTION("GOOGLETRANSLATE(B31, ""en"", ""my"")"),"ဂိမ်းများကိုပိုမိုမြန်ဆန်စွာကစားပါ, သင်၏ဖုန်းမှတ်ဉာဏ်ကိုမြန်မြန်ဆန်ဆန်မြန်အောင်လုပ်ပါ")</f>
        <v>ဂိမ်းများကိုပိုမိုမြန်ဆန်စွာကစားပါ, သင်၏ဖုန်းမှတ်ဉာဏ်ကိုမြန်မြန်ဆန်ဆန်မြန်အောင်လုပ်ပါ</v>
      </c>
      <c r="J31" s="4" t="str">
        <f>IFERROR(__xludf.DUMMYFUNCTION("GOOGLETRANSLATE(B31, ""en"", ""sw"")"),"Jaribu michezo kwa kasi, kasi ya kumbukumbu ya simu yako na kuboresha gameplay yako")</f>
        <v>Jaribu michezo kwa kasi, kasi ya kumbukumbu ya simu yako na kuboresha gameplay yako</v>
      </c>
      <c r="K31" s="4" t="str">
        <f>IFERROR(__xludf.DUMMYFUNCTION("GOOGLETRANSLATE(B31, ""en"", ""th"")"),"เล่นเกมเร็วขึ้นเร่งหน่วยความจำโทรศัพท์ของคุณและปรับปรุงการเล่นเกมของคุณ")</f>
        <v>เล่นเกมเร็วขึ้นเร่งหน่วยความจำโทรศัพท์ของคุณและปรับปรุงการเล่นเกมของคุณ</v>
      </c>
      <c r="L31" s="4" t="str">
        <f>IFERROR(__xludf.DUMMYFUNCTION("GOOGLETRANSLATE(B31, ""en"", ""si"")"),"ක්රීඩා වේගයෙන් ක්රීඩා කරන්න, ඔබගේ දුරකථන මතකය වේගවත් කර ඔබේ ක්රීඩාව වැඩි දියුණු කරන්න")</f>
        <v>ක්රීඩා වේගයෙන් ක්රීඩා කරන්න, ඔබගේ දුරකථන මතකය වේගවත් කර ඔබේ ක්රීඩාව වැඩි දියුණු කරන්න</v>
      </c>
      <c r="M31" s="4" t="str">
        <f>IFERROR(__xludf.DUMMYFUNCTION("GOOGLETRANSLATE(B31, ""en"", ""vi"")"),"Chơi trò chơi nhanh hơn, tăng tốc bộ nhớ điện thoại của bạn và cải thiện lối chơi của bạn")</f>
        <v>Chơi trò chơi nhanh hơn, tăng tốc bộ nhớ điện thoại của bạn và cải thiện lối chơi của bạn</v>
      </c>
      <c r="N31" s="4" t="str">
        <f>IFERROR(__xludf.DUMMYFUNCTION("GOOGLETRANSLATE(B31, ""en"", ""ne"")"),"खेलहरू छिटो खेल्नुहोस्, तपाईंको फोन मेमोरीलाई हेर्नुहोस् र तपाईंको गेमप्ले सुधार गर्नुहोस्")</f>
        <v>खेलहरू छिटो खेल्नुहोस्, तपाईंको फोन मेमोरीलाई हेर्नुहोस् र तपाईंको गेमप्ले सुधार गर्नुहोस्</v>
      </c>
      <c r="O31" s="4" t="str">
        <f>IFERROR(__xludf.DUMMYFUNCTION("GOOGLETRANSLATE(B31, ""en"", ""de"")"),"Spielen Sie Spiele schneller, beschleunigen Sie Ihren Telefonspeicher und verbessern Sie Ihr Gameplay")</f>
        <v>Spielen Sie Spiele schneller, beschleunigen Sie Ihren Telefonspeicher und verbessern Sie Ihr Gameplay</v>
      </c>
      <c r="P31" s="4" t="str">
        <f>IFERROR(__xludf.DUMMYFUNCTION("GOOGLETRANSLATE(B31, ""en"", ""he"")"),"לשחק משחקים מהר יותר, להאיץ את זיכרון הטלפון שלך ולשפר את המשחק שלך")</f>
        <v>לשחק משחקים מהר יותר, להאיץ את זיכרון הטלפון שלך ולשפר את המשחק שלך</v>
      </c>
      <c r="Q31" s="4" t="str">
        <f>IFERROR(__xludf.DUMMYFUNCTION("GOOGLETRANSLATE(B31, ""en"", ""cs"")"),"Hrát hry rychleji, urychlit paměť telefonu a zlepšit svou hru")</f>
        <v>Hrát hry rychleji, urychlit paměť telefonu a zlepšit svou hru</v>
      </c>
      <c r="R31" s="4" t="str">
        <f>IFERROR(__xludf.DUMMYFUNCTION("GOOGLETRANSLATE(B31, ""en"", ""it"")"),"Gioca a Games più velocemente, accelera la memoria del telefono e migliora il tuo gameplay")</f>
        <v>Gioca a Games più velocemente, accelera la memoria del telefono e migliora il tuo gameplay</v>
      </c>
      <c r="S31" s="4" t="str">
        <f>IFERROR(__xludf.DUMMYFUNCTION("GOOGLETRANSLATE(B31, ""en"", ""el"")"),"Παίξτε ταχύτερα παιχνίδια πιο γρήγορα, επιταχύνετε τη μνήμη του τηλεφώνου σας και βελτιώστε το gameplay σας")</f>
        <v>Παίξτε ταχύτερα παιχνίδια πιο γρήγορα, επιταχύνετε τη μνήμη του τηλεφώνου σας και βελτιώστε το gameplay σας</v>
      </c>
    </row>
    <row r="32" ht="15.75" customHeight="1">
      <c r="A32" s="4" t="s">
        <v>77</v>
      </c>
      <c r="B32" s="4" t="s">
        <v>78</v>
      </c>
      <c r="C32" s="4" t="str">
        <f>IFERROR(__xludf.DUMMYFUNCTION("GOOGLETRANSLATE(B32, ""en"", ""es"")"),"¡Excelente! ¡El problema de la energía resuelto!")</f>
        <v>¡Excelente! ¡El problema de la energía resuelto!</v>
      </c>
      <c r="D32" s="4" t="str">
        <f>IFERROR(__xludf.DUMMYFUNCTION("GOOGLETRANSLATE(B32, ""en"", ""pt"")"),"Excelente! O problema de poder resolvido!")</f>
        <v>Excelente! O problema de poder resolvido!</v>
      </c>
      <c r="E32" s="4" t="str">
        <f>IFERROR(__xludf.DUMMYFUNCTION("GOOGLETRANSLATE(B32, ""en"", ""ar"")"),"رائعة! مشكلة السلطة حلها!")</f>
        <v>رائعة! مشكلة السلطة حلها!</v>
      </c>
      <c r="F32" s="4" t="str">
        <f>IFERROR(__xludf.DUMMYFUNCTION("GOOGLETRANSLATE(B32, ""en"", ""km"")"),"អស្ចារ្យ! បញ្ហាថាមពលបានដោះស្រាយ!")</f>
        <v>អស្ចារ្យ! បញ្ហាថាមពលបានដោះស្រាយ!</v>
      </c>
      <c r="G32" s="4" t="str">
        <f>IFERROR(__xludf.DUMMYFUNCTION("GOOGLETRANSLATE(B32, ""en"", ""fr"")"),"Super! Le problème de puissance résolu!")</f>
        <v>Super! Le problème de puissance résolu!</v>
      </c>
      <c r="H32" s="4" t="str">
        <f>IFERROR(__xludf.DUMMYFUNCTION("GOOGLETRANSLATE(B32, ""en"", ""ro"")"),"Grozav! Problema de putere rezolvată!")</f>
        <v>Grozav! Problema de putere rezolvată!</v>
      </c>
      <c r="I32" s="4" t="str">
        <f>IFERROR(__xludf.DUMMYFUNCTION("GOOGLETRANSLATE(B32, ""en"", ""my"")"),"ကောင်းပြီ! ပါဝါပြ problem နာကိုဖြေရှင်းနိုင်!")</f>
        <v>ကောင်းပြီ! ပါဝါပြ problem နာကိုဖြေရှင်းနိုင်!</v>
      </c>
      <c r="J32" s="4" t="str">
        <f>IFERROR(__xludf.DUMMYFUNCTION("GOOGLETRANSLATE(B32, ""en"", ""sw"")"),"Kubwa! Tatizo la nguvu kutatuliwa!")</f>
        <v>Kubwa! Tatizo la nguvu kutatuliwa!</v>
      </c>
      <c r="K32" s="4" t="str">
        <f>IFERROR(__xludf.DUMMYFUNCTION("GOOGLETRANSLATE(B32, ""en"", ""th"")"),"ยอดเยี่ยม! แก้ไขปัญหาพลังงาน!")</f>
        <v>ยอดเยี่ยม! แก้ไขปัญหาพลังงาน!</v>
      </c>
      <c r="L32" s="4" t="str">
        <f>IFERROR(__xludf.DUMMYFUNCTION("GOOGLETRANSLATE(B32, ""en"", ""si"")"),"මහා! බල ගැටළුව විසඳා ඇත!")</f>
        <v>මහා! බල ගැටළුව විසඳා ඇත!</v>
      </c>
      <c r="M32" s="4" t="str">
        <f>IFERROR(__xludf.DUMMYFUNCTION("GOOGLETRANSLATE(B32, ""en"", ""vi"")"),"Tuyệt vời! Vấn đề quyền lực đã được giải quyết!")</f>
        <v>Tuyệt vời! Vấn đề quyền lực đã được giải quyết!</v>
      </c>
      <c r="N32" s="4" t="str">
        <f>IFERROR(__xludf.DUMMYFUNCTION("GOOGLETRANSLATE(B32, ""en"", ""ne"")"),"महान! शक्ति समस्या समाधान भयो!")</f>
        <v>महान! शक्ति समस्या समाधान भयो!</v>
      </c>
      <c r="O32" s="4" t="str">
        <f>IFERROR(__xludf.DUMMYFUNCTION("GOOGLETRANSLATE(B32, ""en"", ""de"")"),"Groß! Das Machtproblem gelöst!")</f>
        <v>Groß! Das Machtproblem gelöst!</v>
      </c>
      <c r="P32" s="4" t="str">
        <f>IFERROR(__xludf.DUMMYFUNCTION("GOOGLETRANSLATE(B32, ""en"", ""he"")"),"גדול! בעיית החשמל נפתרה!")</f>
        <v>גדול! בעיית החשמל נפתרה!</v>
      </c>
      <c r="Q32" s="4" t="str">
        <f>IFERROR(__xludf.DUMMYFUNCTION("GOOGLETRANSLATE(B32, ""en"", ""cs"")"),"Skvělý! Problém s výkonem vyřešen!")</f>
        <v>Skvělý! Problém s výkonem vyřešen!</v>
      </c>
      <c r="R32" s="4" t="str">
        <f>IFERROR(__xludf.DUMMYFUNCTION("GOOGLETRANSLATE(B32, ""en"", ""it"")"),"Grande! Il problema di potenza risolto!")</f>
        <v>Grande! Il problema di potenza risolto!</v>
      </c>
      <c r="S32" s="4" t="str">
        <f>IFERROR(__xludf.DUMMYFUNCTION("GOOGLETRANSLATE(B32, ""en"", ""el"")"),"Μεγάλος! Το πρόβλημα ισχύος λυθεί!")</f>
        <v>Μεγάλος! Το πρόβλημα ισχύος λυθεί!</v>
      </c>
    </row>
    <row r="33" ht="15.75" customHeight="1">
      <c r="A33" s="4" t="s">
        <v>79</v>
      </c>
      <c r="B33" s="4" t="s">
        <v>80</v>
      </c>
      <c r="C33" s="4" t="str">
        <f>IFERROR(__xludf.DUMMYFUNCTION("GOOGLETRANSLATE(B33, ""en"", ""es"")"),"¿Dónde te gustaría visitar cuando eras niño?")</f>
        <v>¿Dónde te gustaría visitar cuando eras niño?</v>
      </c>
      <c r="D33" s="4" t="str">
        <f>IFERROR(__xludf.DUMMYFUNCTION("GOOGLETRANSLATE(B33, ""en"", ""pt"")"),"Onde você gostaria de visitar quando era criança?")</f>
        <v>Onde você gostaria de visitar quando era criança?</v>
      </c>
      <c r="E33" s="4" t="str">
        <f>IFERROR(__xludf.DUMMYFUNCTION("GOOGLETRANSLATE(B33, ""en"", ""ar"")"),"إلى أين تريد الزيارة عندما كنت طفلا؟")</f>
        <v>إلى أين تريد الزيارة عندما كنت طفلا؟</v>
      </c>
      <c r="F33" s="4" t="str">
        <f>IFERROR(__xludf.DUMMYFUNCTION("GOOGLETRANSLATE(B33, ""en"", ""km"")"),"តើអ្នកចង់ទៅលេងនៅកន្លែងណានៅពេលដែលអ្នកនៅក្មេង?")</f>
        <v>តើអ្នកចង់ទៅលេងនៅកន្លែងណានៅពេលដែលអ្នកនៅក្មេង?</v>
      </c>
      <c r="G33" s="4" t="str">
        <f>IFERROR(__xludf.DUMMYFUNCTION("GOOGLETRANSLATE(B33, ""en"", ""fr"")"),"Où aimeriez-vous visiter quand vous étiez enfant?")</f>
        <v>Où aimeriez-vous visiter quand vous étiez enfant?</v>
      </c>
      <c r="H33" s="4" t="str">
        <f>IFERROR(__xludf.DUMMYFUNCTION("GOOGLETRANSLATE(B33, ""en"", ""ro"")"),"Unde vrei să vizitezi când erai copil?")</f>
        <v>Unde vrei să vizitezi când erai copil?</v>
      </c>
      <c r="I33" s="4" t="str">
        <f>IFERROR(__xludf.DUMMYFUNCTION("GOOGLETRANSLATE(B33, ""en"", ""my"")"),"သင်ကလေးဘဝတုန်းကဘယ်မှာသွားချင်ပါသလဲ။")</f>
        <v>သင်ကလေးဘဝတုန်းကဘယ်မှာသွားချင်ပါသလဲ။</v>
      </c>
      <c r="J33" s="4" t="str">
        <f>IFERROR(__xludf.DUMMYFUNCTION("GOOGLETRANSLATE(B33, ""en"", ""sw"")"),"Ungependa kutembelea wapi wakati ulikuwa mtoto?")</f>
        <v>Ungependa kutembelea wapi wakati ulikuwa mtoto?</v>
      </c>
      <c r="K33" s="4" t="str">
        <f>IFERROR(__xludf.DUMMYFUNCTION("GOOGLETRANSLATE(B33, ""en"", ""th"")"),"คุณอยากไปเที่ยวที่ไหนเมื่อคุณเป็นเด็ก?")</f>
        <v>คุณอยากไปเที่ยวที่ไหนเมื่อคุณเป็นเด็ก?</v>
      </c>
      <c r="L33" s="4" t="str">
        <f>IFERROR(__xludf.DUMMYFUNCTION("GOOGLETRANSLATE(B33, ""en"", ""si"")"),"ඔබ කුඩා කාලයේ ඔබ බැලීමට කැමති කොහිද?")</f>
        <v>ඔබ කුඩා කාලයේ ඔබ බැලීමට කැමති කොහිද?</v>
      </c>
      <c r="M33" s="4" t="str">
        <f>IFERROR(__xludf.DUMMYFUNCTION("GOOGLETRANSLATE(B33, ""en"", ""vi"")"),"Bạn muốn đến thăm nơi bạn còn nhỏ?")</f>
        <v>Bạn muốn đến thăm nơi bạn còn nhỏ?</v>
      </c>
      <c r="N33" s="4" t="str">
        <f>IFERROR(__xludf.DUMMYFUNCTION("GOOGLETRANSLATE(B33, ""en"", ""ne"")"),"तपाईं बच्चा हुँदा तपाईं कहाँ जान चाहानुहुन्छ?")</f>
        <v>तपाईं बच्चा हुँदा तपाईं कहाँ जान चाहानुहुन्छ?</v>
      </c>
      <c r="O33" s="4" t="str">
        <f>IFERROR(__xludf.DUMMYFUNCTION("GOOGLETRANSLATE(B33, ""en"", ""de"")"),"Wo möchten Sie, wenn Sie ein Kind waren?")</f>
        <v>Wo möchten Sie, wenn Sie ein Kind waren?</v>
      </c>
      <c r="P33" s="4" t="str">
        <f>IFERROR(__xludf.DUMMYFUNCTION("GOOGLETRANSLATE(B33, ""en"", ""he"")"),"איפה היית רוצה לבקר כשהיית ילד?")</f>
        <v>איפה היית רוצה לבקר כשהיית ילד?</v>
      </c>
      <c r="Q33" s="4" t="str">
        <f>IFERROR(__xludf.DUMMYFUNCTION("GOOGLETRANSLATE(B33, ""en"", ""cs"")"),"Kde byste chtěli navštívit, když jste byli dítě?")</f>
        <v>Kde byste chtěli navštívit, když jste byli dítě?</v>
      </c>
      <c r="R33" s="4" t="str">
        <f>IFERROR(__xludf.DUMMYFUNCTION("GOOGLETRANSLATE(B33, ""en"", ""it"")"),"Dove ti piacerebbe visitare quando eri un bambino?")</f>
        <v>Dove ti piacerebbe visitare quando eri un bambino?</v>
      </c>
      <c r="S33" s="4" t="str">
        <f>IFERROR(__xludf.DUMMYFUNCTION("GOOGLETRANSLATE(B33, ""en"", ""el"")"),"Πού θα θέλατε να επισκεφθείτε όταν ήσασταν παιδί;")</f>
        <v>Πού θα θέλατε να επισκεφθείτε όταν ήσασταν παιδί;</v>
      </c>
    </row>
    <row r="34" ht="15.75" customHeight="1">
      <c r="A34" s="4" t="s">
        <v>81</v>
      </c>
      <c r="B34" s="4" t="s">
        <v>82</v>
      </c>
      <c r="C34" s="4" t="str">
        <f>IFERROR(__xludf.DUMMYFUNCTION("GOOGLETRANSLATE(B34, ""en"", ""es"")"),"Consume en secreto su batería")</f>
        <v>Consume en secreto su batería</v>
      </c>
      <c r="D34" s="4" t="str">
        <f>IFERROR(__xludf.DUMMYFUNCTION("GOOGLETRANSLATE(B34, ""en"", ""pt"")"),"Secretamente consumindo sua bateria")</f>
        <v>Secretamente consumindo sua bateria</v>
      </c>
      <c r="E34" s="4" t="str">
        <f>IFERROR(__xludf.DUMMYFUNCTION("GOOGLETRANSLATE(B34, ""en"", ""ar"")"),"تستهلك سرا البطارية")</f>
        <v>تستهلك سرا البطارية</v>
      </c>
      <c r="F34" s="4" t="str">
        <f>IFERROR(__xludf.DUMMYFUNCTION("GOOGLETRANSLATE(B34, ""en"", ""km"")"),"ទទួលទានថ្មរបស់អ្នកដោយសម្ងាត់")</f>
        <v>ទទួលទានថ្មរបស់អ្នកដោយសម្ងាត់</v>
      </c>
      <c r="G34" s="4" t="str">
        <f>IFERROR(__xludf.DUMMYFUNCTION("GOOGLETRANSLATE(B34, ""en"", ""fr"")"),"Consommer secrètement votre batterie")</f>
        <v>Consommer secrètement votre batterie</v>
      </c>
      <c r="H34" s="4" t="str">
        <f>IFERROR(__xludf.DUMMYFUNCTION("GOOGLETRANSLATE(B34, ""en"", ""ro"")"),"Consumând în mod secret bateria")</f>
        <v>Consumând în mod secret bateria</v>
      </c>
      <c r="I34" s="4" t="str">
        <f>IFERROR(__xludf.DUMMYFUNCTION("GOOGLETRANSLATE(B34, ""en"", ""my"")"),"သင့်ဘက်ထရီကိုလျှို့ဝှက်စွာသောက်သုံးခြင်း")</f>
        <v>သင့်ဘက်ထရီကိုလျှို့ဝှက်စွာသောက်သုံးခြင်း</v>
      </c>
      <c r="J34" s="4" t="str">
        <f>IFERROR(__xludf.DUMMYFUNCTION("GOOGLETRANSLATE(B34, ""en"", ""sw"")"),"Kwa siri hutumia betri yako")</f>
        <v>Kwa siri hutumia betri yako</v>
      </c>
      <c r="K34" s="4" t="str">
        <f>IFERROR(__xludf.DUMMYFUNCTION("GOOGLETRANSLATE(B34, ""en"", ""th"")"),"การบริโภคแบตเตอรี่ของคุณอย่างลับๆ")</f>
        <v>การบริโภคแบตเตอรี่ของคุณอย่างลับๆ</v>
      </c>
      <c r="L34" s="4" t="str">
        <f>IFERROR(__xludf.DUMMYFUNCTION("GOOGLETRANSLATE(B34, ""en"", ""si"")"),"ඔබේ බැටරිය රහසින් පරිභෝජනය කරයි")</f>
        <v>ඔබේ බැටරිය රහසින් පරිභෝජනය කරයි</v>
      </c>
      <c r="M34" s="4" t="str">
        <f>IFERROR(__xludf.DUMMYFUNCTION("GOOGLETRANSLATE(B34, ""en"", ""vi"")"),"Bí mật tiêu thụ pin của bạn")</f>
        <v>Bí mật tiêu thụ pin của bạn</v>
      </c>
      <c r="N34" s="4" t="str">
        <f>IFERROR(__xludf.DUMMYFUNCTION("GOOGLETRANSLATE(B34, ""en"", ""ne"")"),"गोप्य रूपमा तपाइँको ब्याट्री खपत गर्दै")</f>
        <v>गोप्य रूपमा तपाइँको ब्याट्री खपत गर्दै</v>
      </c>
      <c r="O34" s="4" t="str">
        <f>IFERROR(__xludf.DUMMYFUNCTION("GOOGLETRANSLATE(B34, ""en"", ""de"")"),"Heimlich Ihre Batterie konsumieren")</f>
        <v>Heimlich Ihre Batterie konsumieren</v>
      </c>
      <c r="P34" s="4" t="str">
        <f>IFERROR(__xludf.DUMMYFUNCTION("GOOGLETRANSLATE(B34, ""en"", ""he"")"),"בחשאי לצרוך את הסוללה שלך")</f>
        <v>בחשאי לצרוך את הסוללה שלך</v>
      </c>
      <c r="Q34" s="4" t="str">
        <f>IFERROR(__xludf.DUMMYFUNCTION("GOOGLETRANSLATE(B34, ""en"", ""cs"")"),"Tajně konzumovat baterii")</f>
        <v>Tajně konzumovat baterii</v>
      </c>
      <c r="R34" s="4" t="str">
        <f>IFERROR(__xludf.DUMMYFUNCTION("GOOGLETRANSLATE(B34, ""en"", ""it"")"),"Consumando segretamente la batteria")</f>
        <v>Consumando segretamente la batteria</v>
      </c>
      <c r="S34" s="4" t="str">
        <f>IFERROR(__xludf.DUMMYFUNCTION("GOOGLETRANSLATE(B34, ""en"", ""el"")"),"Φυσικά κατανάλωση της μπαταρίας σας")</f>
        <v>Φυσικά κατανάλωση της μπαταρίας σας</v>
      </c>
    </row>
    <row r="35" ht="15.75" customHeight="1">
      <c r="A35" s="4" t="s">
        <v>83</v>
      </c>
      <c r="B35" s="4" t="s">
        <v>84</v>
      </c>
      <c r="C35" s="4" t="str">
        <f>IFERROR(__xludf.DUMMYFUNCTION("GOOGLETRANSLATE(B35, ""en"", ""es"")"),"¿Quien es tu novio?")</f>
        <v>¿Quien es tu novio?</v>
      </c>
      <c r="D35" s="4" t="str">
        <f>IFERROR(__xludf.DUMMYFUNCTION("GOOGLETRANSLATE(B35, ""en"", ""pt"")"),"Quem é o seu namorado?")</f>
        <v>Quem é o seu namorado?</v>
      </c>
      <c r="E35" s="4" t="str">
        <f>IFERROR(__xludf.DUMMYFUNCTION("GOOGLETRANSLATE(B35, ""en"", ""ar"")"),"من هو حبيبك؟")</f>
        <v>من هو حبيبك؟</v>
      </c>
      <c r="F35" s="4" t="str">
        <f>IFERROR(__xludf.DUMMYFUNCTION("GOOGLETRANSLATE(B35, ""en"", ""km"")"),"តើអ្នកណាជាមិត្តប្រុសរបស់អ្នក?")</f>
        <v>តើអ្នកណាជាមិត្តប្រុសរបស់អ្នក?</v>
      </c>
      <c r="G35" s="4" t="str">
        <f>IFERROR(__xludf.DUMMYFUNCTION("GOOGLETRANSLATE(B35, ""en"", ""fr"")"),"Qui est ton petit ami?")</f>
        <v>Qui est ton petit ami?</v>
      </c>
      <c r="H35" s="4" t="str">
        <f>IFERROR(__xludf.DUMMYFUNCTION("GOOGLETRANSLATE(B35, ""en"", ""ro"")"),"Cine este prietenul tău?")</f>
        <v>Cine este prietenul tău?</v>
      </c>
      <c r="I35" s="4" t="str">
        <f>IFERROR(__xludf.DUMMYFUNCTION("GOOGLETRANSLATE(B35, ""en"", ""my"")"),"မင်းရဲ့ရည်းစားကဘယ်သူလဲ")</f>
        <v>မင်းရဲ့ရည်းစားကဘယ်သူလဲ</v>
      </c>
      <c r="J35" s="4" t="str">
        <f>IFERROR(__xludf.DUMMYFUNCTION("GOOGLETRANSLATE(B35, ""en"", ""sw"")"),"Ni nani mpenzi wako?")</f>
        <v>Ni nani mpenzi wako?</v>
      </c>
      <c r="K35" s="4" t="str">
        <f>IFERROR(__xludf.DUMMYFUNCTION("GOOGLETRANSLATE(B35, ""en"", ""th"")"),"ใครเป็นแฟนของคุณ?")</f>
        <v>ใครเป็นแฟนของคุณ?</v>
      </c>
      <c r="L35" s="4" t="str">
        <f>IFERROR(__xludf.DUMMYFUNCTION("GOOGLETRANSLATE(B35, ""en"", ""si"")"),"ඔබේ පෙම්වතා කවුද?")</f>
        <v>ඔබේ පෙම්වතා කවුද?</v>
      </c>
      <c r="M35" s="4" t="str">
        <f>IFERROR(__xludf.DUMMYFUNCTION("GOOGLETRANSLATE(B35, ""en"", ""vi"")"),"Ai là bạn trai của bạn?")</f>
        <v>Ai là bạn trai của bạn?</v>
      </c>
      <c r="N35" s="4" t="str">
        <f>IFERROR(__xludf.DUMMYFUNCTION("GOOGLETRANSLATE(B35, ""en"", ""ne"")"),"तिम्रो प्रेमी को हो?")</f>
        <v>तिम्रो प्रेमी को हो?</v>
      </c>
      <c r="O35" s="4" t="str">
        <f>IFERROR(__xludf.DUMMYFUNCTION("GOOGLETRANSLATE(B35, ""en"", ""de"")"),"Wer ist dein Freund?")</f>
        <v>Wer ist dein Freund?</v>
      </c>
      <c r="P35" s="4" t="str">
        <f>IFERROR(__xludf.DUMMYFUNCTION("GOOGLETRANSLATE(B35, ""en"", ""he"")"),"מי החבר שלך?")</f>
        <v>מי החבר שלך?</v>
      </c>
      <c r="Q35" s="4" t="str">
        <f>IFERROR(__xludf.DUMMYFUNCTION("GOOGLETRANSLATE(B35, ""en"", ""cs"")"),"Kdo je váš přítel?")</f>
        <v>Kdo je váš přítel?</v>
      </c>
      <c r="R35" s="4" t="str">
        <f>IFERROR(__xludf.DUMMYFUNCTION("GOOGLETRANSLATE(B35, ""en"", ""it"")"),"Chi è il tuo ragazzo?")</f>
        <v>Chi è il tuo ragazzo?</v>
      </c>
      <c r="S35" s="4" t="str">
        <f>IFERROR(__xludf.DUMMYFUNCTION("GOOGLETRANSLATE(B35, ""en"", ""el"")"),"Ποιο είναι το αγόρι σου?")</f>
        <v>Ποιο είναι το αγόρι σου?</v>
      </c>
    </row>
    <row r="36" ht="15.75" customHeight="1">
      <c r="A36" s="4" t="s">
        <v>85</v>
      </c>
      <c r="B36" s="4" t="s">
        <v>86</v>
      </c>
      <c r="C36" s="4" t="str">
        <f>IFERROR(__xludf.DUMMYFUNCTION("GOOGLETRANSLATE(B36, ""en"", ""es"")"),"¿Cuál fue tu sueño cuando eras un niño?")</f>
        <v>¿Cuál fue tu sueño cuando eras un niño?</v>
      </c>
      <c r="D36" s="4" t="str">
        <f>IFERROR(__xludf.DUMMYFUNCTION("GOOGLETRANSLATE(B36, ""en"", ""pt"")"),"Qual foi o seu sonho quando você era criança?")</f>
        <v>Qual foi o seu sonho quando você era criança?</v>
      </c>
      <c r="E36" s="4" t="str">
        <f>IFERROR(__xludf.DUMMYFUNCTION("GOOGLETRANSLATE(B36, ""en"", ""ar"")"),"ما كان حلمك عندما كنت طفلا؟")</f>
        <v>ما كان حلمك عندما كنت طفلا؟</v>
      </c>
      <c r="F36" s="4" t="str">
        <f>IFERROR(__xludf.DUMMYFUNCTION("GOOGLETRANSLATE(B36, ""en"", ""km"")"),"តើអ្នកមានក្តីសុបិន្តរបស់អ្នកនៅពេលអ្នកនៅក្មេងយ៉ាងម៉េច?")</f>
        <v>តើអ្នកមានក្តីសុបិន្តរបស់អ្នកនៅពេលអ្នកនៅក្មេងយ៉ាងម៉េច?</v>
      </c>
      <c r="G36" s="4" t="str">
        <f>IFERROR(__xludf.DUMMYFUNCTION("GOOGLETRANSLATE(B36, ""en"", ""fr"")"),"Quel était ton rêve quand tu étais enfant?")</f>
        <v>Quel était ton rêve quand tu étais enfant?</v>
      </c>
      <c r="H36" s="4" t="str">
        <f>IFERROR(__xludf.DUMMYFUNCTION("GOOGLETRANSLATE(B36, ""en"", ""ro"")"),"Care a fost visul tău când erai copil?")</f>
        <v>Care a fost visul tău când erai copil?</v>
      </c>
      <c r="I36" s="4" t="str">
        <f>IFERROR(__xludf.DUMMYFUNCTION("GOOGLETRANSLATE(B36, ""en"", ""my"")"),"ကလေးဘဝတုန်းကမင်းရဲ့အိပ်မက်ကဘာလဲ။")</f>
        <v>ကလေးဘဝတုန်းကမင်းရဲ့အိပ်မက်ကဘာလဲ။</v>
      </c>
      <c r="J36" s="4" t="str">
        <f>IFERROR(__xludf.DUMMYFUNCTION("GOOGLETRANSLATE(B36, ""en"", ""sw"")"),"Nini ndoto yako wakati ulikuwa mtoto?")</f>
        <v>Nini ndoto yako wakati ulikuwa mtoto?</v>
      </c>
      <c r="K36" s="4" t="str">
        <f>IFERROR(__xludf.DUMMYFUNCTION("GOOGLETRANSLATE(B36, ""en"", ""th"")"),"อะไรคือความฝันของคุณเมื่อคุณเป็นเด็ก?")</f>
        <v>อะไรคือความฝันของคุณเมื่อคุณเป็นเด็ก?</v>
      </c>
      <c r="L36" s="4" t="str">
        <f>IFERROR(__xludf.DUMMYFUNCTION("GOOGLETRANSLATE(B36, ""en"", ""si"")"),"ඔබ කුඩා කාලයේ ඔබේ සිහිනය කුමක්ද?")</f>
        <v>ඔබ කුඩා කාලයේ ඔබේ සිහිනය කුමක්ද?</v>
      </c>
      <c r="M36" s="4" t="str">
        <f>IFERROR(__xludf.DUMMYFUNCTION("GOOGLETRANSLATE(B36, ""en"", ""vi"")"),"Giấc mơ của bạn là gì khi còn nhỏ?")</f>
        <v>Giấc mơ của bạn là gì khi còn nhỏ?</v>
      </c>
      <c r="N36" s="4" t="str">
        <f>IFERROR(__xludf.DUMMYFUNCTION("GOOGLETRANSLATE(B36, ""en"", ""ne"")"),"तपाईको सपना कस्तो थियो जब तपाई बच्चा हुनुहुन्थ्यो?")</f>
        <v>तपाईको सपना कस्तो थियो जब तपाई बच्चा हुनुहुन्थ्यो?</v>
      </c>
      <c r="O36" s="4" t="str">
        <f>IFERROR(__xludf.DUMMYFUNCTION("GOOGLETRANSLATE(B36, ""en"", ""de"")"),"Was war dein Traum, als du ein Kind warst?")</f>
        <v>Was war dein Traum, als du ein Kind warst?</v>
      </c>
      <c r="P36" s="4" t="str">
        <f>IFERROR(__xludf.DUMMYFUNCTION("GOOGLETRANSLATE(B36, ""en"", ""he"")"),"מה היה החלום שלך כשהיית ילד?")</f>
        <v>מה היה החלום שלך כשהיית ילד?</v>
      </c>
      <c r="Q36" s="4" t="str">
        <f>IFERROR(__xludf.DUMMYFUNCTION("GOOGLETRANSLATE(B36, ""en"", ""cs"")"),"Jaký byl váš sen, když jste byli dítě?")</f>
        <v>Jaký byl váš sen, když jste byli dítě?</v>
      </c>
      <c r="R36" s="4" t="str">
        <f>IFERROR(__xludf.DUMMYFUNCTION("GOOGLETRANSLATE(B36, ""en"", ""it"")"),"Qual è stato il tuo sogno quando eri un bambino?")</f>
        <v>Qual è stato il tuo sogno quando eri un bambino?</v>
      </c>
      <c r="S36" s="4" t="str">
        <f>IFERROR(__xludf.DUMMYFUNCTION("GOOGLETRANSLATE(B36, ""en"", ""el"")"),"Ποιο ήταν το όνειρό σου όταν ήσασταν παιδί;")</f>
        <v>Ποιο ήταν το όνειρό σου όταν ήσασταν παιδί;</v>
      </c>
    </row>
    <row r="37" ht="15.75" customHeight="1">
      <c r="A37" s="4" t="s">
        <v>87</v>
      </c>
      <c r="B37" s="4" t="s">
        <v>88</v>
      </c>
      <c r="C37" s="4" t="str">
        <f>IFERROR(__xludf.DUMMYFUNCTION("GOOGLETRANSLATE(B37, ""en"", ""es"")"),"Permiso de la ventana flotante")</f>
        <v>Permiso de la ventana flotante</v>
      </c>
      <c r="D37" s="4" t="str">
        <f>IFERROR(__xludf.DUMMYFUNCTION("GOOGLETRANSLATE(B37, ""en"", ""pt"")"),"Permissão de janela flutuante")</f>
        <v>Permissão de janela flutuante</v>
      </c>
      <c r="E37" s="4" t="str">
        <f>IFERROR(__xludf.DUMMYFUNCTION("GOOGLETRANSLATE(B37, ""en"", ""ar"")"),"إذن نافذة العائمة")</f>
        <v>إذن نافذة العائمة</v>
      </c>
      <c r="F37" s="4" t="str">
        <f>IFERROR(__xludf.DUMMYFUNCTION("GOOGLETRANSLATE(B37, ""en"", ""km"")"),"ការអនុញ្ញាតបង្អួចអណ្តែត")</f>
        <v>ការអនុញ្ញាតបង្អួចអណ្តែត</v>
      </c>
      <c r="G37" s="4" t="str">
        <f>IFERROR(__xludf.DUMMYFUNCTION("GOOGLETRANSLATE(B37, ""en"", ""fr"")"),"Permission de la fenêtre flottante")</f>
        <v>Permission de la fenêtre flottante</v>
      </c>
      <c r="H37" s="4" t="str">
        <f>IFERROR(__xludf.DUMMYFUNCTION("GOOGLETRANSLATE(B37, ""en"", ""ro"")"),"Permis de fereastră plutitoare")</f>
        <v>Permis de fereastră plutitoare</v>
      </c>
      <c r="I37" s="4" t="str">
        <f>IFERROR(__xludf.DUMMYFUNCTION("GOOGLETRANSLATE(B37, ""en"", ""my"")"),"floating 0 င်းဒိုးခွင့်ပြုချက်")</f>
        <v>floating 0 င်းဒိုးခွင့်ပြုချက်</v>
      </c>
      <c r="J37" s="4" t="str">
        <f>IFERROR(__xludf.DUMMYFUNCTION("GOOGLETRANSLATE(B37, ""en"", ""sw"")"),"Ruhusa ya dirisha la floating.")</f>
        <v>Ruhusa ya dirisha la floating.</v>
      </c>
      <c r="K37" s="4" t="str">
        <f>IFERROR(__xludf.DUMMYFUNCTION("GOOGLETRANSLATE(B37, ""en"", ""th"")"),"การอนุญาตหน้าต่างลอย")</f>
        <v>การอนุญาตหน้าต่างลอย</v>
      </c>
      <c r="L37" s="4" t="str">
        <f>IFERROR(__xludf.DUMMYFUNCTION("GOOGLETRANSLATE(B37, ""en"", ""si"")"),"පාවෙන කවුළු අවසරය")</f>
        <v>පාවෙන කවුළු අවසරය</v>
      </c>
      <c r="M37" s="4" t="str">
        <f>IFERROR(__xludf.DUMMYFUNCTION("GOOGLETRANSLATE(B37, ""en"", ""vi"")"),"Giấy phép cửa sổ nổi")</f>
        <v>Giấy phép cửa sổ nổi</v>
      </c>
      <c r="N37" s="4" t="str">
        <f>IFERROR(__xludf.DUMMYFUNCTION("GOOGLETRANSLATE(B37, ""en"", ""ne"")"),"फ्लोटिंग विन्डो अनुमति")</f>
        <v>फ्लोटिंग विन्डो अनुमति</v>
      </c>
      <c r="O37" s="4" t="str">
        <f>IFERROR(__xludf.DUMMYFUNCTION("GOOGLETRANSLATE(B37, ""en"", ""de"")"),"Floating Fenstererlaubnis.")</f>
        <v>Floating Fenstererlaubnis.</v>
      </c>
      <c r="P37" s="4" t="str">
        <f>IFERROR(__xludf.DUMMYFUNCTION("GOOGLETRANSLATE(B37, ""en"", ""he"")"),"רשות חלון צף")</f>
        <v>רשות חלון צף</v>
      </c>
      <c r="Q37" s="4" t="str">
        <f>IFERROR(__xludf.DUMMYFUNCTION("GOOGLETRANSLATE(B37, ""en"", ""cs"")"),"Plovoucí okno povolení")</f>
        <v>Plovoucí okno povolení</v>
      </c>
      <c r="R37" s="4" t="str">
        <f>IFERROR(__xludf.DUMMYFUNCTION("GOOGLETRANSLATE(B37, ""en"", ""it"")"),"permesso di finestre galleggiante")</f>
        <v>permesso di finestre galleggiante</v>
      </c>
      <c r="S37" s="4" t="str">
        <f>IFERROR(__xludf.DUMMYFUNCTION("GOOGLETRANSLATE(B37, ""en"", ""el"")"),"Πλωτή άδεια παραθύρου")</f>
        <v>Πλωτή άδεια παραθύρου</v>
      </c>
    </row>
    <row r="38" ht="15.75" customHeight="1">
      <c r="A38" s="4" t="s">
        <v>89</v>
      </c>
      <c r="B38" s="4" t="s">
        <v>90</v>
      </c>
      <c r="C38" s="4" t="str">
        <f>IFERROR(__xludf.DUMMYFUNCTION("GOOGLETRANSLATE(B38, ""en"", ""es"")"),"¿Quién es tu novia?")</f>
        <v>¿Quién es tu novia?</v>
      </c>
      <c r="D38" s="4" t="str">
        <f>IFERROR(__xludf.DUMMYFUNCTION("GOOGLETRANSLATE(B38, ""en"", ""pt"")"),"Quem é sua namorada?")</f>
        <v>Quem é sua namorada?</v>
      </c>
      <c r="E38" s="4" t="str">
        <f>IFERROR(__xludf.DUMMYFUNCTION("GOOGLETRANSLATE(B38, ""en"", ""ar"")"),"من هي صديقتك؟")</f>
        <v>من هي صديقتك؟</v>
      </c>
      <c r="F38" s="4" t="str">
        <f>IFERROR(__xludf.DUMMYFUNCTION("GOOGLETRANSLATE(B38, ""en"", ""km"")"),"តើមិត្តស្រីរបស់អ្នកគឺជានរណា?")</f>
        <v>តើមិត្តស្រីរបស់អ្នកគឺជានរណា?</v>
      </c>
      <c r="G38" s="4" t="str">
        <f>IFERROR(__xludf.DUMMYFUNCTION("GOOGLETRANSLATE(B38, ""en"", ""fr"")"),"Qui est ta petite amie?")</f>
        <v>Qui est ta petite amie?</v>
      </c>
      <c r="H38" s="4" t="str">
        <f>IFERROR(__xludf.DUMMYFUNCTION("GOOGLETRANSLATE(B38, ""en"", ""ro"")"),"Cine e iubita ta?")</f>
        <v>Cine e iubita ta?</v>
      </c>
      <c r="I38" s="4" t="str">
        <f>IFERROR(__xludf.DUMMYFUNCTION("GOOGLETRANSLATE(B38, ""en"", ""my"")"),"မင်းရဲ့ရည်းစားကဘယ်သူလဲ")</f>
        <v>မင်းရဲ့ရည်းစားကဘယ်သူလဲ</v>
      </c>
      <c r="J38" s="4" t="str">
        <f>IFERROR(__xludf.DUMMYFUNCTION("GOOGLETRANSLATE(B38, ""en"", ""sw"")"),"Msichana wako ni nani?")</f>
        <v>Msichana wako ni nani?</v>
      </c>
      <c r="K38" s="4" t="str">
        <f>IFERROR(__xludf.DUMMYFUNCTION("GOOGLETRANSLATE(B38, ""en"", ""th"")"),"แฟนของคุณคือใคร")</f>
        <v>แฟนของคุณคือใคร</v>
      </c>
      <c r="L38" s="4" t="str">
        <f>IFERROR(__xludf.DUMMYFUNCTION("GOOGLETRANSLATE(B38, ""en"", ""si"")"),"ඔබේ පෙම්වතිය කවුද?")</f>
        <v>ඔබේ පෙම්වතිය කවුද?</v>
      </c>
      <c r="M38" s="4" t="str">
        <f>IFERROR(__xludf.DUMMYFUNCTION("GOOGLETRANSLATE(B38, ""en"", ""vi"")"),"Bạn gái của bạn là ai")</f>
        <v>Bạn gái của bạn là ai</v>
      </c>
      <c r="N38" s="4" t="str">
        <f>IFERROR(__xludf.DUMMYFUNCTION("GOOGLETRANSLATE(B38, ""en"", ""ne"")"),"तिम्रो प्रेमिका को हो?")</f>
        <v>तिम्रो प्रेमिका को हो?</v>
      </c>
      <c r="O38" s="4" t="str">
        <f>IFERROR(__xludf.DUMMYFUNCTION("GOOGLETRANSLATE(B38, ""en"", ""de"")"),"Wer ist deine Freundin?")</f>
        <v>Wer ist deine Freundin?</v>
      </c>
      <c r="P38" s="4" t="str">
        <f>IFERROR(__xludf.DUMMYFUNCTION("GOOGLETRANSLATE(B38, ""en"", ""he"")"),"מי זאת חברה שלך?")</f>
        <v>מי זאת חברה שלך?</v>
      </c>
      <c r="Q38" s="4" t="str">
        <f>IFERROR(__xludf.DUMMYFUNCTION("GOOGLETRANSLATE(B38, ""en"", ""cs"")"),"Kdo je tvá přítelkyně?")</f>
        <v>Kdo je tvá přítelkyně?</v>
      </c>
      <c r="R38" s="4" t="str">
        <f>IFERROR(__xludf.DUMMYFUNCTION("GOOGLETRANSLATE(B38, ""en"", ""it"")"),"Chi è la tua ragazza?")</f>
        <v>Chi è la tua ragazza?</v>
      </c>
      <c r="S38" s="4" t="str">
        <f>IFERROR(__xludf.DUMMYFUNCTION("GOOGLETRANSLATE(B38, ""en"", ""el"")"),"Ποια είναι η κοπέλα σου?")</f>
        <v>Ποια είναι η κοπέλα σου?</v>
      </c>
    </row>
    <row r="39" ht="15.75" customHeight="1">
      <c r="A39" s="4" t="s">
        <v>91</v>
      </c>
      <c r="B39" s="4" t="s">
        <v>92</v>
      </c>
      <c r="C39" s="4" t="str">
        <f>IFERROR(__xludf.DUMMYFUNCTION("GOOGLETRANSLATE(B39, ""en"", ""es"")"),"""¿Cuál es el nombre de su maestro favorito en la escuela secundaria?""")</f>
        <v>"¿Cuál es el nombre de su maestro favorito en la escuela secundaria?"</v>
      </c>
      <c r="D39" s="4" t="str">
        <f>IFERROR(__xludf.DUMMYFUNCTION("GOOGLETRANSLATE(B39, ""en"", ""pt"")"),"""Qual é o nome do seu professor favorito no ensino médio?""")</f>
        <v>"Qual é o nome do seu professor favorito no ensino médio?"</v>
      </c>
      <c r="E39" s="4" t="str">
        <f>IFERROR(__xludf.DUMMYFUNCTION("GOOGLETRANSLATE(B39, ""en"", ""ar"")"),"""ما اسم المعلم المفضل لديك في المدرسة الثانوية؟""")</f>
        <v>"ما اسم المعلم المفضل لديك في المدرسة الثانوية؟"</v>
      </c>
      <c r="F39" s="4" t="str">
        <f>IFERROR(__xludf.DUMMYFUNCTION("GOOGLETRANSLATE(B39, ""en"", ""km"")"),"""តើគ្រូដែលអ្នកចូលចិត្តជាងគេនៅវិទ្យាល័យមានឈ្មោះអ្វី?""")</f>
        <v>"តើគ្រូដែលអ្នកចូលចិត្តជាងគេនៅវិទ្យាល័យមានឈ្មោះអ្វី?"</v>
      </c>
      <c r="G39" s="4" t="str">
        <f>IFERROR(__xludf.DUMMYFUNCTION("GOOGLETRANSLATE(B39, ""en"", ""fr"")"),"""Quel est le nom de votre professeur préféré au lycée?""")</f>
        <v>"Quel est le nom de votre professeur préféré au lycée?"</v>
      </c>
      <c r="H39" s="4" t="str">
        <f>IFERROR(__xludf.DUMMYFUNCTION("GOOGLETRANSLATE(B39, ""en"", ""ro"")"),"""Care este numele profesorului tău preferat în liceu?""")</f>
        <v>"Care este numele profesorului tău preferat în liceu?"</v>
      </c>
      <c r="I39" s="4" t="str">
        <f>IFERROR(__xludf.DUMMYFUNCTION("GOOGLETRANSLATE(B39, ""en"", ""my"")"),"""အထက်တန်းကျောင်းမှာမင်းအကြိုက်ဆုံးဆရာရဲ့နာမည်ကဘာလဲ""")</f>
        <v>"အထက်တန်းကျောင်းမှာမင်းအကြိုက်ဆုံးဆရာရဲ့နာမည်ကဘာလဲ"</v>
      </c>
      <c r="J39" s="4" t="str">
        <f>IFERROR(__xludf.DUMMYFUNCTION("GOOGLETRANSLATE(B39, ""en"", ""sw"")"),"""Jina la mwalimu wako maarufu katika shule ya sekondari?""")</f>
        <v>"Jina la mwalimu wako maarufu katika shule ya sekondari?"</v>
      </c>
      <c r="K39" s="4" t="str">
        <f>IFERROR(__xludf.DUMMYFUNCTION("GOOGLETRANSLATE(B39, ""en"", ""th"")"),"""ครูคนโปรดของคุณชื่อในโรงเรียนมัธยมคืออะไร""")</f>
        <v>"ครูคนโปรดของคุณชื่อในโรงเรียนมัธยมคืออะไร"</v>
      </c>
      <c r="L39" s="4" t="str">
        <f>IFERROR(__xludf.DUMMYFUNCTION("GOOGLETRANSLATE(B39, ""en"", ""si"")"),"""උසස් පාසලේ ඔබේ ප්රියතම ගුරුවරියගේ නම කුමක්ද?""")</f>
        <v>"උසස් පාසලේ ඔබේ ප්රියතම ගුරුවරියගේ නම කුමක්ද?"</v>
      </c>
      <c r="M39" s="4" t="str">
        <f>IFERROR(__xludf.DUMMYFUNCTION("GOOGLETRANSLATE(B39, ""en"", ""vi"")"),"""Tên của giáo viên yêu thích của bạn ở trường trung học là gì?""")</f>
        <v>"Tên của giáo viên yêu thích của bạn ở trường trung học là gì?"</v>
      </c>
      <c r="N39" s="4" t="str">
        <f>IFERROR(__xludf.DUMMYFUNCTION("GOOGLETRANSLATE(B39, ""en"", ""ne"")"),"""हाई स्कूलमा तपाईंको मनपर्ने शिक्षकको नाम के हो?""")</f>
        <v>"हाई स्कूलमा तपाईंको मनपर्ने शिक्षकको नाम के हो?"</v>
      </c>
      <c r="O39" s="4" t="str">
        <f>IFERROR(__xludf.DUMMYFUNCTION("GOOGLETRANSLATE(B39, ""en"", ""de"")"),"""Wie heißt dein Lieblingslehrer in der High School?""")</f>
        <v>"Wie heißt dein Lieblingslehrer in der High School?"</v>
      </c>
      <c r="P39" s="4" t="str">
        <f>IFERROR(__xludf.DUMMYFUNCTION("GOOGLETRANSLATE(B39, ""en"", ""he"")"),"""מה שמו של המורה האהוב עליך בתיכון?""")</f>
        <v>"מה שמו של המורה האהוב עליך בתיכון?"</v>
      </c>
      <c r="Q39" s="4" t="str">
        <f>IFERROR(__xludf.DUMMYFUNCTION("GOOGLETRANSLATE(B39, ""en"", ""cs"")"),"""Jaký je název vašeho oblíbeného učitele na střední škole?""")</f>
        <v>"Jaký je název vašeho oblíbeného učitele na střední škole?"</v>
      </c>
      <c r="R39" s="4" t="str">
        <f>IFERROR(__xludf.DUMMYFUNCTION("GOOGLETRANSLATE(B39, ""en"", ""it"")"),"""Come è il nome del tuo insegnante preferito al liceo?""")</f>
        <v>"Come è il nome del tuo insegnante preferito al liceo?"</v>
      </c>
      <c r="S39" s="4" t="str">
        <f>IFERROR(__xludf.DUMMYFUNCTION("GOOGLETRANSLATE(B39, ""en"", ""el"")"),"""Ποιο είναι το όνομα του αγαπημένου σας δάσκαλου στο γυμνάσιο;""")</f>
        <v>"Ποιο είναι το όνομα του αγαπημένου σας δάσκαλου στο γυμνάσιο;"</v>
      </c>
    </row>
    <row r="40" ht="15.75" customHeight="1">
      <c r="A40" s="4" t="s">
        <v>93</v>
      </c>
      <c r="B40" s="4" t="s">
        <v>94</v>
      </c>
      <c r="C40" s="4" t="str">
        <f>IFERROR(__xludf.DUMMYFUNCTION("GOOGLETRANSLATE(B40, ""en"", ""es"")"),"Cómo dibujar un patrón de desbloqueo")</f>
        <v>Cómo dibujar un patrón de desbloqueo</v>
      </c>
      <c r="D40" s="4" t="str">
        <f>IFERROR(__xludf.DUMMYFUNCTION("GOOGLETRANSLATE(B40, ""en"", ""pt"")"),"Como desenhar um padrão de desbloqueio")</f>
        <v>Como desenhar um padrão de desbloqueio</v>
      </c>
      <c r="E40" s="4" t="str">
        <f>IFERROR(__xludf.DUMMYFUNCTION("GOOGLETRANSLATE(B40, ""en"", ""ar"")"),"كيفية رسم نمط فتح")</f>
        <v>كيفية رسم نمط فتح</v>
      </c>
      <c r="F40" s="4" t="str">
        <f>IFERROR(__xludf.DUMMYFUNCTION("GOOGLETRANSLATE(B40, ""en"", ""km"")"),"វិធីគូរលំនាំដោះសោ")</f>
        <v>វិធីគូរលំនាំដោះសោ</v>
      </c>
      <c r="G40" s="4" t="str">
        <f>IFERROR(__xludf.DUMMYFUNCTION("GOOGLETRANSLATE(B40, ""en"", ""fr"")"),"Comment dessiner un motif de déverrouillage")</f>
        <v>Comment dessiner un motif de déverrouillage</v>
      </c>
      <c r="H40" s="4" t="str">
        <f>IFERROR(__xludf.DUMMYFUNCTION("GOOGLETRANSLATE(B40, ""en"", ""ro"")"),"Cum de a desena un model de deblocare")</f>
        <v>Cum de a desena un model de deblocare</v>
      </c>
      <c r="I40" s="4" t="str">
        <f>IFERROR(__xludf.DUMMYFUNCTION("GOOGLETRANSLATE(B40, ""en"", ""my"")"),"သော့ဖွင့်ပုံစံဆွဲနည်း")</f>
        <v>သော့ဖွင့်ပုံစံဆွဲနည်း</v>
      </c>
      <c r="J40" s="4" t="str">
        <f>IFERROR(__xludf.DUMMYFUNCTION("GOOGLETRANSLATE(B40, ""en"", ""sw"")"),"Jinsi ya kuteka muundo wa kufungua.")</f>
        <v>Jinsi ya kuteka muundo wa kufungua.</v>
      </c>
      <c r="K40" s="4" t="str">
        <f>IFERROR(__xludf.DUMMYFUNCTION("GOOGLETRANSLATE(B40, ""en"", ""th"")"),"วิธีการวาดรูปแบบการปลดล็อค")</f>
        <v>วิธีการวาดรูปแบบการปลดล็อค</v>
      </c>
      <c r="L40" s="4" t="str">
        <f>IFERROR(__xludf.DUMMYFUNCTION("GOOGLETRANSLATE(B40, ""en"", ""si"")"),"අගුළු ඇරීමේ රටාවක් අඳින්නේ කෙසේද?")</f>
        <v>අගුළු ඇරීමේ රටාවක් අඳින්නේ කෙසේද?</v>
      </c>
      <c r="M40" s="4" t="str">
        <f>IFERROR(__xludf.DUMMYFUNCTION("GOOGLETRANSLATE(B40, ""en"", ""vi"")"),"Làm thế nào để vẽ một mô hình mở khóa")</f>
        <v>Làm thế nào để vẽ một mô hình mở khóa</v>
      </c>
      <c r="N40" s="4" t="str">
        <f>IFERROR(__xludf.DUMMYFUNCTION("GOOGLETRANSLATE(B40, ""en"", ""ne"")"),"कसरी अनलक ढाँचा कोर्न")</f>
        <v>कसरी अनलक ढाँचा कोर्न</v>
      </c>
      <c r="O40" s="4" t="str">
        <f>IFERROR(__xludf.DUMMYFUNCTION("GOOGLETRANSLATE(B40, ""en"", ""de"")"),"So zeichnen Sie ein Entriegelungsmuster")</f>
        <v>So zeichnen Sie ein Entriegelungsmuster</v>
      </c>
      <c r="P40" s="4" t="str">
        <f>IFERROR(__xludf.DUMMYFUNCTION("GOOGLETRANSLATE(B40, ""en"", ""he"")"),"איך לצייר תבנית נעילה")</f>
        <v>איך לצייר תבנית נעילה</v>
      </c>
      <c r="Q40" s="4" t="str">
        <f>IFERROR(__xludf.DUMMYFUNCTION("GOOGLETRANSLATE(B40, ""en"", ""cs"")"),"Jak nakreslit odemknutý vzor")</f>
        <v>Jak nakreslit odemknutý vzor</v>
      </c>
      <c r="R40" s="4" t="str">
        <f>IFERROR(__xludf.DUMMYFUNCTION("GOOGLETRANSLATE(B40, ""en"", ""it"")"),"Come disegnare un modello di sblocco")</f>
        <v>Come disegnare un modello di sblocco</v>
      </c>
      <c r="S40" s="4" t="str">
        <f>IFERROR(__xludf.DUMMYFUNCTION("GOOGLETRANSLATE(B40, ""en"", ""el"")"),"Πώς να σχεδιάσετε ένα μοτίβο ξεκλειδώματος")</f>
        <v>Πώς να σχεδιάσετε ένα μοτίβο ξεκλειδώματος</v>
      </c>
    </row>
    <row r="41" ht="15.75" customHeight="1">
      <c r="A41" s="4" t="s">
        <v>95</v>
      </c>
      <c r="B41" s="4" t="s">
        <v>96</v>
      </c>
      <c r="C41" s="4" t="str">
        <f>IFERROR(__xludf.DUMMYFUNCTION("GOOGLETRANSLATE(B41, ""en"", ""es"")"),"Si te enamoras de alguien del mismo género, ¿quién es ella / él?")</f>
        <v>Si te enamoras de alguien del mismo género, ¿quién es ella / él?</v>
      </c>
      <c r="D41" s="4" t="str">
        <f>IFERROR(__xludf.DUMMYFUNCTION("GOOGLETRANSLATE(B41, ""en"", ""pt"")"),"Se você tivesse uma queda por alguém do mesmo gênero, quem é ela?")</f>
        <v>Se você tivesse uma queda por alguém do mesmo gênero, quem é ela?</v>
      </c>
      <c r="E41" s="4" t="str">
        <f>IFERROR(__xludf.DUMMYFUNCTION("GOOGLETRANSLATE(B41, ""en"", ""ar"")"),"إذا كان لديك سحق على شخص من نفس الجنس، فمن هي / هو؟")</f>
        <v>إذا كان لديك سحق على شخص من نفس الجنس، فمن هي / هو؟</v>
      </c>
      <c r="F41" s="4" t="str">
        <f>IFERROR(__xludf.DUMMYFUNCTION("GOOGLETRANSLATE(B41, ""en"", ""km"")"),"ប្រសិនបើអ្នកមានកំទេចលើនរណាម្នាក់ដែលមានភេទដូចគ្នាតើនាងជានរណា / គាត់?")</f>
        <v>ប្រសិនបើអ្នកមានកំទេចលើនរណាម្នាក់ដែលមានភេទដូចគ្នាតើនាងជានរណា / គាត់?</v>
      </c>
      <c r="G41" s="4" t="str">
        <f>IFERROR(__xludf.DUMMYFUNCTION("GOOGLETRANSLATE(B41, ""en"", ""fr"")"),"Si vous avez eu un béguin sur quelqu'un du même sexe, qui est-elle / elle?")</f>
        <v>Si vous avez eu un béguin sur quelqu'un du même sexe, qui est-elle / elle?</v>
      </c>
      <c r="H41" s="4" t="str">
        <f>IFERROR(__xludf.DUMMYFUNCTION("GOOGLETRANSLATE(B41, ""en"", ""ro"")"),"Dacă ai avea o pasiune pe cineva de același sex, cine este ea?")</f>
        <v>Dacă ai avea o pasiune pe cineva de același sex, cine este ea?</v>
      </c>
      <c r="I41" s="4" t="str">
        <f>IFERROR(__xludf.DUMMYFUNCTION("GOOGLETRANSLATE(B41, ""en"", ""my"")"),"အကယ်. သင်သည်တူညီသောကျား,")</f>
        <v>အကယ်. သင်သည်တူညီသောကျား,</v>
      </c>
      <c r="J41" s="4" t="str">
        <f>IFERROR(__xludf.DUMMYFUNCTION("GOOGLETRANSLATE(B41, ""en"", ""sw"")"),"Ikiwa ungekuwa na kuponda mtu wa jinsia moja, ambaye ni yeye?")</f>
        <v>Ikiwa ungekuwa na kuponda mtu wa jinsia moja, ambaye ni yeye?</v>
      </c>
      <c r="K41" s="4" t="str">
        <f>IFERROR(__xludf.DUMMYFUNCTION("GOOGLETRANSLATE(B41, ""en"", ""th"")"),"หากคุณมีความสนใจกับใครบางคนในเพศเดียวกันเธอคือใครเธอ / เขา?")</f>
        <v>หากคุณมีความสนใจกับใครบางคนในเพศเดียวกันเธอคือใครเธอ / เขา?</v>
      </c>
      <c r="L41" s="4" t="str">
        <f>IFERROR(__xludf.DUMMYFUNCTION("GOOGLETRANSLATE(B41, ""en"", ""si"")"),"ඔබට එකම ලිංගයේ කෙනෙකු කෙරෙහි දැඩි ඇල්මක් තිබුණා නම්, ඇය / ඔහු කවුද?")</f>
        <v>ඔබට එකම ලිංගයේ කෙනෙකු කෙරෙහි දැඩි ඇල්මක් තිබුණා නම්, ඇය / ඔහු කවුද?</v>
      </c>
      <c r="M41" s="4" t="str">
        <f>IFERROR(__xludf.DUMMYFUNCTION("GOOGLETRANSLATE(B41, ""en"", ""vi"")"),"Nếu bạn phải lòng một ai đó cùng giới, cô ấy / anh ấy là ai?")</f>
        <v>Nếu bạn phải lòng một ai đó cùng giới, cô ấy / anh ấy là ai?</v>
      </c>
      <c r="N41" s="4" t="str">
        <f>IFERROR(__xludf.DUMMYFUNCTION("GOOGLETRANSLATE(B41, ""en"", ""ne"")"),"यदि तपाईंसँग एउटै लि gender ्गको कसैको क्रश छ भने, उनी / उनी को हुन्?")</f>
        <v>यदि तपाईंसँग एउटै लि gender ्गको कसैको क्रश छ भने, उनी / उनी को हुन्?</v>
      </c>
      <c r="O41" s="4" t="str">
        <f>IFERROR(__xludf.DUMMYFUNCTION("GOOGLETRANSLATE(B41, ""en"", ""de"")"),"Wenn Sie jemanden mit demselben Geschlecht verknallt hatten, wer ist sie / er?")</f>
        <v>Wenn Sie jemanden mit demselben Geschlecht verknallt hatten, wer ist sie / er?</v>
      </c>
      <c r="P41" s="4" t="str">
        <f>IFERROR(__xludf.DUMMYFUNCTION("GOOGLETRANSLATE(B41, ""en"", ""he"")"),"אם היה לך למחוץ על מישהו מאותו מין, מי היא / הוא?")</f>
        <v>אם היה לך למחוץ על מישהו מאותו מין, מי היא / הוא?</v>
      </c>
      <c r="Q41" s="4" t="str">
        <f>IFERROR(__xludf.DUMMYFUNCTION("GOOGLETRANSLATE(B41, ""en"", ""cs"")"),"Pokud jste měli rozdrcení na někoho ze stejného pohlaví, kdo je?")</f>
        <v>Pokud jste měli rozdrcení na někoho ze stejného pohlaví, kdo je?</v>
      </c>
      <c r="R41" s="4" t="str">
        <f>IFERROR(__xludf.DUMMYFUNCTION("GOOGLETRANSLATE(B41, ""en"", ""it"")"),"Se avessi una cotta per qualcuno dello stesso sesso, chi è lei / lui?")</f>
        <v>Se avessi una cotta per qualcuno dello stesso sesso, chi è lei / lui?</v>
      </c>
      <c r="S41" s="4" t="str">
        <f>IFERROR(__xludf.DUMMYFUNCTION("GOOGLETRANSLATE(B41, ""en"", ""el"")"),"Αν είχατε μια συντριβή σε κάποιον του ίδιου φύλου, ο οποίος είναι αυτή / αυτός;")</f>
        <v>Αν είχατε μια συντριβή σε κάποιον του ίδιου φύλου, ο οποίος είναι αυτή / αυτός;</v>
      </c>
    </row>
    <row r="42" ht="15.75" customHeight="1">
      <c r="A42" s="4" t="s">
        <v>97</v>
      </c>
      <c r="B42" s="4" t="s">
        <v>98</v>
      </c>
      <c r="C42" s="4" t="str">
        <f>IFERROR(__xludf.DUMMYFUNCTION("GOOGLETRANSLATE(B42, ""en"", ""es"")"),"Memory Killer encontrado")</f>
        <v>Memory Killer encontrado</v>
      </c>
      <c r="D42" s="4" t="str">
        <f>IFERROR(__xludf.DUMMYFUNCTION("GOOGLETRANSLATE(B42, ""en"", ""pt"")"),"Assassino de memória encontrado")</f>
        <v>Assassino de memória encontrado</v>
      </c>
      <c r="E42" s="4" t="str">
        <f>IFERROR(__xludf.DUMMYFUNCTION("GOOGLETRANSLATE(B42, ""en"", ""ar"")"),"وجدت القاتل الذاكرة")</f>
        <v>وجدت القاتل الذاكرة</v>
      </c>
      <c r="F42" s="4" t="str">
        <f>IFERROR(__xludf.DUMMYFUNCTION("GOOGLETRANSLATE(B42, ""en"", ""km"")"),"ឃាតករការចងចាំបានរកឃើញ")</f>
        <v>ឃាតករការចងចាំបានរកឃើញ</v>
      </c>
      <c r="G42" s="4" t="str">
        <f>IFERROR(__xludf.DUMMYFUNCTION("GOOGLETRANSLATE(B42, ""en"", ""fr"")"),"Tueur de mémoire trouvé")</f>
        <v>Tueur de mémoire trouvé</v>
      </c>
      <c r="H42" s="4" t="str">
        <f>IFERROR(__xludf.DUMMYFUNCTION("GOOGLETRANSLATE(B42, ""en"", ""ro"")"),"Killer de memorie găsit")</f>
        <v>Killer de memorie găsit</v>
      </c>
      <c r="I42" s="4" t="str">
        <f>IFERROR(__xludf.DUMMYFUNCTION("GOOGLETRANSLATE(B42, ""en"", ""my"")"),"မှတ်ဉာဏ်လူသတ်သမားတွေ့ရှိခဲ့ပါတယ်")</f>
        <v>မှတ်ဉာဏ်လူသတ်သမားတွေ့ရှိခဲ့ပါတယ်</v>
      </c>
      <c r="J42" s="4" t="str">
        <f>IFERROR(__xludf.DUMMYFUNCTION("GOOGLETRANSLATE(B42, ""en"", ""sw"")"),"Killer ya Kumbukumbu imepatikana.")</f>
        <v>Killer ya Kumbukumbu imepatikana.</v>
      </c>
      <c r="K42" s="4" t="str">
        <f>IFERROR(__xludf.DUMMYFUNCTION("GOOGLETRANSLATE(B42, ""en"", ""th"")"),"พบนักฆ่าหน่วยความจำ")</f>
        <v>พบนักฆ่าหน่วยความจำ</v>
      </c>
      <c r="L42" s="4" t="str">
        <f>IFERROR(__xludf.DUMMYFUNCTION("GOOGLETRANSLATE(B42, ""en"", ""si"")"),"මතක ler ාතකයා හමු විය")</f>
        <v>මතක ler ාතකයා හමු විය</v>
      </c>
      <c r="M42" s="4" t="str">
        <f>IFERROR(__xludf.DUMMYFUNCTION("GOOGLETRANSLATE(B42, ""en"", ""vi"")"),"Kẻ giết người nhớ tìm thấy")</f>
        <v>Kẻ giết người nhớ tìm thấy</v>
      </c>
      <c r="N42" s="4" t="str">
        <f>IFERROR(__xludf.DUMMYFUNCTION("GOOGLETRANSLATE(B42, ""en"", ""ne"")"),"मेमोरी हत्यारा भेटियो")</f>
        <v>मेमोरी हत्यारा भेटियो</v>
      </c>
      <c r="O42" s="4" t="str">
        <f>IFERROR(__xludf.DUMMYFUNCTION("GOOGLETRANSLATE(B42, ""en"", ""de"")"),"Erinnerungskiller gefunden")</f>
        <v>Erinnerungskiller gefunden</v>
      </c>
      <c r="P42" s="4" t="str">
        <f>IFERROR(__xludf.DUMMYFUNCTION("GOOGLETRANSLATE(B42, ""en"", ""he"")"),"רוצח זיכרון שנמצא")</f>
        <v>רוצח זיכרון שנמצא</v>
      </c>
      <c r="Q42" s="4" t="str">
        <f>IFERROR(__xludf.DUMMYFUNCTION("GOOGLETRANSLATE(B42, ""en"", ""cs"")"),"Nalezen vrahem paměti.")</f>
        <v>Nalezen vrahem paměti.</v>
      </c>
      <c r="R42" s="4" t="str">
        <f>IFERROR(__xludf.DUMMYFUNCTION("GOOGLETRANSLATE(B42, ""en"", ""it"")"),"Killer di memoria trovato.")</f>
        <v>Killer di memoria trovato.</v>
      </c>
      <c r="S42" s="4" t="str">
        <f>IFERROR(__xludf.DUMMYFUNCTION("GOOGLETRANSLATE(B42, ""en"", ""el"")"),"Βρέθηκε δολοφόνος μνήμης")</f>
        <v>Βρέθηκε δολοφόνος μνήμης</v>
      </c>
    </row>
    <row r="43" ht="15.75" customHeight="1">
      <c r="A43" s="4" t="s">
        <v>99</v>
      </c>
      <c r="B43" s="4" t="s">
        <v>100</v>
      </c>
      <c r="C43" s="4" t="str">
        <f>IFERROR(__xludf.DUMMYFUNCTION("GOOGLETRANSLATE(B43, ""en"", ""es"")"),"""¿Cuál es el nombre de tu mascota favorita?""")</f>
        <v>"¿Cuál es el nombre de tu mascota favorita?"</v>
      </c>
      <c r="D43" s="4" t="str">
        <f>IFERROR(__xludf.DUMMYFUNCTION("GOOGLETRANSLATE(B43, ""en"", ""pt"")"),"""Qual é o nome do seu animal de estimação favorito?""")</f>
        <v>"Qual é o nome do seu animal de estimação favorito?"</v>
      </c>
      <c r="E43" s="4" t="str">
        <f>IFERROR(__xludf.DUMMYFUNCTION("GOOGLETRANSLATE(B43, ""en"", ""ar"")"),"""ما اسم حيوانك الأليف المفضل لديك؟""")</f>
        <v>"ما اسم حيوانك الأليف المفضل لديك؟"</v>
      </c>
      <c r="F43" s="4" t="str">
        <f>IFERROR(__xludf.DUMMYFUNCTION("GOOGLETRANSLATE(B43, ""en"", ""km"")"),"""តើសត្វចិញ្ចឹមដែលអ្នកចូលចិត្តមានឈ្មោះអ្វី?""")</f>
        <v>"តើសត្វចិញ្ចឹមដែលអ្នកចូលចិត្តមានឈ្មោះអ្វី?"</v>
      </c>
      <c r="G43" s="4" t="str">
        <f>IFERROR(__xludf.DUMMYFUNCTION("GOOGLETRANSLATE(B43, ""en"", ""fr"")"),"""Quel est le nom de votre animal de compagnie préféré?""")</f>
        <v>"Quel est le nom de votre animal de compagnie préféré?"</v>
      </c>
      <c r="H43" s="4" t="str">
        <f>IFERROR(__xludf.DUMMYFUNCTION("GOOGLETRANSLATE(B43, ""en"", ""ro"")"),"""Care este numele animalului tău preferat?""")</f>
        <v>"Care este numele animalului tău preferat?"</v>
      </c>
      <c r="I43" s="4" t="str">
        <f>IFERROR(__xludf.DUMMYFUNCTION("GOOGLETRANSLATE(B43, ""en"", ""my"")"),"""သင်အကြိုက်ဆုံးအိမ်မွေးတိရစ္ဆာန်၏အမည်ကဘာလဲ?""")</f>
        <v>"သင်အကြိုက်ဆုံးအိမ်မွေးတိရစ္ဆာန်၏အမည်ကဘာလဲ?"</v>
      </c>
      <c r="J43" s="4" t="str">
        <f>IFERROR(__xludf.DUMMYFUNCTION("GOOGLETRANSLATE(B43, ""en"", ""sw"")"),"""Jina la pet yako favorite?""")</f>
        <v>"Jina la pet yako favorite?"</v>
      </c>
      <c r="K43" s="4" t="str">
        <f>IFERROR(__xludf.DUMMYFUNCTION("GOOGLETRANSLATE(B43, ""en"", ""th"")"),"""สัตว์เลี้ยงตัวโปรดของคุณชื่ออะไร""")</f>
        <v>"สัตว์เลี้ยงตัวโปรดของคุณชื่ออะไร"</v>
      </c>
      <c r="L43" s="4" t="str">
        <f>IFERROR(__xludf.DUMMYFUNCTION("GOOGLETRANSLATE(B43, ""en"", ""si"")"),"""ඔබේ ප්රියතම සුරතලාගේ නම කුමක්ද?""")</f>
        <v>"ඔබේ ප්රියතම සුරතලාගේ නම කුමක්ද?"</v>
      </c>
      <c r="M43" s="4" t="str">
        <f>IFERROR(__xludf.DUMMYFUNCTION("GOOGLETRANSLATE(B43, ""en"", ""vi"")"),"""Tên thú cưng yêu thích của bạn là gì?""")</f>
        <v>"Tên thú cưng yêu thích của bạn là gì?"</v>
      </c>
      <c r="N43" s="4" t="str">
        <f>IFERROR(__xludf.DUMMYFUNCTION("GOOGLETRANSLATE(B43, ""en"", ""ne"")"),"""तपाईको मनपर्ने घरपालुवा जनावरको नाम के हो?""")</f>
        <v>"तपाईको मनपर्ने घरपालुवा जनावरको नाम के हो?"</v>
      </c>
      <c r="O43" s="4" t="str">
        <f>IFERROR(__xludf.DUMMYFUNCTION("GOOGLETRANSLATE(B43, ""en"", ""de"")"),"""Wie heißt dein Lieblingstier?""")</f>
        <v>"Wie heißt dein Lieblingstier?"</v>
      </c>
      <c r="P43" s="4" t="str">
        <f>IFERROR(__xludf.DUMMYFUNCTION("GOOGLETRANSLATE(B43, ""en"", ""he"")"),"""מה שמו של חיית המחמד האהובה עליך?""")</f>
        <v>"מה שמו של חיית המחמד האהובה עליך?"</v>
      </c>
      <c r="Q43" s="4" t="str">
        <f>IFERROR(__xludf.DUMMYFUNCTION("GOOGLETRANSLATE(B43, ""en"", ""cs"")"),"""Jaký je název vašeho oblíbeného mazlíčka?""")</f>
        <v>"Jaký je název vašeho oblíbeného mazlíčka?"</v>
      </c>
      <c r="R43" s="4" t="str">
        <f>IFERROR(__xludf.DUMMYFUNCTION("GOOGLETRANSLATE(B43, ""en"", ""it"")"),"""Come è il nome del tuo animale domestico preferito?""")</f>
        <v>"Come è il nome del tuo animale domestico preferito?"</v>
      </c>
      <c r="S43" s="4" t="str">
        <f>IFERROR(__xludf.DUMMYFUNCTION("GOOGLETRANSLATE(B43, ""en"", ""el"")"),"""Ποιο είναι το όνομα του αγαπημένου σας κατοικίδιου ζώου;""")</f>
        <v>"Ποιο είναι το όνομα του αγαπημένου σας κατοικίδιου ζώου;"</v>
      </c>
    </row>
    <row r="44" ht="15.75" customHeight="1">
      <c r="A44" s="4" t="s">
        <v>101</v>
      </c>
      <c r="B44" s="4" t="s">
        <v>102</v>
      </c>
      <c r="C44" s="4" t="str">
        <f>IFERROR(__xludf.DUMMYFUNCTION("GOOGLETRANSLATE(B44, ""en"", ""es"")"),"¿Cuál es tu cosa más memorable?")</f>
        <v>¿Cuál es tu cosa más memorable?</v>
      </c>
      <c r="D44" s="4" t="str">
        <f>IFERROR(__xludf.DUMMYFUNCTION("GOOGLETRANSLATE(B44, ""en"", ""pt"")"),"Qual é a sua coisa mais memorável?")</f>
        <v>Qual é a sua coisa mais memorável?</v>
      </c>
      <c r="E44" s="4" t="str">
        <f>IFERROR(__xludf.DUMMYFUNCTION("GOOGLETRANSLATE(B44, ""en"", ""ar"")"),"ما هو الشيء الأكثر لا تنسى؟")</f>
        <v>ما هو الشيء الأكثر لا تنسى؟</v>
      </c>
      <c r="F44" s="4" t="str">
        <f>IFERROR(__xludf.DUMMYFUNCTION("GOOGLETRANSLATE(B44, ""en"", ""km"")"),"តើអ្វីដែលជារឿងដែលគួរឱ្យចងចាំបំផុតរបស់អ្នក?")</f>
        <v>តើអ្វីដែលជារឿងដែលគួរឱ្យចងចាំបំផុតរបស់អ្នក?</v>
      </c>
      <c r="G44" s="4" t="str">
        <f>IFERROR(__xludf.DUMMYFUNCTION("GOOGLETRANSLATE(B44, ""en"", ""fr"")"),"Quelle est votre chose la plus mémorable?")</f>
        <v>Quelle est votre chose la plus mémorable?</v>
      </c>
      <c r="H44" s="4" t="str">
        <f>IFERROR(__xludf.DUMMYFUNCTION("GOOGLETRANSLATE(B44, ""en"", ""ro"")"),"Care este cel mai memorabil lucru?")</f>
        <v>Care este cel mai memorabil lucru?</v>
      </c>
      <c r="I44" s="4" t="str">
        <f>IFERROR(__xludf.DUMMYFUNCTION("GOOGLETRANSLATE(B44, ""en"", ""my"")"),"မင်းရဲ့အမှတ်ရစရာအကောင်းဆုံးအချက်ကဘာလဲ။")</f>
        <v>မင်းရဲ့အမှတ်ရစရာအကောင်းဆုံးအချက်ကဘာလဲ။</v>
      </c>
      <c r="J44" s="4" t="str">
        <f>IFERROR(__xludf.DUMMYFUNCTION("GOOGLETRANSLATE(B44, ""en"", ""sw"")"),"Nini kitu chako cha kukumbukwa?")</f>
        <v>Nini kitu chako cha kukumbukwa?</v>
      </c>
      <c r="K44" s="4" t="str">
        <f>IFERROR(__xludf.DUMMYFUNCTION("GOOGLETRANSLATE(B44, ""en"", ""th"")"),"สิ่งที่น่าจดจำที่สุดของคุณคืออะไร?")</f>
        <v>สิ่งที่น่าจดจำที่สุดของคุณคืออะไร?</v>
      </c>
      <c r="L44" s="4" t="str">
        <f>IFERROR(__xludf.DUMMYFUNCTION("GOOGLETRANSLATE(B44, ""en"", ""si"")"),"ඔබේ අමතක නොවන දෙය කුමක්ද?")</f>
        <v>ඔබේ අමතක නොවන දෙය කුමක්ද?</v>
      </c>
      <c r="M44" s="4" t="str">
        <f>IFERROR(__xludf.DUMMYFUNCTION("GOOGLETRANSLATE(B44, ""en"", ""vi"")"),"Điều đáng nhớ nhất của bạn là gì?")</f>
        <v>Điều đáng nhớ nhất của bạn là gì?</v>
      </c>
      <c r="N44" s="4" t="str">
        <f>IFERROR(__xludf.DUMMYFUNCTION("GOOGLETRANSLATE(B44, ""en"", ""ne"")"),"तपाईको सब भन्दा यादगार चीज के हो?")</f>
        <v>तपाईको सब भन्दा यादगार चीज के हो?</v>
      </c>
      <c r="O44" s="4" t="str">
        <f>IFERROR(__xludf.DUMMYFUNCTION("GOOGLETRANSLATE(B44, ""en"", ""de"")"),"Was ist deine denkwürdigste Sache?")</f>
        <v>Was ist deine denkwürdigste Sache?</v>
      </c>
      <c r="P44" s="4" t="str">
        <f>IFERROR(__xludf.DUMMYFUNCTION("GOOGLETRANSLATE(B44, ""en"", ""he"")"),"מה הדבר הכי בלתי נשכח שלך?")</f>
        <v>מה הדבר הכי בלתי נשכח שלך?</v>
      </c>
      <c r="Q44" s="4" t="str">
        <f>IFERROR(__xludf.DUMMYFUNCTION("GOOGLETRANSLATE(B44, ""en"", ""cs"")"),"Jaká je vaše nejpamátka?")</f>
        <v>Jaká je vaše nejpamátka?</v>
      </c>
      <c r="R44" s="4" t="str">
        <f>IFERROR(__xludf.DUMMYFUNCTION("GOOGLETRANSLATE(B44, ""en"", ""it"")"),"Qual è la cosa più memorabile?")</f>
        <v>Qual è la cosa più memorabile?</v>
      </c>
      <c r="S44" s="4" t="str">
        <f>IFERROR(__xludf.DUMMYFUNCTION("GOOGLETRANSLATE(B44, ""en"", ""el"")"),"Ποιο είναι το πιο αξέχαστο πράγμα σας;")</f>
        <v>Ποιο είναι το πιο αξέχαστο πράγμα σας;</v>
      </c>
    </row>
    <row r="45" ht="15.75" customHeight="1">
      <c r="A45" s="4" t="s">
        <v>103</v>
      </c>
      <c r="B45" s="4" t="s">
        <v>104</v>
      </c>
      <c r="C45" s="4" t="str">
        <f>IFERROR(__xludf.DUMMYFUNCTION("GOOGLETRANSLATE(B45, ""en"", ""es"")"),"¡Terminado!")</f>
        <v>¡Terminado!</v>
      </c>
      <c r="D45" s="4" t="str">
        <f>IFERROR(__xludf.DUMMYFUNCTION("GOOGLETRANSLATE(B45, ""en"", ""pt"")"),"Concluído!")</f>
        <v>Concluído!</v>
      </c>
      <c r="E45" s="4" t="str">
        <f>IFERROR(__xludf.DUMMYFUNCTION("GOOGLETRANSLATE(B45, ""en"", ""ar"")"),"مكتمل!")</f>
        <v>مكتمل!</v>
      </c>
      <c r="F45" s="4" t="str">
        <f>IFERROR(__xludf.DUMMYFUNCTION("GOOGLETRANSLATE(B45, ""en"", ""km"")"),"បានបញ្ចប់!")</f>
        <v>បានបញ្ចប់!</v>
      </c>
      <c r="G45" s="4" t="str">
        <f>IFERROR(__xludf.DUMMYFUNCTION("GOOGLETRANSLATE(B45, ""en"", ""fr"")"),"Complété!")</f>
        <v>Complété!</v>
      </c>
      <c r="H45" s="4" t="str">
        <f>IFERROR(__xludf.DUMMYFUNCTION("GOOGLETRANSLATE(B45, ""en"", ""ro"")"),"Efectuat!")</f>
        <v>Efectuat!</v>
      </c>
      <c r="I45" s="4" t="str">
        <f>IFERROR(__xludf.DUMMYFUNCTION("GOOGLETRANSLATE(B45, ""en"", ""my"")"),"ပြီးစီးခဲ့!")</f>
        <v>ပြီးစီးခဲ့!</v>
      </c>
      <c r="J45" s="4" t="str">
        <f>IFERROR(__xludf.DUMMYFUNCTION("GOOGLETRANSLATE(B45, ""en"", ""sw"")"),"Imekamilishwa!")</f>
        <v>Imekamilishwa!</v>
      </c>
      <c r="K45" s="4" t="str">
        <f>IFERROR(__xludf.DUMMYFUNCTION("GOOGLETRANSLATE(B45, ""en"", ""th"")"),"สมบูรณ์!")</f>
        <v>สมบูรณ์!</v>
      </c>
      <c r="L45" s="4" t="str">
        <f>IFERROR(__xludf.DUMMYFUNCTION("GOOGLETRANSLATE(B45, ""en"", ""si"")"),"සම්පුර්ණ කරන ලදි!")</f>
        <v>සම්පුර්ණ කරන ලදි!</v>
      </c>
      <c r="M45" s="4" t="str">
        <f>IFERROR(__xludf.DUMMYFUNCTION("GOOGLETRANSLATE(B45, ""en"", ""vi"")"),"Hoàn thành!")</f>
        <v>Hoàn thành!</v>
      </c>
      <c r="N45" s="4" t="str">
        <f>IFERROR(__xludf.DUMMYFUNCTION("GOOGLETRANSLATE(B45, ""en"", ""ne"")"),"पूरा भयो!")</f>
        <v>पूरा भयो!</v>
      </c>
      <c r="O45" s="4" t="str">
        <f>IFERROR(__xludf.DUMMYFUNCTION("GOOGLETRANSLATE(B45, ""en"", ""de"")"),"Vollendet!")</f>
        <v>Vollendet!</v>
      </c>
      <c r="P45" s="4" t="str">
        <f>IFERROR(__xludf.DUMMYFUNCTION("GOOGLETRANSLATE(B45, ""en"", ""he"")"),"הושלמה!")</f>
        <v>הושלמה!</v>
      </c>
      <c r="Q45" s="4" t="str">
        <f>IFERROR(__xludf.DUMMYFUNCTION("GOOGLETRANSLATE(B45, ""en"", ""cs"")"),"Dokončeno!")</f>
        <v>Dokončeno!</v>
      </c>
      <c r="R45" s="4" t="str">
        <f>IFERROR(__xludf.DUMMYFUNCTION("GOOGLETRANSLATE(B45, ""en"", ""it"")"),"Completato!")</f>
        <v>Completato!</v>
      </c>
      <c r="S45" s="4" t="str">
        <f>IFERROR(__xludf.DUMMYFUNCTION("GOOGLETRANSLATE(B45, ""en"", ""el"")"),"Ολοκληρώθηκε το!")</f>
        <v>Ολοκληρώθηκε το!</v>
      </c>
    </row>
    <row r="46" ht="15.75" customHeight="1">
      <c r="A46" s="4" t="s">
        <v>105</v>
      </c>
      <c r="B46" s="4" t="s">
        <v>106</v>
      </c>
      <c r="C46" s="4" t="str">
        <f>IFERROR(__xludf.DUMMYFUNCTION("GOOGLETRANSLATE(B46, ""en"", ""es"")"),"El patrón no coincide. Inténtalo de nuevo.")</f>
        <v>El patrón no coincide. Inténtalo de nuevo.</v>
      </c>
      <c r="D46" s="4" t="str">
        <f>IFERROR(__xludf.DUMMYFUNCTION("GOOGLETRANSLATE(B46, ""en"", ""pt"")"),"O padrão não corresponde. Por favor, tente novamente.")</f>
        <v>O padrão não corresponde. Por favor, tente novamente.</v>
      </c>
      <c r="E46" s="4" t="str">
        <f>IFERROR(__xludf.DUMMYFUNCTION("GOOGLETRANSLATE(B46, ""en"", ""ar"")"),"النمط لا يتطابق. حاول مرة اخرى.")</f>
        <v>النمط لا يتطابق. حاول مرة اخرى.</v>
      </c>
      <c r="F46" s="4" t="str">
        <f>IFERROR(__xludf.DUMMYFUNCTION("GOOGLETRANSLATE(B46, ""en"", ""km"")"),"លំនាំមិនត្រូវគ្នាទេ។ សូម​ព្យាយាម​ម្តង​ទៀត។")</f>
        <v>លំនាំមិនត្រូវគ្នាទេ។ សូម​ព្យាយាម​ម្តង​ទៀត។</v>
      </c>
      <c r="G46" s="4" t="str">
        <f>IFERROR(__xludf.DUMMYFUNCTION("GOOGLETRANSLATE(B46, ""en"", ""fr"")"),"Le motif ne correspond pas. Veuillez réessayer.")</f>
        <v>Le motif ne correspond pas. Veuillez réessayer.</v>
      </c>
      <c r="H46" s="4" t="str">
        <f>IFERROR(__xludf.DUMMYFUNCTION("GOOGLETRANSLATE(B46, ""en"", ""ro"")"),"Modelul nu se potrivește. Vă rugăm să încercați din nou.")</f>
        <v>Modelul nu se potrivește. Vă rugăm să încercați din nou.</v>
      </c>
      <c r="I46" s="4" t="str">
        <f>IFERROR(__xludf.DUMMYFUNCTION("GOOGLETRANSLATE(B46, ""en"", ""my"")"),"အဆိုပါပုံစံမကိုက်ညီပါ ကျေးဇူးပြုပြီးထပ်ကြိုးစားပါ")</f>
        <v>အဆိုပါပုံစံမကိုက်ညီပါ ကျေးဇူးပြုပြီးထပ်ကြိုးစားပါ</v>
      </c>
      <c r="J46" s="4" t="str">
        <f>IFERROR(__xludf.DUMMYFUNCTION("GOOGLETRANSLATE(B46, ""en"", ""sw"")"),"Mfano haufanani. Tafadhali jaribu tena.")</f>
        <v>Mfano haufanani. Tafadhali jaribu tena.</v>
      </c>
      <c r="K46" s="4" t="str">
        <f>IFERROR(__xludf.DUMMYFUNCTION("GOOGLETRANSLATE(B46, ""en"", ""th"")"),"รูปแบบไม่ตรงกัน กรุณาลองอีกครั้ง.")</f>
        <v>รูปแบบไม่ตรงกัน กรุณาลองอีกครั้ง.</v>
      </c>
      <c r="L46" s="4" t="str">
        <f>IFERROR(__xludf.DUMMYFUNCTION("GOOGLETRANSLATE(B46, ""en"", ""si"")"),"රටාව නොගැලපේ. කරුණාකර නැවත උත්සාහ කරන්න.")</f>
        <v>රටාව නොගැලපේ. කරුණාකර නැවත උත්සාහ කරන්න.</v>
      </c>
      <c r="M46" s="4" t="str">
        <f>IFERROR(__xludf.DUMMYFUNCTION("GOOGLETRANSLATE(B46, ""en"", ""vi"")"),"Mẫu không khớp. Vui lòng thử lại.")</f>
        <v>Mẫu không khớp. Vui lòng thử lại.</v>
      </c>
      <c r="N46" s="4" t="str">
        <f>IFERROR(__xludf.DUMMYFUNCTION("GOOGLETRANSLATE(B46, ""en"", ""ne"")"),"ढाँचा मेल खाँदैन। फेरि प्रयास गर्नुहोस।")</f>
        <v>ढाँचा मेल खाँदैन। फेरि प्रयास गर्नुहोस।</v>
      </c>
      <c r="O46" s="4" t="str">
        <f>IFERROR(__xludf.DUMMYFUNCTION("GOOGLETRANSLATE(B46, ""en"", ""de"")"),"Das Muster stimmt nicht überein. Bitte versuche es erneut.")</f>
        <v>Das Muster stimmt nicht überein. Bitte versuche es erneut.</v>
      </c>
      <c r="P46" s="4" t="str">
        <f>IFERROR(__xludf.DUMMYFUNCTION("GOOGLETRANSLATE(B46, ""en"", ""he"")"),"התבנית אינה תואמת. בבקשה נסה שוב.")</f>
        <v>התבנית אינה תואמת. בבקשה נסה שוב.</v>
      </c>
      <c r="Q46" s="4" t="str">
        <f>IFERROR(__xludf.DUMMYFUNCTION("GOOGLETRANSLATE(B46, ""en"", ""cs"")"),"Vzor se neodpovídá. Prosím zkuste to znovu.")</f>
        <v>Vzor se neodpovídá. Prosím zkuste to znovu.</v>
      </c>
      <c r="R46" s="4" t="str">
        <f>IFERROR(__xludf.DUMMYFUNCTION("GOOGLETRANSLATE(B46, ""en"", ""it"")"),"Il modello non corrisponde. Per favore riprova.")</f>
        <v>Il modello non corrisponde. Per favore riprova.</v>
      </c>
      <c r="S46" s="4" t="str">
        <f>IFERROR(__xludf.DUMMYFUNCTION("GOOGLETRANSLATE(B46, ""en"", ""el"")"),"Το μοτίβο δεν ταιριάζει. ΠΑΡΑΚΑΛΩ προσπαθησε ξανα.")</f>
        <v>Το μοτίβο δεν ταιριάζει. ΠΑΡΑΚΑΛΩ προσπαθησε ξανα.</v>
      </c>
    </row>
    <row r="47" ht="15.75" customHeight="1">
      <c r="A47" s="4" t="s">
        <v>107</v>
      </c>
      <c r="B47" s="4" t="s">
        <v>108</v>
      </c>
      <c r="C47" s="4" t="str">
        <f>IFERROR(__xludf.DUMMYFUNCTION("GOOGLETRANSLATE(B47, ""en"", ""es"")"),"Ejecución de la aplicación")</f>
        <v>Ejecución de la aplicación</v>
      </c>
      <c r="D47" s="4" t="str">
        <f>IFERROR(__xludf.DUMMYFUNCTION("GOOGLETRANSLATE(B47, ""en"", ""pt"")"),"Executando app.")</f>
        <v>Executando app.</v>
      </c>
      <c r="E47" s="4" t="str">
        <f>IFERROR(__xludf.DUMMYFUNCTION("GOOGLETRANSLATE(B47, ""en"", ""ar"")"),"تشغيل التطبيق")</f>
        <v>تشغيل التطبيق</v>
      </c>
      <c r="F47" s="4" t="str">
        <f>IFERROR(__xludf.DUMMYFUNCTION("GOOGLETRANSLATE(B47, ""en"", ""km"")"),"ដំណើរការកម្មវិធី")</f>
        <v>ដំណើរការកម្មវិធី</v>
      </c>
      <c r="G47" s="4" t="str">
        <f>IFERROR(__xludf.DUMMYFUNCTION("GOOGLETRANSLATE(B47, ""en"", ""fr"")"),"Exécution")</f>
        <v>Exécution</v>
      </c>
      <c r="H47" s="4" t="str">
        <f>IFERROR(__xludf.DUMMYFUNCTION("GOOGLETRANSLATE(B47, ""en"", ""ro"")"),"Rularea aplicației")</f>
        <v>Rularea aplicației</v>
      </c>
      <c r="I47" s="4" t="str">
        <f>IFERROR(__xludf.DUMMYFUNCTION("GOOGLETRANSLATE(B47, ""en"", ""my"")"),"app ကို run ခြင်း")</f>
        <v>app ကို run ခြင်း</v>
      </c>
      <c r="J47" s="4" t="str">
        <f>IFERROR(__xludf.DUMMYFUNCTION("GOOGLETRANSLATE(B47, ""en"", ""sw"")"),"Running App.")</f>
        <v>Running App.</v>
      </c>
      <c r="K47" s="4" t="str">
        <f>IFERROR(__xludf.DUMMYFUNCTION("GOOGLETRANSLATE(B47, ""en"", ""th"")"),"แอปที่ใช้งาน")</f>
        <v>แอปที่ใช้งาน</v>
      </c>
      <c r="L47" s="4" t="str">
        <f>IFERROR(__xludf.DUMMYFUNCTION("GOOGLETRANSLATE(B47, ""en"", ""si"")"),"ක්රියාත්මක යෙදුම")</f>
        <v>ක්රියාත්මක යෙදුම</v>
      </c>
      <c r="M47" s="4" t="str">
        <f>IFERROR(__xludf.DUMMYFUNCTION("GOOGLETRANSLATE(B47, ""en"", ""vi"")"),"Chạy ứng dụng")</f>
        <v>Chạy ứng dụng</v>
      </c>
      <c r="N47" s="4" t="str">
        <f>IFERROR(__xludf.DUMMYFUNCTION("GOOGLETRANSLATE(B47, ""en"", ""ne"")"),"चालु अनुप्रयोग")</f>
        <v>चालु अनुप्रयोग</v>
      </c>
      <c r="O47" s="4" t="str">
        <f>IFERROR(__xludf.DUMMYFUNCTION("GOOGLETRANSLATE(B47, ""en"", ""de"")"),"Ausführen von App")</f>
        <v>Ausführen von App</v>
      </c>
      <c r="P47" s="4" t="str">
        <f>IFERROR(__xludf.DUMMYFUNCTION("GOOGLETRANSLATE(B47, ""en"", ""he"")"),"הפעלת App.")</f>
        <v>הפעלת App.</v>
      </c>
      <c r="Q47" s="4" t="str">
        <f>IFERROR(__xludf.DUMMYFUNCTION("GOOGLETRANSLATE(B47, ""en"", ""cs"")"),"Běh aplikace")</f>
        <v>Běh aplikace</v>
      </c>
      <c r="R47" s="4" t="str">
        <f>IFERROR(__xludf.DUMMYFUNCTION("GOOGLETRANSLATE(B47, ""en"", ""it"")"),"Applicazione in esecuzione")</f>
        <v>Applicazione in esecuzione</v>
      </c>
      <c r="S47" s="4" t="str">
        <f>IFERROR(__xludf.DUMMYFUNCTION("GOOGLETRANSLATE(B47, ""en"", ""el"")"),"Εφαρμογή εφαρμογής")</f>
        <v>Εφαρμογή εφαρμογής</v>
      </c>
    </row>
    <row r="48" ht="15.75" customHeight="1">
      <c r="A48" s="4" t="s">
        <v>109</v>
      </c>
      <c r="B48" s="4" t="s">
        <v>110</v>
      </c>
      <c r="C48" s="4" t="str">
        <f>IFERROR(__xludf.DUMMYFUNCTION("GOOGLETRANSLATE(B48, ""en"", ""es"")"),"Versión")</f>
        <v>Versión</v>
      </c>
      <c r="D48" s="4" t="str">
        <f>IFERROR(__xludf.DUMMYFUNCTION("GOOGLETRANSLATE(B48, ""en"", ""pt"")"),"Versão")</f>
        <v>Versão</v>
      </c>
      <c r="E48" s="4" t="str">
        <f>IFERROR(__xludf.DUMMYFUNCTION("GOOGLETRANSLATE(B48, ""en"", ""ar"")"),"إصدار")</f>
        <v>إصدار</v>
      </c>
      <c r="F48" s="4" t="str">
        <f>IFERROR(__xludf.DUMMYFUNCTION("GOOGLETRANSLATE(B48, ""en"", ""km"")"),"កមបុរក្នា")</f>
        <v>កមបុរក្នា</v>
      </c>
      <c r="G48" s="4" t="str">
        <f>IFERROR(__xludf.DUMMYFUNCTION("GOOGLETRANSLATE(B48, ""en"", ""fr"")"),"Version")</f>
        <v>Version</v>
      </c>
      <c r="H48" s="4" t="str">
        <f>IFERROR(__xludf.DUMMYFUNCTION("GOOGLETRANSLATE(B48, ""en"", ""ro"")"),"Versiune")</f>
        <v>Versiune</v>
      </c>
      <c r="I48" s="4" t="str">
        <f>IFERROR(__xludf.DUMMYFUNCTION("GOOGLETRANSLATE(B48, ""en"", ""my"")"),"ထင်မြင်ချက်")</f>
        <v>ထင်မြင်ချက်</v>
      </c>
      <c r="J48" s="4" t="str">
        <f>IFERROR(__xludf.DUMMYFUNCTION("GOOGLETRANSLATE(B48, ""en"", ""sw"")"),"Toleo.")</f>
        <v>Toleo.</v>
      </c>
      <c r="K48" s="4" t="str">
        <f>IFERROR(__xludf.DUMMYFUNCTION("GOOGLETRANSLATE(B48, ""en"", ""th"")"),"รุ่น")</f>
        <v>รุ่น</v>
      </c>
      <c r="L48" s="4" t="str">
        <f>IFERROR(__xludf.DUMMYFUNCTION("GOOGLETRANSLATE(B48, ""en"", ""si"")"),"පිටපත")</f>
        <v>පිටපත</v>
      </c>
      <c r="M48" s="4" t="str">
        <f>IFERROR(__xludf.DUMMYFUNCTION("GOOGLETRANSLATE(B48, ""en"", ""vi"")"),"Phiên bản")</f>
        <v>Phiên bản</v>
      </c>
      <c r="N48" s="4" t="str">
        <f>IFERROR(__xludf.DUMMYFUNCTION("GOOGLETRANSLATE(B48, ""en"", ""ne"")"),"रुपान्तर")</f>
        <v>रुपान्तर</v>
      </c>
      <c r="O48" s="4" t="str">
        <f>IFERROR(__xludf.DUMMYFUNCTION("GOOGLETRANSLATE(B48, ""en"", ""de"")"),"Ausführung")</f>
        <v>Ausführung</v>
      </c>
      <c r="P48" s="4" t="str">
        <f>IFERROR(__xludf.DUMMYFUNCTION("GOOGLETRANSLATE(B48, ""en"", ""he"")"),"גִרְסָה")</f>
        <v>גִרְסָה</v>
      </c>
      <c r="Q48" s="4" t="str">
        <f>IFERROR(__xludf.DUMMYFUNCTION("GOOGLETRANSLATE(B48, ""en"", ""cs"")"),"Verze")</f>
        <v>Verze</v>
      </c>
      <c r="R48" s="4" t="str">
        <f>IFERROR(__xludf.DUMMYFUNCTION("GOOGLETRANSLATE(B48, ""en"", ""it"")"),"Versione")</f>
        <v>Versione</v>
      </c>
      <c r="S48" s="4" t="str">
        <f>IFERROR(__xludf.DUMMYFUNCTION("GOOGLETRANSLATE(B48, ""en"", ""el"")"),"Εκδοχή")</f>
        <v>Εκδοχή</v>
      </c>
    </row>
    <row r="49" ht="15.75" customHeight="1">
      <c r="A49" s="4" t="s">
        <v>111</v>
      </c>
      <c r="B49" s="4" t="s">
        <v>112</v>
      </c>
      <c r="C49" s="4" t="str">
        <f>IFERROR(__xludf.DUMMYFUNCTION("GOOGLETRANSLATE(B49, ""en"", ""es"")"),"Debes conectar al menos 4 puntos.")</f>
        <v>Debes conectar al menos 4 puntos.</v>
      </c>
      <c r="D49" s="4" t="str">
        <f>IFERROR(__xludf.DUMMYFUNCTION("GOOGLETRANSLATE(B49, ""en"", ""pt"")"),"Você deve conectar pelo menos 4 pontos")</f>
        <v>Você deve conectar pelo menos 4 pontos</v>
      </c>
      <c r="E49" s="4" t="str">
        <f>IFERROR(__xludf.DUMMYFUNCTION("GOOGLETRANSLATE(B49, ""en"", ""ar"")"),"يجب عليك توصيل ما لا يقل عن 4 نقاط")</f>
        <v>يجب عليك توصيل ما لا يقل عن 4 نقاط</v>
      </c>
      <c r="F49" s="4" t="str">
        <f>IFERROR(__xludf.DUMMYFUNCTION("GOOGLETRANSLATE(B49, ""en"", ""km"")"),"អ្នកគួរតែភ្ជាប់យ៉ាងហោចណាស់ 4 ពិន្ទុ")</f>
        <v>អ្នកគួរតែភ្ជាប់យ៉ាងហោចណាស់ 4 ពិន្ទុ</v>
      </c>
      <c r="G49" s="4" t="str">
        <f>IFERROR(__xludf.DUMMYFUNCTION("GOOGLETRANSLATE(B49, ""en"", ""fr"")"),"Vous devriez connecter au moins 4 points")</f>
        <v>Vous devriez connecter au moins 4 points</v>
      </c>
      <c r="H49" s="4" t="str">
        <f>IFERROR(__xludf.DUMMYFUNCTION("GOOGLETRANSLATE(B49, ""en"", ""ro"")"),"Ar trebui să conectați cel puțin 4 puncte")</f>
        <v>Ar trebui să conectați cel puțin 4 puncte</v>
      </c>
      <c r="I49" s="4" t="str">
        <f>IFERROR(__xludf.DUMMYFUNCTION("GOOGLETRANSLATE(B49, ""en"", ""my"")"),"သငျသညျအနည်းဆုံး 4 မှတ်ချိတ်ဆက်သင့်ပါတယ်")</f>
        <v>သငျသညျအနည်းဆုံး 4 မှတ်ချိတ်ဆက်သင့်ပါတယ်</v>
      </c>
      <c r="J49" s="4" t="str">
        <f>IFERROR(__xludf.DUMMYFUNCTION("GOOGLETRANSLATE(B49, ""en"", ""sw"")"),"Unapaswa kuunganisha angalau pointi 4.")</f>
        <v>Unapaswa kuunganisha angalau pointi 4.</v>
      </c>
      <c r="K49" s="4" t="str">
        <f>IFERROR(__xludf.DUMMYFUNCTION("GOOGLETRANSLATE(B49, ""en"", ""th"")"),"คุณควรเชื่อมต่ออย่างน้อย 4 คะแนน")</f>
        <v>คุณควรเชื่อมต่ออย่างน้อย 4 คะแนน</v>
      </c>
      <c r="L49" s="4" t="str">
        <f>IFERROR(__xludf.DUMMYFUNCTION("GOOGLETRANSLATE(B49, ""en"", ""si"")"),"ඔබ අවම වශයෙන් ලකුණු 4 ක් සම්බන්ධ කළ යුතුය")</f>
        <v>ඔබ අවම වශයෙන් ලකුණු 4 ක් සම්බන්ධ කළ යුතුය</v>
      </c>
      <c r="M49" s="4" t="str">
        <f>IFERROR(__xludf.DUMMYFUNCTION("GOOGLETRANSLATE(B49, ""en"", ""vi"")"),"Bạn nên kết nối ít nhất 4 điểm")</f>
        <v>Bạn nên kết nối ít nhất 4 điểm</v>
      </c>
      <c r="N49" s="4" t="str">
        <f>IFERROR(__xludf.DUMMYFUNCTION("GOOGLETRANSLATE(B49, ""en"", ""ne"")"),"तपाईंले कम्तिमा points पोइन्ट जडान गर्नुपर्दछ")</f>
        <v>तपाईंले कम्तिमा points पोइन्ट जडान गर्नुपर्दछ</v>
      </c>
      <c r="O49" s="4" t="str">
        <f>IFERROR(__xludf.DUMMYFUNCTION("GOOGLETRANSLATE(B49, ""en"", ""de"")"),"Sie sollten mindestens 4 Punkte anschließen")</f>
        <v>Sie sollten mindestens 4 Punkte anschließen</v>
      </c>
      <c r="P49" s="4" t="str">
        <f>IFERROR(__xludf.DUMMYFUNCTION("GOOGLETRANSLATE(B49, ""en"", ""he"")"),"אתה צריך להתחבר לפחות 4 נקודות")</f>
        <v>אתה צריך להתחבר לפחות 4 נקודות</v>
      </c>
      <c r="Q49" s="4" t="str">
        <f>IFERROR(__xludf.DUMMYFUNCTION("GOOGLETRANSLATE(B49, ""en"", ""cs"")"),"Měli byste se připojit nejméně 4 body")</f>
        <v>Měli byste se připojit nejméně 4 body</v>
      </c>
      <c r="R49" s="4" t="str">
        <f>IFERROR(__xludf.DUMMYFUNCTION("GOOGLETRANSLATE(B49, ""en"", ""it"")"),"Dovresti connettere almeno 4 punti")</f>
        <v>Dovresti connettere almeno 4 punti</v>
      </c>
      <c r="S49" s="4" t="str">
        <f>IFERROR(__xludf.DUMMYFUNCTION("GOOGLETRANSLATE(B49, ""en"", ""el"")"),"Θα πρέπει να συνδέσετε τουλάχιστον 4 πόντους")</f>
        <v>Θα πρέπει να συνδέσετε τουλάχιστον 4 πόντους</v>
      </c>
    </row>
    <row r="50" ht="15.75" customHeight="1">
      <c r="A50" s="4" t="s">
        <v>113</v>
      </c>
      <c r="B50" s="4" t="s">
        <v>114</v>
      </c>
      <c r="C50" s="4" t="str">
        <f>IFERROR(__xludf.DUMMYFUNCTION("GOOGLETRANSLATE(B50, ""en"", ""es"")"),"Algunas aplicaciones utilizan permisos peligrosos.")</f>
        <v>Algunas aplicaciones utilizan permisos peligrosos.</v>
      </c>
      <c r="D50" s="4" t="str">
        <f>IFERROR(__xludf.DUMMYFUNCTION("GOOGLETRANSLATE(B50, ""en"", ""pt"")"),"Alguns aplicativos usam permissões perigosas")</f>
        <v>Alguns aplicativos usam permissões perigosas</v>
      </c>
      <c r="E50" s="4" t="str">
        <f>IFERROR(__xludf.DUMMYFUNCTION("GOOGLETRANSLATE(B50, ""en"", ""ar"")"),"تستخدم بعض التطبيقات أذونات خطيرة")</f>
        <v>تستخدم بعض التطبيقات أذونات خطيرة</v>
      </c>
      <c r="F50" s="4" t="str">
        <f>IFERROR(__xludf.DUMMYFUNCTION("GOOGLETRANSLATE(B50, ""en"", ""km"")"),"កម្មវិធីខ្លះប្រើសិទ្ធិគ្រោះថ្នាក់")</f>
        <v>កម្មវិធីខ្លះប្រើសិទ្ធិគ្រោះថ្នាក់</v>
      </c>
      <c r="G50" s="4" t="str">
        <f>IFERROR(__xludf.DUMMYFUNCTION("GOOGLETRANSLATE(B50, ""en"", ""fr"")"),"Certaines applications utilisent des autorisations dangereuses")</f>
        <v>Certaines applications utilisent des autorisations dangereuses</v>
      </c>
      <c r="H50" s="4" t="str">
        <f>IFERROR(__xludf.DUMMYFUNCTION("GOOGLETRANSLATE(B50, ""en"", ""ro"")"),"Unele aplicații utilizează permisiuni periculoase")</f>
        <v>Unele aplicații utilizează permisiuni periculoase</v>
      </c>
      <c r="I50" s="4" t="str">
        <f>IFERROR(__xludf.DUMMYFUNCTION("GOOGLETRANSLATE(B50, ""en"", ""my"")"),"အချို့သော applications များသည်အန္တရာယ်ရှိသောခွင့်ပြုချက်များကိုအသုံးပြုသည်")</f>
        <v>အချို့သော applications များသည်အန္တရာယ်ရှိသောခွင့်ပြုချက်များကိုအသုံးပြုသည်</v>
      </c>
      <c r="J50" s="4" t="str">
        <f>IFERROR(__xludf.DUMMYFUNCTION("GOOGLETRANSLATE(B50, ""en"", ""sw"")"),"Baadhi ya matumizi hutumia vibali hatari")</f>
        <v>Baadhi ya matumizi hutumia vibali hatari</v>
      </c>
      <c r="K50" s="4" t="str">
        <f>IFERROR(__xludf.DUMMYFUNCTION("GOOGLETRANSLATE(B50, ""en"", ""th"")"),"แอปพลิเคชั่นบางตัวใช้สิทธิ์ที่เป็นอันตราย")</f>
        <v>แอปพลิเคชั่นบางตัวใช้สิทธิ์ที่เป็นอันตราย</v>
      </c>
      <c r="L50" s="4" t="str">
        <f>IFERROR(__xludf.DUMMYFUNCTION("GOOGLETRANSLATE(B50, ""en"", ""si"")"),"සමහර යෙදුම් භයානක අවසරයන් භාවිතා කරයි")</f>
        <v>සමහර යෙදුම් භයානක අවසරයන් භාවිතා කරයි</v>
      </c>
      <c r="M50" s="4" t="str">
        <f>IFERROR(__xludf.DUMMYFUNCTION("GOOGLETRANSLATE(B50, ""en"", ""vi"")"),"Một số ứng dụng sử dụng quyền nguy hiểm")</f>
        <v>Một số ứng dụng sử dụng quyền nguy hiểm</v>
      </c>
      <c r="N50" s="4" t="str">
        <f>IFERROR(__xludf.DUMMYFUNCTION("GOOGLETRANSLATE(B50, ""en"", ""ne"")"),"केही अनुप्रयोगहरूले खतरनाक अनुमतिहरू प्रयोग गर्दछ")</f>
        <v>केही अनुप्रयोगहरूले खतरनाक अनुमतिहरू प्रयोग गर्दछ</v>
      </c>
      <c r="O50" s="4" t="str">
        <f>IFERROR(__xludf.DUMMYFUNCTION("GOOGLETRANSLATE(B50, ""en"", ""de"")"),"Einige Anwendungen verwenden gefährliche Berechtigungen")</f>
        <v>Einige Anwendungen verwenden gefährliche Berechtigungen</v>
      </c>
      <c r="P50" s="4" t="str">
        <f>IFERROR(__xludf.DUMMYFUNCTION("GOOGLETRANSLATE(B50, ""en"", ""he"")"),"יישומים מסוימים משתמשים בהרשאות מסוכנות")</f>
        <v>יישומים מסוימים משתמשים בהרשאות מסוכנות</v>
      </c>
      <c r="Q50" s="4" t="str">
        <f>IFERROR(__xludf.DUMMYFUNCTION("GOOGLETRANSLATE(B50, ""en"", ""cs"")"),"Některé aplikace používají nebezpečná oprávnění")</f>
        <v>Některé aplikace používají nebezpečná oprávnění</v>
      </c>
      <c r="R50" s="4" t="str">
        <f>IFERROR(__xludf.DUMMYFUNCTION("GOOGLETRANSLATE(B50, ""en"", ""it"")"),"Alcune applicazioni utilizzano autorizzazioni pericolose")</f>
        <v>Alcune applicazioni utilizzano autorizzazioni pericolose</v>
      </c>
      <c r="S50" s="4" t="str">
        <f>IFERROR(__xludf.DUMMYFUNCTION("GOOGLETRANSLATE(B50, ""en"", ""el"")"),"Ορισμένες εφαρμογές χρησιμοποιούν επικίνδυνα δικαιώματα")</f>
        <v>Ορισμένες εφαρμογές χρησιμοποιούν επικίνδυνα δικαιώματα</v>
      </c>
    </row>
    <row r="51" ht="15.75" customHeight="1">
      <c r="A51" s="4" t="s">
        <v>115</v>
      </c>
      <c r="B51" s="4" t="s">
        <v>116</v>
      </c>
      <c r="C51" s="4" t="str">
        <f>IFERROR(__xludf.DUMMYFUNCTION("GOOGLETRANSLATE(B51, ""en"", ""es"")"),"Patrón de registro")</f>
        <v>Patrón de registro</v>
      </c>
      <c r="D51" s="4" t="str">
        <f>IFERROR(__xludf.DUMMYFUNCTION("GOOGLETRANSLATE(B51, ""en"", ""pt"")"),"Padrão de registro")</f>
        <v>Padrão de registro</v>
      </c>
      <c r="E51" s="4" t="str">
        <f>IFERROR(__xludf.DUMMYFUNCTION("GOOGLETRANSLATE(B51, ""en"", ""ar"")"),"سجل نمط")</f>
        <v>سجل نمط</v>
      </c>
      <c r="F51" s="4" t="str">
        <f>IFERROR(__xludf.DUMMYFUNCTION("GOOGLETRANSLATE(B51, ""en"", ""km"")"),"លំនាំកត់ត្រា")</f>
        <v>លំនាំកត់ត្រា</v>
      </c>
      <c r="G51" s="4" t="str">
        <f>IFERROR(__xludf.DUMMYFUNCTION("GOOGLETRANSLATE(B51, ""en"", ""fr"")"),"Schéma d'enregistrement")</f>
        <v>Schéma d'enregistrement</v>
      </c>
      <c r="H51" s="4" t="str">
        <f>IFERROR(__xludf.DUMMYFUNCTION("GOOGLETRANSLATE(B51, ""en"", ""ro"")"),"Recordați modelul")</f>
        <v>Recordați modelul</v>
      </c>
      <c r="I51" s="4" t="str">
        <f>IFERROR(__xludf.DUMMYFUNCTION("GOOGLETRANSLATE(B51, ""en"", ""my"")"),"စံချိန်တင်ပုံစံ")</f>
        <v>စံချိန်တင်ပုံစံ</v>
      </c>
      <c r="J51" s="4" t="str">
        <f>IFERROR(__xludf.DUMMYFUNCTION("GOOGLETRANSLATE(B51, ""en"", ""sw"")"),"Rekodi ya muundo")</f>
        <v>Rekodi ya muundo</v>
      </c>
      <c r="K51" s="4" t="str">
        <f>IFERROR(__xludf.DUMMYFUNCTION("GOOGLETRANSLATE(B51, ""en"", ""th"")"),"รูปแบบการบันทึก")</f>
        <v>รูปแบบการบันทึก</v>
      </c>
      <c r="L51" s="4" t="str">
        <f>IFERROR(__xludf.DUMMYFUNCTION("GOOGLETRANSLATE(B51, ""en"", ""si"")"),"පටිගත කිරීමේ රටාව")</f>
        <v>පටිගත කිරීමේ රටාව</v>
      </c>
      <c r="M51" s="4" t="str">
        <f>IFERROR(__xludf.DUMMYFUNCTION("GOOGLETRANSLATE(B51, ""en"", ""vi"")"),"Mẫu ghi âm")</f>
        <v>Mẫu ghi âm</v>
      </c>
      <c r="N51" s="4" t="str">
        <f>IFERROR(__xludf.DUMMYFUNCTION("GOOGLETRANSLATE(B51, ""en"", ""ne"")"),"ढाँचा रेकर्ड")</f>
        <v>ढाँचा रेकर्ड</v>
      </c>
      <c r="O51" s="4" t="str">
        <f>IFERROR(__xludf.DUMMYFUNCTION("GOOGLETRANSLATE(B51, ""en"", ""de"")"),"Rekordmuster")</f>
        <v>Rekordmuster</v>
      </c>
      <c r="P51" s="4" t="str">
        <f>IFERROR(__xludf.DUMMYFUNCTION("GOOGLETRANSLATE(B51, ""en"", ""he"")"),"שיא דפוס")</f>
        <v>שיא דפוס</v>
      </c>
      <c r="Q51" s="4" t="str">
        <f>IFERROR(__xludf.DUMMYFUNCTION("GOOGLETRANSLATE(B51, ""en"", ""cs"")"),"Záznamový vzor")</f>
        <v>Záznamový vzor</v>
      </c>
      <c r="R51" s="4" t="str">
        <f>IFERROR(__xludf.DUMMYFUNCTION("GOOGLETRANSLATE(B51, ""en"", ""it"")"),"Modello di registrazione")</f>
        <v>Modello di registrazione</v>
      </c>
      <c r="S51" s="4" t="str">
        <f>IFERROR(__xludf.DUMMYFUNCTION("GOOGLETRANSLATE(B51, ""en"", ""el"")"),"Ρεκόρ")</f>
        <v>Ρεκόρ</v>
      </c>
    </row>
    <row r="52" ht="15.75" customHeight="1">
      <c r="A52" s="4" t="s">
        <v>117</v>
      </c>
      <c r="B52" s="4" t="s">
        <v>118</v>
      </c>
      <c r="C52" s="4" t="str">
        <f>IFERROR(__xludf.DUMMYFUNCTION("GOOGLETRANSLATE(B52, ""en"", ""es"")"),"Tamaño: 888")</f>
        <v>Tamaño: 888</v>
      </c>
      <c r="D52" s="4" t="str">
        <f>IFERROR(__xludf.DUMMYFUNCTION("GOOGLETRANSLATE(B52, ""en"", ""pt"")"),"Tamanho: 888.")</f>
        <v>Tamanho: 888.</v>
      </c>
      <c r="E52" s="4" t="str">
        <f>IFERROR(__xludf.DUMMYFUNCTION("GOOGLETRANSLATE(B52, ""en"", ""ar"")"),"الحجم: 888.")</f>
        <v>الحجم: 888.</v>
      </c>
      <c r="F52" s="4" t="str">
        <f>IFERROR(__xludf.DUMMYFUNCTION("GOOGLETRANSLATE(B52, ""en"", ""km"")"),"ទំហំ: 888")</f>
        <v>ទំហំ: 888</v>
      </c>
      <c r="G52" s="4" t="str">
        <f>IFERROR(__xludf.DUMMYFUNCTION("GOOGLETRANSLATE(B52, ""en"", ""fr"")"),"Taille: 888")</f>
        <v>Taille: 888</v>
      </c>
      <c r="H52" s="4" t="str">
        <f>IFERROR(__xludf.DUMMYFUNCTION("GOOGLETRANSLATE(B52, ""en"", ""ro"")"),"Dimensiune: 888.")</f>
        <v>Dimensiune: 888.</v>
      </c>
      <c r="I52" s="4" t="str">
        <f>IFERROR(__xludf.DUMMYFUNCTION("GOOGLETRANSLATE(B52, ""en"", ""my"")"),"အရွယ်အစား: 888")</f>
        <v>အရွယ်အစား: 888</v>
      </c>
      <c r="J52" s="4" t="str">
        <f>IFERROR(__xludf.DUMMYFUNCTION("GOOGLETRANSLATE(B52, ""en"", ""sw"")"),"Ukubwa: 888.")</f>
        <v>Ukubwa: 888.</v>
      </c>
      <c r="K52" s="4" t="str">
        <f>IFERROR(__xludf.DUMMYFUNCTION("GOOGLETRANSLATE(B52, ""en"", ""th"")"),"ขนาด: 888")</f>
        <v>ขนาด: 888</v>
      </c>
      <c r="L52" s="4" t="str">
        <f>IFERROR(__xludf.DUMMYFUNCTION("GOOGLETRANSLATE(B52, ""en"", ""si"")"),"ප්රමාණය: 888")</f>
        <v>ප්රමාණය: 888</v>
      </c>
      <c r="M52" s="4" t="str">
        <f>IFERROR(__xludf.DUMMYFUNCTION("GOOGLETRANSLATE(B52, ""en"", ""vi"")"),"Kích thước: 888.")</f>
        <v>Kích thước: 888.</v>
      </c>
      <c r="N52" s="4" t="str">
        <f>IFERROR(__xludf.DUMMYFUNCTION("GOOGLETRANSLATE(B52, ""en"", ""ne"")"),"आकार: 8 888")</f>
        <v>आकार: 8 888</v>
      </c>
      <c r="O52" s="4" t="str">
        <f>IFERROR(__xludf.DUMMYFUNCTION("GOOGLETRANSLATE(B52, ""en"", ""de"")"),"Größe: 888.")</f>
        <v>Größe: 888.</v>
      </c>
      <c r="P52" s="4" t="str">
        <f>IFERROR(__xludf.DUMMYFUNCTION("GOOGLETRANSLATE(B52, ""en"", ""he"")"),"גודל: 888.")</f>
        <v>גודל: 888.</v>
      </c>
      <c r="Q52" s="4" t="str">
        <f>IFERROR(__xludf.DUMMYFUNCTION("GOOGLETRANSLATE(B52, ""en"", ""cs"")"),"Velikost: 888.")</f>
        <v>Velikost: 888.</v>
      </c>
      <c r="R52" s="4" t="str">
        <f>IFERROR(__xludf.DUMMYFUNCTION("GOOGLETRANSLATE(B52, ""en"", ""it"")"),"Dimensioni: 888.")</f>
        <v>Dimensioni: 888.</v>
      </c>
      <c r="S52" s="4" t="str">
        <f>IFERROR(__xludf.DUMMYFUNCTION("GOOGLETRANSLATE(B52, ""en"", ""el"")"),"Μέγεθος: 888")</f>
        <v>Μέγεθος: 888</v>
      </c>
    </row>
    <row r="53" ht="15.75" customHeight="1">
      <c r="A53" s="4" t="s">
        <v>119</v>
      </c>
      <c r="B53" s="4" t="s">
        <v>120</v>
      </c>
      <c r="C53" s="4" t="str">
        <f>IFERROR(__xludf.DUMMYFUNCTION("GOOGLETRANSLATE(B53, ""en"", ""es"")"),"Guardar normal")</f>
        <v>Guardar normal</v>
      </c>
      <c r="D53" s="4" t="str">
        <f>IFERROR(__xludf.DUMMYFUNCTION("GOOGLETRANSLATE(B53, ""en"", ""pt"")"),"Salvar normal")</f>
        <v>Salvar normal</v>
      </c>
      <c r="E53" s="4" t="str">
        <f>IFERROR(__xludf.DUMMYFUNCTION("GOOGLETRANSLATE(B53, ""en"", ""ar"")"),"الحفظ الطبيعي")</f>
        <v>الحفظ الطبيعي</v>
      </c>
      <c r="F53" s="4" t="str">
        <f>IFERROR(__xludf.DUMMYFUNCTION("GOOGLETRANSLATE(B53, ""en"", ""km"")"),"រក្សាទុកធម្មតា")</f>
        <v>រក្សាទុកធម្មតា</v>
      </c>
      <c r="G53" s="4" t="str">
        <f>IFERROR(__xludf.DUMMYFUNCTION("GOOGLETRANSLATE(B53, ""en"", ""fr"")"),"Économiser normalement")</f>
        <v>Économiser normalement</v>
      </c>
      <c r="H53" s="4" t="str">
        <f>IFERROR(__xludf.DUMMYFUNCTION("GOOGLETRANSLATE(B53, ""en"", ""ro"")"),"Salvare normală")</f>
        <v>Salvare normală</v>
      </c>
      <c r="I53" s="4" t="str">
        <f>IFERROR(__xludf.DUMMYFUNCTION("GOOGLETRANSLATE(B53, ""en"", ""my"")"),"ပုံမှန်ကယ်တင်ခြင်း")</f>
        <v>ပုံမှန်ကယ်တင်ခြင်း</v>
      </c>
      <c r="J53" s="4" t="str">
        <f>IFERROR(__xludf.DUMMYFUNCTION("GOOGLETRANSLATE(B53, ""en"", ""sw"")"),"Ila ya kawaida")</f>
        <v>Ila ya kawaida</v>
      </c>
      <c r="K53" s="4" t="str">
        <f>IFERROR(__xludf.DUMMYFUNCTION("GOOGLETRANSLATE(B53, ""en"", ""th"")"),"บันทึกปกติ")</f>
        <v>บันทึกปกติ</v>
      </c>
      <c r="L53" s="4" t="str">
        <f>IFERROR(__xludf.DUMMYFUNCTION("GOOGLETRANSLATE(B53, ""en"", ""si"")"),"සාමාන්ය සුරකින්න")</f>
        <v>සාමාන්ය සුරකින්න</v>
      </c>
      <c r="M53" s="4" t="str">
        <f>IFERROR(__xludf.DUMMYFUNCTION("GOOGLETRANSLATE(B53, ""en"", ""vi"")"),"Tiết kiệm bình thường")</f>
        <v>Tiết kiệm bình thường</v>
      </c>
      <c r="N53" s="4" t="str">
        <f>IFERROR(__xludf.DUMMYFUNCTION("GOOGLETRANSLATE(B53, ""en"", ""ne"")"),"सामान्य बचत")</f>
        <v>सामान्य बचत</v>
      </c>
      <c r="O53" s="4" t="str">
        <f>IFERROR(__xludf.DUMMYFUNCTION("GOOGLETRANSLATE(B53, ""en"", ""de"")"),"Normales Speichern")</f>
        <v>Normales Speichern</v>
      </c>
      <c r="P53" s="4" t="str">
        <f>IFERROR(__xludf.DUMMYFUNCTION("GOOGLETRANSLATE(B53, ""en"", ""he"")"),"Normal Save.")</f>
        <v>Normal Save.</v>
      </c>
      <c r="Q53" s="4" t="str">
        <f>IFERROR(__xludf.DUMMYFUNCTION("GOOGLETRANSLATE(B53, ""en"", ""cs"")"),"Normální uložit.")</f>
        <v>Normální uložit.</v>
      </c>
      <c r="R53" s="4" t="str">
        <f>IFERROR(__xludf.DUMMYFUNCTION("GOOGLETRANSLATE(B53, ""en"", ""it"")"),"Risparmia normale")</f>
        <v>Risparmia normale</v>
      </c>
      <c r="S53" s="4" t="str">
        <f>IFERROR(__xludf.DUMMYFUNCTION("GOOGLETRANSLATE(B53, ""en"", ""el"")"),"Κανονική αποθήκευση")</f>
        <v>Κανονική αποθήκευση</v>
      </c>
    </row>
    <row r="54" ht="15.75" customHeight="1">
      <c r="A54" s="4" t="s">
        <v>121</v>
      </c>
      <c r="B54" s="4" t="s">
        <v>122</v>
      </c>
      <c r="C54" s="4" t="str">
        <f>IFERROR(__xludf.DUMMYFUNCTION("GOOGLETRANSLATE(B54, ""en"", ""es"")"),"Usted no se configura la seguridad de la pregunta de respuestas")</f>
        <v>Usted no se configura la seguridad de la pregunta de respuestas</v>
      </c>
      <c r="D54" s="4" t="str">
        <f>IFERROR(__xludf.DUMMYFUNCTION("GOOGLETRANSLATE(B54, ""en"", ""pt"")"),"Você não configura a segurança de respostas quession")</f>
        <v>Você não configura a segurança de respostas quession</v>
      </c>
      <c r="E54" s="4" t="str">
        <f>IFERROR(__xludf.DUMMYFUNCTION("GOOGLETRANSLATE(B54, ""en"", ""ar"")"),"أنت لا الإعداد الإجابة عن أمان quesion")</f>
        <v>أنت لا الإعداد الإجابة عن أمان quesion</v>
      </c>
      <c r="F54" s="4" t="str">
        <f>IFERROR(__xludf.DUMMYFUNCTION("GOOGLETRANSLATE(B54, ""en"", ""km"")"),"អ្នកមិនឆ្លើយតបនឹងសុវត្ថិភាព")</f>
        <v>អ្នកមិនឆ្លើយតបនឹងសុវត្ថិភាព</v>
      </c>
      <c r="G54" s="4" t="str">
        <f>IFERROR(__xludf.DUMMYFUNCTION("GOOGLETRANSLATE(B54, ""en"", ""fr"")"),"Vous n'avez pas la sécurité de la sécurité")</f>
        <v>Vous n'avez pas la sécurité de la sécurité</v>
      </c>
      <c r="H54" s="4" t="str">
        <f>IFERROR(__xludf.DUMMYFUNCTION("GOOGLETRANSLATE(B54, ""en"", ""ro"")"),"Nu vă configurați Securitatea răspunsurilor")</f>
        <v>Nu vă configurați Securitatea răspunsurilor</v>
      </c>
      <c r="I54" s="4" t="str">
        <f>IFERROR(__xludf.DUMMYFUNCTION("GOOGLETRANSLATE(B54, ""en"", ""my"")"),"quesion လုံခြုံရေးကို setup ကိုမသတ်မှတ်ပါ")</f>
        <v>quesion လုံခြုံရေးကို setup ကိုမသတ်မှတ်ပါ</v>
      </c>
      <c r="J54" s="4" t="str">
        <f>IFERROR(__xludf.DUMMYFUNCTION("GOOGLETRANSLATE(B54, ""en"", ""sw"")"),"Huwezi kuanzisha Usalama wa Quesion.")</f>
        <v>Huwezi kuanzisha Usalama wa Quesion.</v>
      </c>
      <c r="K54" s="4" t="str">
        <f>IFERROR(__xludf.DUMMYFUNCTION("GOOGLETRANSLATE(B54, ""en"", ""th"")"),"คุณไม่ได้ตั้งค่าคำตอบความปลอดภัยของ Quesion")</f>
        <v>คุณไม่ได้ตั้งค่าคำตอบความปลอดภัยของ Quesion</v>
      </c>
      <c r="L54" s="4" t="str">
        <f>IFERROR(__xludf.DUMMYFUNCTION("GOOGLETRANSLATE(B54, ""en"", ""si"")"),"ඔබ පිළිතුරු විමසුම් ආරක්ෂාව සැකසෙන්නේ නැත")</f>
        <v>ඔබ පිළිතුරු විමසුම් ආරක්ෂාව සැකසෙන්නේ නැත</v>
      </c>
      <c r="M54" s="4" t="str">
        <f>IFERROR(__xludf.DUMMYFUNCTION("GOOGLETRANSLATE(B54, ""en"", ""vi"")"),"Bạn không đặt câu trả lời Bảo mật Quesion")</f>
        <v>Bạn không đặt câu trả lời Bảo mật Quesion</v>
      </c>
      <c r="N54" s="4" t="str">
        <f>IFERROR(__xludf.DUMMYFUNCTION("GOOGLETRANSLATE(B54, ""en"", ""ne"")"),"तपाईंले प्रश्नोत्तरी सुरक्षा सेटअप गर्नुहुन्न")</f>
        <v>तपाईंले प्रश्नोत्तरी सुरक्षा सेटअप गर्नुहुन्न</v>
      </c>
      <c r="O54" s="4" t="str">
        <f>IFERROR(__xludf.DUMMYFUNCTION("GOOGLETRANSLATE(B54, ""en"", ""de"")"),"Sie können nicht auf Setup-Antwort-Quession-Sicherheit einrichten")</f>
        <v>Sie können nicht auf Setup-Antwort-Quession-Sicherheit einrichten</v>
      </c>
      <c r="P54" s="4" t="str">
        <f>IFERROR(__xludf.DUMMYFUNCTION("GOOGLETRANSLATE(B54, ""en"", ""he"")"),"אתה לא הגדרת תשובה אבטחה Quesion")</f>
        <v>אתה לא הגדרת תשובה אבטחה Quesion</v>
      </c>
      <c r="Q54" s="4" t="str">
        <f>IFERROR(__xludf.DUMMYFUNCTION("GOOGLETRANSLATE(B54, ""en"", ""cs"")"),"Odpověď Quesion Security")</f>
        <v>Odpověď Quesion Security</v>
      </c>
      <c r="R54" s="4" t="str">
        <f>IFERROR(__xludf.DUMMYFUNCTION("GOOGLETRANSLATE(B54, ""en"", ""it"")"),"Non ti configura la sicurezza della quesone")</f>
        <v>Non ti configura la sicurezza della quesone</v>
      </c>
      <c r="S54" s="4" t="str">
        <f>IFERROR(__xludf.DUMMYFUNCTION("GOOGLETRANSLATE(B54, ""en"", ""el"")"),"Δεν μπορείτε να απαντήσετε στην ασφάλεια του ερωτικού")</f>
        <v>Δεν μπορείτε να απαντήσετε στην ασφάλεια του ερωτικού</v>
      </c>
    </row>
    <row r="55" ht="15.75" customHeight="1">
      <c r="A55" s="4" t="s">
        <v>123</v>
      </c>
      <c r="B55" s="4" t="s">
        <v>124</v>
      </c>
      <c r="C55" s="4" t="str">
        <f>IFERROR(__xludf.DUMMYFUNCTION("GOOGLETRANSLATE(B55, ""en"", ""es"")"),"Aumenta ahora")</f>
        <v>Aumenta ahora</v>
      </c>
      <c r="D55" s="4" t="str">
        <f>IFERROR(__xludf.DUMMYFUNCTION("GOOGLETRANSLATE(B55, ""en"", ""pt"")"),"Impulsionar agora")</f>
        <v>Impulsionar agora</v>
      </c>
      <c r="E55" s="4" t="str">
        <f>IFERROR(__xludf.DUMMYFUNCTION("GOOGLETRANSLATE(B55, ""en"", ""ar"")"),"زد الآن")</f>
        <v>زد الآن</v>
      </c>
      <c r="F55" s="4" t="str">
        <f>IFERROR(__xludf.DUMMYFUNCTION("GOOGLETRANSLATE(B55, ""en"", ""km"")"),"ជំរុញឥឡូវនេះ")</f>
        <v>ជំរុញឥឡូវនេះ</v>
      </c>
      <c r="G55" s="4" t="str">
        <f>IFERROR(__xludf.DUMMYFUNCTION("GOOGLETRANSLATE(B55, ""en"", ""fr"")"),"Accélérez maintenant")</f>
        <v>Accélérez maintenant</v>
      </c>
      <c r="H55" s="4" t="str">
        <f>IFERROR(__xludf.DUMMYFUNCTION("GOOGLETRANSLATE(B55, ""en"", ""ro"")"),"Mărește acum")</f>
        <v>Mărește acum</v>
      </c>
      <c r="I55" s="4" t="str">
        <f>IFERROR(__xludf.DUMMYFUNCTION("GOOGLETRANSLATE(B55, ""en"", ""my"")"),"ယခု")</f>
        <v>ယခု</v>
      </c>
      <c r="J55" s="4" t="str">
        <f>IFERROR(__xludf.DUMMYFUNCTION("GOOGLETRANSLATE(B55, ""en"", ""sw"")"),"Kuongeza Sasa")</f>
        <v>Kuongeza Sasa</v>
      </c>
      <c r="K55" s="4" t="str">
        <f>IFERROR(__xludf.DUMMYFUNCTION("GOOGLETRANSLATE(B55, ""en"", ""th"")"),"เพิ่ม")</f>
        <v>เพิ่ม</v>
      </c>
      <c r="L55" s="4" t="str">
        <f>IFERROR(__xludf.DUMMYFUNCTION("GOOGLETRANSLATE(B55, ""en"", ""si"")"),"දැන් තල්ලුව")</f>
        <v>දැන් තල්ලුව</v>
      </c>
      <c r="M55" s="4" t="str">
        <f>IFERROR(__xludf.DUMMYFUNCTION("GOOGLETRANSLATE(B55, ""en"", ""vi"")"),"Đẩy nhanh")</f>
        <v>Đẩy nhanh</v>
      </c>
      <c r="N55" s="4" t="str">
        <f>IFERROR(__xludf.DUMMYFUNCTION("GOOGLETRANSLATE(B55, ""en"", ""ne"")"),"छिर्ण गर्नु")</f>
        <v>छिर्ण गर्नु</v>
      </c>
      <c r="O55" s="4" t="str">
        <f>IFERROR(__xludf.DUMMYFUNCTION("GOOGLETRANSLATE(B55, ""en"", ""de"")"),"Boost jetzt")</f>
        <v>Boost jetzt</v>
      </c>
      <c r="P55" s="4" t="str">
        <f>IFERROR(__xludf.DUMMYFUNCTION("GOOGLETRANSLATE(B55, ""en"", ""he"")"),"שפר עכשיו")</f>
        <v>שפר עכשיו</v>
      </c>
      <c r="Q55" s="4" t="str">
        <f>IFERROR(__xludf.DUMMYFUNCTION("GOOGLETRANSLATE(B55, ""en"", ""cs"")"),"Boost teď")</f>
        <v>Boost teď</v>
      </c>
      <c r="R55" s="4" t="str">
        <f>IFERROR(__xludf.DUMMYFUNCTION("GOOGLETRANSLATE(B55, ""en"", ""it"")"),"Aumenta ora")</f>
        <v>Aumenta ora</v>
      </c>
      <c r="S55" s="4" t="str">
        <f>IFERROR(__xludf.DUMMYFUNCTION("GOOGLETRANSLATE(B55, ""en"", ""el"")"),"Ενισχύστε τώρα")</f>
        <v>Ενισχύστε τώρα</v>
      </c>
    </row>
    <row r="56" ht="15.75" customHeight="1">
      <c r="A56" s="4" t="s">
        <v>125</v>
      </c>
      <c r="B56" s="4" t="s">
        <v>126</v>
      </c>
      <c r="C56" s="4" t="str">
        <f>IFERROR(__xludf.DUMMYFUNCTION("GOOGLETRANSLATE(B56, ""en"", ""es"")"),"Detente en")</f>
        <v>Detente en</v>
      </c>
      <c r="D56" s="4" t="str">
        <f>IFERROR(__xludf.DUMMYFUNCTION("GOOGLETRANSLATE(B56, ""en"", ""pt"")"),"Pare em")</f>
        <v>Pare em</v>
      </c>
      <c r="E56" s="4" t="str">
        <f>IFERROR(__xludf.DUMMYFUNCTION("GOOGLETRANSLATE(B56, ""en"", ""ar"")"),"توقف عند")</f>
        <v>توقف عند</v>
      </c>
      <c r="F56" s="4" t="str">
        <f>IFERROR(__xludf.DUMMYFUNCTION("GOOGLETRANSLATE(B56, ""en"", ""km"")"),"ឈប់នៅ")</f>
        <v>ឈប់នៅ</v>
      </c>
      <c r="G56" s="4" t="str">
        <f>IFERROR(__xludf.DUMMYFUNCTION("GOOGLETRANSLATE(B56, ""en"", ""fr"")"),"Arrêté à")</f>
        <v>Arrêté à</v>
      </c>
      <c r="H56" s="4" t="str">
        <f>IFERROR(__xludf.DUMMYFUNCTION("GOOGLETRANSLATE(B56, ""en"", ""ro"")"),"Opreste la")</f>
        <v>Opreste la</v>
      </c>
      <c r="I56" s="4" t="str">
        <f>IFERROR(__xludf.DUMMYFUNCTION("GOOGLETRANSLATE(B56, ""en"", ""my"")"),"မှာရပ်တန့်")</f>
        <v>မှာရပ်တန့်</v>
      </c>
      <c r="J56" s="4" t="str">
        <f>IFERROR(__xludf.DUMMYFUNCTION("GOOGLETRANSLATE(B56, ""en"", ""sw"")"),"Acha At.")</f>
        <v>Acha At.</v>
      </c>
      <c r="K56" s="4" t="str">
        <f>IFERROR(__xludf.DUMMYFUNCTION("GOOGLETRANSLATE(B56, ""en"", ""th"")"),"หยุดที่")</f>
        <v>หยุดที่</v>
      </c>
      <c r="L56" s="4" t="str">
        <f>IFERROR(__xludf.DUMMYFUNCTION("GOOGLETRANSLATE(B56, ""en"", ""si"")"),"නවත්වන්න")</f>
        <v>නවත්වන්න</v>
      </c>
      <c r="M56" s="4" t="str">
        <f>IFERROR(__xludf.DUMMYFUNCTION("GOOGLETRANSLATE(B56, ""en"", ""vi"")"),"Dừng lại tại")</f>
        <v>Dừng lại tại</v>
      </c>
      <c r="N56" s="4" t="str">
        <f>IFERROR(__xludf.DUMMYFUNCTION("GOOGLETRANSLATE(B56, ""en"", ""ne"")"),"मा रोक")</f>
        <v>मा रोक</v>
      </c>
      <c r="O56" s="4" t="str">
        <f>IFERROR(__xludf.DUMMYFUNCTION("GOOGLETRANSLATE(B56, ""en"", ""de"")"),"Halte bei")</f>
        <v>Halte bei</v>
      </c>
      <c r="P56" s="4" t="str">
        <f>IFERROR(__xludf.DUMMYFUNCTION("GOOGLETRANSLATE(B56, ""en"", ""he"")"),"לעצור ב")</f>
        <v>לעצור ב</v>
      </c>
      <c r="Q56" s="4" t="str">
        <f>IFERROR(__xludf.DUMMYFUNCTION("GOOGLETRANSLATE(B56, ""en"", ""cs"")"),"STOP AT.")</f>
        <v>STOP AT.</v>
      </c>
      <c r="R56" s="4" t="str">
        <f>IFERROR(__xludf.DUMMYFUNCTION("GOOGLETRANSLATE(B56, ""en"", ""it"")"),"Fermarsi a")</f>
        <v>Fermarsi a</v>
      </c>
      <c r="S56" s="4" t="str">
        <f>IFERROR(__xludf.DUMMYFUNCTION("GOOGLETRANSLATE(B56, ""en"", ""el"")"),"Σταματώ")</f>
        <v>Σταματώ</v>
      </c>
    </row>
    <row r="57" ht="15.75" customHeight="1">
      <c r="A57" s="4" t="s">
        <v>127</v>
      </c>
      <c r="B57" s="4" t="s">
        <v>128</v>
      </c>
      <c r="C57" s="4" t="str">
        <f>IFERROR(__xludf.DUMMYFUNCTION("GOOGLETRANSLATE(B57, ""en"", ""es"")"),"Eliminar datos innecesarios, archivos de caché, redundancia, anuncios")</f>
        <v>Eliminar datos innecesarios, archivos de caché, redundancia, anuncios</v>
      </c>
      <c r="D57" s="4" t="str">
        <f>IFERROR(__xludf.DUMMYFUNCTION("GOOGLETRANSLATE(B57, ""en"", ""pt"")"),"Excluir dados desnecessários, arquivos de cache, redundância, anúncios")</f>
        <v>Excluir dados desnecessários, arquivos de cache, redundância, anúncios</v>
      </c>
      <c r="E57" s="4" t="str">
        <f>IFERROR(__xludf.DUMMYFUNCTION("GOOGLETRANSLATE(B57, ""en"", ""ar"")"),"حذف البيانات غير الضرورية، ملفات ذاكرة التخزين المؤقت، التكرار، الإعلانات")</f>
        <v>حذف البيانات غير الضرورية، ملفات ذاكرة التخزين المؤقت، التكرار، الإعلانات</v>
      </c>
      <c r="F57" s="4" t="str">
        <f>IFERROR(__xludf.DUMMYFUNCTION("GOOGLETRANSLATE(B57, ""en"", ""km"")"),"លុបទិន្នន័យដែលមិនចាំបាច់ឯកសារឃ្លាំងសម្ងាត់ការលែងត្រូវការតទៅទៀតពាណិជ្ជកម្ម")</f>
        <v>លុបទិន្នន័យដែលមិនចាំបាច់ឯកសារឃ្លាំងសម្ងាត់ការលែងត្រូវការតទៅទៀតពាណិជ្ជកម្ម</v>
      </c>
      <c r="G57" s="4" t="str">
        <f>IFERROR(__xludf.DUMMYFUNCTION("GOOGLETRANSLATE(B57, ""en"", ""fr"")"),"Supprimer des données inutiles, des fichiers de cache, une redondance, des annonces")</f>
        <v>Supprimer des données inutiles, des fichiers de cache, une redondance, des annonces</v>
      </c>
      <c r="H57" s="4" t="str">
        <f>IFERROR(__xludf.DUMMYFUNCTION("GOOGLETRANSLATE(B57, ""en"", ""ro"")"),"Ștergeți datele inutile, fișierele cache, redundanța, anunțurile")</f>
        <v>Ștergeți datele inutile, fișierele cache, redundanța, anunțurile</v>
      </c>
      <c r="I57" s="4" t="str">
        <f>IFERROR(__xludf.DUMMYFUNCTION("GOOGLETRANSLATE(B57, ""en"", ""my"")"),"မလိုအပ်သောအချက်အလက်များ, cache files များ, မလိုအပ်သောကြော်ငြာများကိုဖျက်ပါ")</f>
        <v>မလိုအပ်သောအချက်အလက်များ, cache files များ, မလိုအပ်သောကြော်ငြာများကိုဖျက်ပါ</v>
      </c>
      <c r="J57" s="4" t="str">
        <f>IFERROR(__xludf.DUMMYFUNCTION("GOOGLETRANSLATE(B57, ""en"", ""sw"")"),"Futa data zisizohitajika, faili za cache, redundancy, matangazo")</f>
        <v>Futa data zisizohitajika, faili za cache, redundancy, matangazo</v>
      </c>
      <c r="K57" s="4" t="str">
        <f>IFERROR(__xludf.DUMMYFUNCTION("GOOGLETRANSLATE(B57, ""en"", ""th"")"),"ลบข้อมูลที่ไม่จำเป็นไฟล์แคชความซ้ำซ้อนโฆษณา")</f>
        <v>ลบข้อมูลที่ไม่จำเป็นไฟล์แคชความซ้ำซ้อนโฆษณา</v>
      </c>
      <c r="L57" s="4" t="str">
        <f>IFERROR(__xludf.DUMMYFUNCTION("GOOGLETRANSLATE(B57, ""en"", ""si"")"),"අනවශ්ය දත්ත මකන්න, හැඹිලි ලිපිගොනු, අතිරික්තය, දැන්වීම්")</f>
        <v>අනවශ්ය දත්ත මකන්න, හැඹිලි ලිපිගොනු, අතිරික්තය, දැන්වීම්</v>
      </c>
      <c r="M57" s="4" t="str">
        <f>IFERROR(__xludf.DUMMYFUNCTION("GOOGLETRANSLATE(B57, ""en"", ""vi"")"),"Xóa dữ liệu không cần thiết, tập tin bộ nhớ cache, dự phòng, quảng cáo")</f>
        <v>Xóa dữ liệu không cần thiết, tập tin bộ nhớ cache, dự phòng, quảng cáo</v>
      </c>
      <c r="N57" s="4" t="str">
        <f>IFERROR(__xludf.DUMMYFUNCTION("GOOGLETRANSLATE(B57, ""en"", ""ne"")"),"अनावश्यक डाटा, क्यास फाइलहरू, अनावश्यक, विज्ञापनहरू हटाउनुहोस्")</f>
        <v>अनावश्यक डाटा, क्यास फाइलहरू, अनावश्यक, विज्ञापनहरू हटाउनुहोस्</v>
      </c>
      <c r="O57" s="4" t="str">
        <f>IFERROR(__xludf.DUMMYFUNCTION("GOOGLETRANSLATE(B57, ""en"", ""de"")"),"Löschen Sie unnötige Daten, Cache-Dateien, Redundanz, Anzeigen")</f>
        <v>Löschen Sie unnötige Daten, Cache-Dateien, Redundanz, Anzeigen</v>
      </c>
      <c r="P57" s="4" t="str">
        <f>IFERROR(__xludf.DUMMYFUNCTION("GOOGLETRANSLATE(B57, ""en"", ""he"")"),"מחק נתונים מיותרים, קבצי מטמון, יתירות, מודעות")</f>
        <v>מחק נתונים מיותרים, קבצי מטמון, יתירות, מודעות</v>
      </c>
      <c r="Q57" s="4" t="str">
        <f>IFERROR(__xludf.DUMMYFUNCTION("GOOGLETRANSLATE(B57, ""en"", ""cs"")"),"Smazat zbytečná data, soubory mezipaměti, redundance, reklamy")</f>
        <v>Smazat zbytečná data, soubory mezipaměti, redundance, reklamy</v>
      </c>
      <c r="R57" s="4" t="str">
        <f>IFERROR(__xludf.DUMMYFUNCTION("GOOGLETRANSLATE(B57, ""en"", ""it"")"),"Elimina dati non necessari, file di cache, ridondanza, annunci")</f>
        <v>Elimina dati non necessari, file di cache, ridondanza, annunci</v>
      </c>
      <c r="S57" s="4" t="str">
        <f>IFERROR(__xludf.DUMMYFUNCTION("GOOGLETRANSLATE(B57, ""en"", ""el"")"),"Διαγράψτε περιττά δεδομένα, αρχεία προσωρινής μνήμης, πλεονασμός, διαφημίσεις")</f>
        <v>Διαγράψτε περιττά δεδομένα, αρχεία προσωρινής μνήμης, πλεονασμός, διαφημίσεις</v>
      </c>
    </row>
    <row r="58" ht="15.75" customHeight="1">
      <c r="A58" s="4" t="s">
        <v>129</v>
      </c>
      <c r="B58" s="4" t="s">
        <v>130</v>
      </c>
      <c r="C58" s="4" t="str">
        <f>IFERROR(__xludf.DUMMYFUNCTION("GOOGLETRANSLATE(B58, ""en"", ""es"")"),"Juegos Añadido: 888")</f>
        <v>Juegos Añadido: 888</v>
      </c>
      <c r="D58" s="4" t="str">
        <f>IFERROR(__xludf.DUMMYFUNCTION("GOOGLETRANSLATE(B58, ""en"", ""pt"")"),"Jogos Adicionados: 888")</f>
        <v>Jogos Adicionados: 888</v>
      </c>
      <c r="E58" s="4" t="str">
        <f>IFERROR(__xludf.DUMMYFUNCTION("GOOGLETRANSLATE(B58, ""en"", ""ar"")"),"الألعاب المضافة: 888")</f>
        <v>الألعاب المضافة: 888</v>
      </c>
      <c r="F58" s="4" t="str">
        <f>IFERROR(__xludf.DUMMYFUNCTION("GOOGLETRANSLATE(B58, ""en"", ""km"")"),"ល្បែងបានបន្ថែមថា: 888")</f>
        <v>ល្បែងបានបន្ថែមថា: 888</v>
      </c>
      <c r="G58" s="4" t="str">
        <f>IFERROR(__xludf.DUMMYFUNCTION("GOOGLETRANSLATE(B58, ""en"", ""fr"")"),"Jeux ajoutés: 888")</f>
        <v>Jeux ajoutés: 888</v>
      </c>
      <c r="H58" s="4" t="str">
        <f>IFERROR(__xludf.DUMMYFUNCTION("GOOGLETRANSLATE(B58, ""en"", ""ro"")"),"Jocuri adăugate: 888")</f>
        <v>Jocuri adăugate: 888</v>
      </c>
      <c r="I58" s="4" t="str">
        <f>IFERROR(__xludf.DUMMYFUNCTION("GOOGLETRANSLATE(B58, ""en"", ""my"")"),"ဂိမ်းများကိုဆက်ပြောသည်: 888")</f>
        <v>ဂိမ်းများကိုဆက်ပြောသည်: 888</v>
      </c>
      <c r="J58" s="4" t="str">
        <f>IFERROR(__xludf.DUMMYFUNCTION("GOOGLETRANSLATE(B58, ""en"", ""sw"")"),"Michezo aliongeza: 888.")</f>
        <v>Michezo aliongeza: 888.</v>
      </c>
      <c r="K58" s="4" t="str">
        <f>IFERROR(__xludf.DUMMYFUNCTION("GOOGLETRANSLATE(B58, ""en"", ""th"")"),"เกมที่เพิ่ม: 888")</f>
        <v>เกมที่เพิ่ม: 888</v>
      </c>
      <c r="L58" s="4" t="str">
        <f>IFERROR(__xludf.DUMMYFUNCTION("GOOGLETRANSLATE(B58, ""en"", ""si"")"),"ක්රීඩා එකතු කරන ලදි: 888")</f>
        <v>ක්රීඩා එකතු කරන ලදි: 888</v>
      </c>
      <c r="M58" s="4" t="str">
        <f>IFERROR(__xludf.DUMMYFUNCTION("GOOGLETRANSLATE(B58, ""en"", ""vi"")"),"Đã thêm trò chơi: 888")</f>
        <v>Đã thêm trò chơi: 888</v>
      </c>
      <c r="N58" s="4" t="str">
        <f>IFERROR(__xludf.DUMMYFUNCTION("GOOGLETRANSLATE(B58, ""en"", ""ne"")"),"खेल थपियो: 8888")</f>
        <v>खेल थपियो: 8888</v>
      </c>
      <c r="O58" s="4" t="str">
        <f>IFERROR(__xludf.DUMMYFUNCTION("GOOGLETRANSLATE(B58, ""en"", ""de"")"),"Spiele hinzugefügt: 888")</f>
        <v>Spiele hinzugefügt: 888</v>
      </c>
      <c r="P58" s="4" t="str">
        <f>IFERROR(__xludf.DUMMYFUNCTION("GOOGLETRANSLATE(B58, ""en"", ""he"")"),"משחקים נוספים: 888")</f>
        <v>משחקים נוספים: 888</v>
      </c>
      <c r="Q58" s="4" t="str">
        <f>IFERROR(__xludf.DUMMYFUNCTION("GOOGLETRANSLATE(B58, ""en"", ""cs"")"),"Hry přidané: 888")</f>
        <v>Hry přidané: 888</v>
      </c>
      <c r="R58" s="4" t="str">
        <f>IFERROR(__xludf.DUMMYFUNCTION("GOOGLETRANSLATE(B58, ""en"", ""it"")"),"Giochi aggiunti: 888")</f>
        <v>Giochi aggiunti: 888</v>
      </c>
      <c r="S58" s="4" t="str">
        <f>IFERROR(__xludf.DUMMYFUNCTION("GOOGLETRANSLATE(B58, ""en"", ""el"")"),"Παιχνίδια Προστέθηκαν: 888")</f>
        <v>Παιχνίδια Προστέθηκαν: 888</v>
      </c>
    </row>
    <row r="59" ht="15.75" customHeight="1">
      <c r="A59" s="4" t="s">
        <v>131</v>
      </c>
      <c r="B59" s="4" t="s">
        <v>132</v>
      </c>
      <c r="C59" s="4" t="str">
        <f>IFERROR(__xludf.DUMMYFUNCTION("GOOGLETRANSLATE(B59, ""en"", ""es"")"),"Exploración…")</f>
        <v>Exploración…</v>
      </c>
      <c r="D59" s="4" t="str">
        <f>IFERROR(__xludf.DUMMYFUNCTION("GOOGLETRANSLATE(B59, ""en"", ""pt"")"),"Digitalização ...")</f>
        <v>Digitalização ...</v>
      </c>
      <c r="E59" s="4" t="str">
        <f>IFERROR(__xludf.DUMMYFUNCTION("GOOGLETRANSLATE(B59, ""en"", ""ar"")"),"يتم المسح…")</f>
        <v>يتم المسح…</v>
      </c>
      <c r="F59" s="4" t="str">
        <f>IFERROR(__xludf.DUMMYFUNCTION("GOOGLETRANSLATE(B59, ""en"", ""km"")"),"ស្កេន ...")</f>
        <v>ស្កេន ...</v>
      </c>
      <c r="G59" s="4" t="str">
        <f>IFERROR(__xludf.DUMMYFUNCTION("GOOGLETRANSLATE(B59, ""en"", ""fr"")"),"Balayage…")</f>
        <v>Balayage…</v>
      </c>
      <c r="H59" s="4" t="str">
        <f>IFERROR(__xludf.DUMMYFUNCTION("GOOGLETRANSLATE(B59, ""en"", ""ro"")"),"Scanare ...")</f>
        <v>Scanare ...</v>
      </c>
      <c r="I59" s="4" t="str">
        <f>IFERROR(__xludf.DUMMYFUNCTION("GOOGLETRANSLATE(B59, ""en"", ""my"")"),"စကင်ဖတ်စစ်ဆေး")</f>
        <v>စကင်ဖတ်စစ်ဆေး</v>
      </c>
      <c r="J59" s="4" t="str">
        <f>IFERROR(__xludf.DUMMYFUNCTION("GOOGLETRANSLATE(B59, ""en"", ""sw"")"),"Skanning ...")</f>
        <v>Skanning ...</v>
      </c>
      <c r="K59" s="4" t="str">
        <f>IFERROR(__xludf.DUMMYFUNCTION("GOOGLETRANSLATE(B59, ""en"", ""th"")"),"สแกน ...")</f>
        <v>สแกน ...</v>
      </c>
      <c r="L59" s="4" t="str">
        <f>IFERROR(__xludf.DUMMYFUNCTION("GOOGLETRANSLATE(B59, ""en"", ""si"")"),"ස්කෑන් කිරීම ...")</f>
        <v>ස්කෑන් කිරීම ...</v>
      </c>
      <c r="M59" s="4" t="str">
        <f>IFERROR(__xludf.DUMMYFUNCTION("GOOGLETRANSLATE(B59, ""en"", ""vi"")"),"Quét ...")</f>
        <v>Quét ...</v>
      </c>
      <c r="N59" s="4" t="str">
        <f>IFERROR(__xludf.DUMMYFUNCTION("GOOGLETRANSLATE(B59, ""en"", ""ne"")"),"स्क्यान गर्दै ...")</f>
        <v>स्क्यान गर्दै ...</v>
      </c>
      <c r="O59" s="4" t="str">
        <f>IFERROR(__xludf.DUMMYFUNCTION("GOOGLETRANSLATE(B59, ""en"", ""de"")"),"Scannen ...")</f>
        <v>Scannen ...</v>
      </c>
      <c r="P59" s="4" t="str">
        <f>IFERROR(__xludf.DUMMYFUNCTION("GOOGLETRANSLATE(B59, ""en"", ""he"")"),"סריקה ...")</f>
        <v>סריקה ...</v>
      </c>
      <c r="Q59" s="4" t="str">
        <f>IFERROR(__xludf.DUMMYFUNCTION("GOOGLETRANSLATE(B59, ""en"", ""cs"")"),"Snímání…")</f>
        <v>Snímání…</v>
      </c>
      <c r="R59" s="4" t="str">
        <f>IFERROR(__xludf.DUMMYFUNCTION("GOOGLETRANSLATE(B59, ""en"", ""it"")"),"Scansione ...")</f>
        <v>Scansione ...</v>
      </c>
      <c r="S59" s="4" t="str">
        <f>IFERROR(__xludf.DUMMYFUNCTION("GOOGLETRANSLATE(B59, ""en"", ""el"")"),"Ερευνα…")</f>
        <v>Ερευνα…</v>
      </c>
    </row>
    <row r="60" ht="15.75" customHeight="1">
      <c r="A60" s="4" t="s">
        <v>133</v>
      </c>
      <c r="B60" s="4" t="s">
        <v>134</v>
      </c>
      <c r="C60" s="4" t="str">
        <f>IFERROR(__xludf.DUMMYFUNCTION("GOOGLETRANSLATE(B60, ""en"", ""es"")"),"Aplicación del sistema")</f>
        <v>Aplicación del sistema</v>
      </c>
      <c r="D60" s="4" t="str">
        <f>IFERROR(__xludf.DUMMYFUNCTION("GOOGLETRANSLATE(B60, ""en"", ""pt"")"),"APP SYSTEM.")</f>
        <v>APP SYSTEM.</v>
      </c>
      <c r="E60" s="4" t="str">
        <f>IFERROR(__xludf.DUMMYFUNCTION("GOOGLETRANSLATE(B60, ""en"", ""ar"")"),"تطبيق النظام")</f>
        <v>تطبيق النظام</v>
      </c>
      <c r="F60" s="4" t="str">
        <f>IFERROR(__xludf.DUMMYFUNCTION("GOOGLETRANSLATE(B60, ""en"", ""km"")"),"កម្មវិធីប្រព័ន្ធ")</f>
        <v>កម្មវិធីប្រព័ន្ធ</v>
      </c>
      <c r="G60" s="4" t="str">
        <f>IFERROR(__xludf.DUMMYFUNCTION("GOOGLETRANSLATE(B60, ""en"", ""fr"")"),"Application système")</f>
        <v>Application système</v>
      </c>
      <c r="H60" s="4" t="str">
        <f>IFERROR(__xludf.DUMMYFUNCTION("GOOGLETRANSLATE(B60, ""en"", ""ro"")"),"Aplicația sistemului")</f>
        <v>Aplicația sistemului</v>
      </c>
      <c r="I60" s="4" t="str">
        <f>IFERROR(__xludf.DUMMYFUNCTION("GOOGLETRANSLATE(B60, ""en"", ""my"")"),"System App")</f>
        <v>System App</v>
      </c>
      <c r="J60" s="4" t="str">
        <f>IFERROR(__xludf.DUMMYFUNCTION("GOOGLETRANSLATE(B60, ""en"", ""sw"")"),"Programu ya Mfumo")</f>
        <v>Programu ya Mfumo</v>
      </c>
      <c r="K60" s="4" t="str">
        <f>IFERROR(__xludf.DUMMYFUNCTION("GOOGLETRANSLATE(B60, ""en"", ""th"")"),"แอประบบ")</f>
        <v>แอประบบ</v>
      </c>
      <c r="L60" s="4" t="str">
        <f>IFERROR(__xludf.DUMMYFUNCTION("GOOGLETRANSLATE(B60, ""en"", ""si"")"),"පද්ධති යෙදුම")</f>
        <v>පද්ධති යෙදුම</v>
      </c>
      <c r="M60" s="4" t="str">
        <f>IFERROR(__xludf.DUMMYFUNCTION("GOOGLETRANSLATE(B60, ""en"", ""vi"")"),"Ứng dụng hệ thống")</f>
        <v>Ứng dụng hệ thống</v>
      </c>
      <c r="N60" s="4" t="str">
        <f>IFERROR(__xludf.DUMMYFUNCTION("GOOGLETRANSLATE(B60, ""en"", ""ne"")"),"प्रणाली")</f>
        <v>प्रणाली</v>
      </c>
      <c r="O60" s="4" t="str">
        <f>IFERROR(__xludf.DUMMYFUNCTION("GOOGLETRANSLATE(B60, ""en"", ""de"")"),"System-App.")</f>
        <v>System-App.</v>
      </c>
      <c r="P60" s="4" t="str">
        <f>IFERROR(__xludf.DUMMYFUNCTION("GOOGLETRANSLATE(B60, ""en"", ""he"")"),"מערכת App.")</f>
        <v>מערכת App.</v>
      </c>
      <c r="Q60" s="4" t="str">
        <f>IFERROR(__xludf.DUMMYFUNCTION("GOOGLETRANSLATE(B60, ""en"", ""cs"")"),"Systémová aplikace")</f>
        <v>Systémová aplikace</v>
      </c>
      <c r="R60" s="4" t="str">
        <f>IFERROR(__xludf.DUMMYFUNCTION("GOOGLETRANSLATE(B60, ""en"", ""it"")"),"App di sistema")</f>
        <v>App di sistema</v>
      </c>
      <c r="S60" s="4" t="str">
        <f>IFERROR(__xludf.DUMMYFUNCTION("GOOGLETRANSLATE(B60, ""en"", ""el"")"),"Εφαρμογή συστήματος")</f>
        <v>Εφαρμογή συστήματος</v>
      </c>
    </row>
    <row r="61" ht="15.75" customHeight="1">
      <c r="A61" s="4" t="s">
        <v>135</v>
      </c>
      <c r="B61" s="4" t="s">
        <v>136</v>
      </c>
      <c r="C61" s="4" t="str">
        <f>IFERROR(__xludf.DUMMYFUNCTION("GOOGLETRANSLATE(B61, ""en"", ""es"")"),"Personal")</f>
        <v>Personal</v>
      </c>
      <c r="D61" s="4" t="str">
        <f>IFERROR(__xludf.DUMMYFUNCTION("GOOGLETRANSLATE(B61, ""en"", ""pt"")"),"Pessoal")</f>
        <v>Pessoal</v>
      </c>
      <c r="E61" s="4" t="str">
        <f>IFERROR(__xludf.DUMMYFUNCTION("GOOGLETRANSLATE(B61, ""en"", ""ar"")"),"شخصي")</f>
        <v>شخصي</v>
      </c>
      <c r="F61" s="4" t="str">
        <f>IFERROR(__xludf.DUMMYFUNCTION("GOOGLETRANSLATE(B61, ""en"", ""km"")"),"ផ្ទាល់ខ្លួន")</f>
        <v>ផ្ទាល់ខ្លួន</v>
      </c>
      <c r="G61" s="4" t="str">
        <f>IFERROR(__xludf.DUMMYFUNCTION("GOOGLETRANSLATE(B61, ""en"", ""fr"")"),"Personnel")</f>
        <v>Personnel</v>
      </c>
      <c r="H61" s="4" t="str">
        <f>IFERROR(__xludf.DUMMYFUNCTION("GOOGLETRANSLATE(B61, ""en"", ""ro"")"),"Personal")</f>
        <v>Personal</v>
      </c>
      <c r="I61" s="4" t="str">
        <f>IFERROR(__xludf.DUMMYFUNCTION("GOOGLETRANSLATE(B61, ""en"", ""my"")"),"မိမိပုဂ္ဂိုလ်ရေး")</f>
        <v>မိမိပုဂ္ဂိုလ်ရေး</v>
      </c>
      <c r="J61" s="4" t="str">
        <f>IFERROR(__xludf.DUMMYFUNCTION("GOOGLETRANSLATE(B61, ""en"", ""sw"")"),"Binafsi")</f>
        <v>Binafsi</v>
      </c>
      <c r="K61" s="4" t="str">
        <f>IFERROR(__xludf.DUMMYFUNCTION("GOOGLETRANSLATE(B61, ""en"", ""th"")"),"ส่วนตัว")</f>
        <v>ส่วนตัว</v>
      </c>
      <c r="L61" s="4" t="str">
        <f>IFERROR(__xludf.DUMMYFUNCTION("GOOGLETRANSLATE(B61, ""en"", ""si"")"),"පුද්ගලික")</f>
        <v>පුද්ගලික</v>
      </c>
      <c r="M61" s="4" t="str">
        <f>IFERROR(__xludf.DUMMYFUNCTION("GOOGLETRANSLATE(B61, ""en"", ""vi"")"),"Cá nhân")</f>
        <v>Cá nhân</v>
      </c>
      <c r="N61" s="4" t="str">
        <f>IFERROR(__xludf.DUMMYFUNCTION("GOOGLETRANSLATE(B61, ""en"", ""ne"")"),"व्यक्तिगत")</f>
        <v>व्यक्तिगत</v>
      </c>
      <c r="O61" s="4" t="str">
        <f>IFERROR(__xludf.DUMMYFUNCTION("GOOGLETRANSLATE(B61, ""en"", ""de"")"),"persönlich")</f>
        <v>persönlich</v>
      </c>
      <c r="P61" s="4" t="str">
        <f>IFERROR(__xludf.DUMMYFUNCTION("GOOGLETRANSLATE(B61, ""en"", ""he"")"),"אישי")</f>
        <v>אישי</v>
      </c>
      <c r="Q61" s="4" t="str">
        <f>IFERROR(__xludf.DUMMYFUNCTION("GOOGLETRANSLATE(B61, ""en"", ""cs"")"),"Osobní")</f>
        <v>Osobní</v>
      </c>
      <c r="R61" s="4" t="str">
        <f>IFERROR(__xludf.DUMMYFUNCTION("GOOGLETRANSLATE(B61, ""en"", ""it"")"),"Personale")</f>
        <v>Personale</v>
      </c>
      <c r="S61" s="4" t="str">
        <f>IFERROR(__xludf.DUMMYFUNCTION("GOOGLETRANSLATE(B61, ""en"", ""el"")"),"Προσωπικός")</f>
        <v>Προσωπικός</v>
      </c>
    </row>
    <row r="62" ht="15.75" customHeight="1">
      <c r="A62" s="4" t="s">
        <v>137</v>
      </c>
      <c r="B62" s="4" t="s">
        <v>138</v>
      </c>
      <c r="C62" s="4" t="str">
        <f>IFERROR(__xludf.DUMMYFUNCTION("GOOGLETRANSLATE(B62, ""en"", ""es"")"),"aplicación de virus")</f>
        <v>aplicación de virus</v>
      </c>
      <c r="D62" s="4" t="str">
        <f>IFERROR(__xludf.DUMMYFUNCTION("GOOGLETRANSLATE(B62, ""en"", ""pt"")"),"App de vírus")</f>
        <v>App de vírus</v>
      </c>
      <c r="E62" s="4" t="str">
        <f>IFERROR(__xludf.DUMMYFUNCTION("GOOGLETRANSLATE(B62, ""en"", ""ar"")"),"تطبيق الفيروسات")</f>
        <v>تطبيق الفيروسات</v>
      </c>
      <c r="F62" s="4" t="str">
        <f>IFERROR(__xludf.DUMMYFUNCTION("GOOGLETRANSLATE(B62, ""en"", ""km"")"),"កម្មវិធីមេរោគ")</f>
        <v>កម្មវិធីមេរោគ</v>
      </c>
      <c r="G62" s="4" t="str">
        <f>IFERROR(__xludf.DUMMYFUNCTION("GOOGLETRANSLATE(B62, ""en"", ""fr"")"),"virus")</f>
        <v>virus</v>
      </c>
      <c r="H62" s="4" t="str">
        <f>IFERROR(__xludf.DUMMYFUNCTION("GOOGLETRANSLATE(B62, ""en"", ""ro"")"),"Aplicația virusului")</f>
        <v>Aplicația virusului</v>
      </c>
      <c r="I62" s="4" t="str">
        <f>IFERROR(__xludf.DUMMYFUNCTION("GOOGLETRANSLATE(B62, ""en"", ""my"")"),"ဗိုင်းရပ်စ်အက်ပ်")</f>
        <v>ဗိုင်းရပ်စ်အက်ပ်</v>
      </c>
      <c r="J62" s="4" t="str">
        <f>IFERROR(__xludf.DUMMYFUNCTION("GOOGLETRANSLATE(B62, ""en"", ""sw"")"),"Programu ya Virusi")</f>
        <v>Programu ya Virusi</v>
      </c>
      <c r="K62" s="4" t="str">
        <f>IFERROR(__xludf.DUMMYFUNCTION("GOOGLETRANSLATE(B62, ""en"", ""th"")"),"แอปไวรัส")</f>
        <v>แอปไวรัส</v>
      </c>
      <c r="L62" s="4" t="str">
        <f>IFERROR(__xludf.DUMMYFUNCTION("GOOGLETRANSLATE(B62, ""en"", ""si"")"),"වෛරස් යෙදුම")</f>
        <v>වෛරස් යෙදුම</v>
      </c>
      <c r="M62" s="4" t="str">
        <f>IFERROR(__xludf.DUMMYFUNCTION("GOOGLETRANSLATE(B62, ""en"", ""vi"")"),"Ứng dụng Virus.")</f>
        <v>Ứng dụng Virus.</v>
      </c>
      <c r="N62" s="4" t="str">
        <f>IFERROR(__xludf.DUMMYFUNCTION("GOOGLETRANSLATE(B62, ""en"", ""ne"")"),"भाइरस निसाफर")</f>
        <v>भाइरस निसाफर</v>
      </c>
      <c r="O62" s="4" t="str">
        <f>IFERROR(__xludf.DUMMYFUNCTION("GOOGLETRANSLATE(B62, ""en"", ""de"")"),"Virus-App.")</f>
        <v>Virus-App.</v>
      </c>
      <c r="P62" s="4" t="str">
        <f>IFERROR(__xludf.DUMMYFUNCTION("GOOGLETRANSLATE(B62, ""en"", ""he"")"),"וירוס App.")</f>
        <v>וירוס App.</v>
      </c>
      <c r="Q62" s="4" t="str">
        <f>IFERROR(__xludf.DUMMYFUNCTION("GOOGLETRANSLATE(B62, ""en"", ""cs"")"),"virus app.")</f>
        <v>virus app.</v>
      </c>
      <c r="R62" s="4" t="str">
        <f>IFERROR(__xludf.DUMMYFUNCTION("GOOGLETRANSLATE(B62, ""en"", ""it"")"),"App Virus")</f>
        <v>App Virus</v>
      </c>
      <c r="S62" s="4" t="str">
        <f>IFERROR(__xludf.DUMMYFUNCTION("GOOGLETRANSLATE(B62, ""en"", ""el"")"),"app ιού")</f>
        <v>app ιού</v>
      </c>
    </row>
    <row r="63" ht="15.75" customHeight="1">
      <c r="A63" s="4" t="s">
        <v>139</v>
      </c>
      <c r="B63" s="4" t="s">
        <v>140</v>
      </c>
      <c r="C63" s="4" t="str">
        <f>IFERROR(__xludf.DUMMYFUNCTION("GOOGLETRANSLATE(B63, ""en"", ""es"")"),"Batería")</f>
        <v>Batería</v>
      </c>
      <c r="D63" s="4" t="str">
        <f>IFERROR(__xludf.DUMMYFUNCTION("GOOGLETRANSLATE(B63, ""en"", ""pt"")"),"Bateria")</f>
        <v>Bateria</v>
      </c>
      <c r="E63" s="4" t="str">
        <f>IFERROR(__xludf.DUMMYFUNCTION("GOOGLETRANSLATE(B63, ""en"", ""ar"")"),"بطارية")</f>
        <v>بطارية</v>
      </c>
      <c r="F63" s="4" t="str">
        <f>IFERROR(__xludf.DUMMYFUNCTION("GOOGLETRANSLATE(B63, ""en"", ""km"")"),"បាតឺរី")</f>
        <v>បាតឺរី</v>
      </c>
      <c r="G63" s="4" t="str">
        <f>IFERROR(__xludf.DUMMYFUNCTION("GOOGLETRANSLATE(B63, ""en"", ""fr"")"),"Batterie")</f>
        <v>Batterie</v>
      </c>
      <c r="H63" s="4" t="str">
        <f>IFERROR(__xludf.DUMMYFUNCTION("GOOGLETRANSLATE(B63, ""en"", ""ro"")"),"Baterie")</f>
        <v>Baterie</v>
      </c>
      <c r="I63" s="4" t="str">
        <f>IFERROR(__xludf.DUMMYFUNCTION("GOOGLETRANSLATE(B63, ""en"", ""my"")"),"အမေြာက်တပ်စု")</f>
        <v>အမေြာက်တပ်စု</v>
      </c>
      <c r="J63" s="4" t="str">
        <f>IFERROR(__xludf.DUMMYFUNCTION("GOOGLETRANSLATE(B63, ""en"", ""sw"")"),"Betri.")</f>
        <v>Betri.</v>
      </c>
      <c r="K63" s="4" t="str">
        <f>IFERROR(__xludf.DUMMYFUNCTION("GOOGLETRANSLATE(B63, ""en"", ""th"")"),"แบตเตอรี่")</f>
        <v>แบตเตอรี่</v>
      </c>
      <c r="L63" s="4" t="str">
        <f>IFERROR(__xludf.DUMMYFUNCTION("GOOGLETRANSLATE(B63, ""en"", ""si"")"),"බැටරි")</f>
        <v>බැටරි</v>
      </c>
      <c r="M63" s="4" t="str">
        <f>IFERROR(__xludf.DUMMYFUNCTION("GOOGLETRANSLATE(B63, ""en"", ""vi"")"),"Ắc quy")</f>
        <v>Ắc quy</v>
      </c>
      <c r="N63" s="4" t="str">
        <f>IFERROR(__xludf.DUMMYFUNCTION("GOOGLETRANSLATE(B63, ""en"", ""ne"")"),"ब्याट्री")</f>
        <v>ब्याट्री</v>
      </c>
      <c r="O63" s="4" t="str">
        <f>IFERROR(__xludf.DUMMYFUNCTION("GOOGLETRANSLATE(B63, ""en"", ""de"")"),"Batterie")</f>
        <v>Batterie</v>
      </c>
      <c r="P63" s="4" t="str">
        <f>IFERROR(__xludf.DUMMYFUNCTION("GOOGLETRANSLATE(B63, ""en"", ""he"")"),"סוֹלְלָה")</f>
        <v>סוֹלְלָה</v>
      </c>
      <c r="Q63" s="4" t="str">
        <f>IFERROR(__xludf.DUMMYFUNCTION("GOOGLETRANSLATE(B63, ""en"", ""cs"")"),"baterie")</f>
        <v>baterie</v>
      </c>
      <c r="R63" s="4" t="str">
        <f>IFERROR(__xludf.DUMMYFUNCTION("GOOGLETRANSLATE(B63, ""en"", ""it"")"),"Batteria")</f>
        <v>Batteria</v>
      </c>
      <c r="S63" s="4" t="str">
        <f>IFERROR(__xludf.DUMMYFUNCTION("GOOGLETRANSLATE(B63, ""en"", ""el"")"),"Μπαταρία")</f>
        <v>Μπαταρία</v>
      </c>
    </row>
    <row r="64" ht="15.75" customHeight="1">
      <c r="A64" s="4" t="s">
        <v>141</v>
      </c>
      <c r="B64" s="4" t="s">
        <v>142</v>
      </c>
      <c r="C64" s="4" t="str">
        <f>IFERROR(__xludf.DUMMYFUNCTION("GOOGLETRANSLATE(B64, ""en"", ""es"")"),"Haz que la barra de notificación desordenada de nuevo vuelve a")</f>
        <v>Haz que la barra de notificación desordenada de nuevo vuelve a</v>
      </c>
      <c r="D64" s="4" t="str">
        <f>IFERROR(__xludf.DUMMYFUNCTION("GOOGLETRANSLATE(B64, ""en"", ""pt"")"),"Faça barra de notificação bagunçado novamente")</f>
        <v>Faça barra de notificação bagunçado novamente</v>
      </c>
      <c r="E64" s="4" t="str">
        <f>IFERROR(__xludf.DUMMYFUNCTION("GOOGLETRANSLATE(B64, ""en"", ""ar"")"),"جعل شريط الإعلام فوضوي طازجة مرة أخرى")</f>
        <v>جعل شريط الإعلام فوضوي طازجة مرة أخرى</v>
      </c>
      <c r="F64" s="4" t="str">
        <f>IFERROR(__xludf.DUMMYFUNCTION("GOOGLETRANSLATE(B64, ""en"", ""km"")"),"ធ្វើឱ្យរបារជូនដំណឹងរញ៉េរញ៉ៃស្រស់ម្តងទៀត")</f>
        <v>ធ្វើឱ្យរបារជូនដំណឹងរញ៉េរញ៉ៃស្រស់ម្តងទៀត</v>
      </c>
      <c r="G64" s="4" t="str">
        <f>IFERROR(__xludf.DUMMYFUNCTION("GOOGLETRANSLATE(B64, ""en"", ""fr"")"),"Faire une barre de notification désordonnée à nouveau")</f>
        <v>Faire une barre de notification désordonnée à nouveau</v>
      </c>
      <c r="H64" s="4" t="str">
        <f>IFERROR(__xludf.DUMMYFUNCTION("GOOGLETRANSLATE(B64, ""en"", ""ro"")"),"Faceți o bară de notificare proaspătă din nou")</f>
        <v>Faceți o bară de notificare proaspătă din nou</v>
      </c>
      <c r="I64" s="4" t="str">
        <f>IFERROR(__xludf.DUMMYFUNCTION("GOOGLETRANSLATE(B64, ""en"", ""my"")"),"နောက်တဖန်ရှုပ်ထွေးသောအသိပေးချက်ဘားကိုလတ်ဆတ်ပါစေ")</f>
        <v>နောက်တဖန်ရှုပ်ထွေးသောအသိပေးချက်ဘားကိုလတ်ဆတ်ပါစေ</v>
      </c>
      <c r="J64" s="4" t="str">
        <f>IFERROR(__xludf.DUMMYFUNCTION("GOOGLETRANSLATE(B64, ""en"", ""sw"")"),"Fanya bar ya arifa ya messy safi tena")</f>
        <v>Fanya bar ya arifa ya messy safi tena</v>
      </c>
      <c r="K64" s="4" t="str">
        <f>IFERROR(__xludf.DUMMYFUNCTION("GOOGLETRANSLATE(B64, ""en"", ""th"")"),"ทำให้แถบการแจ้งเตือนยุ่งอีกครั้ง")</f>
        <v>ทำให้แถบการแจ้งเตือนยุ่งอีกครั้ง</v>
      </c>
      <c r="L64" s="4" t="str">
        <f>IFERROR(__xludf.DUMMYFUNCTION("GOOGLETRANSLATE(B64, ""en"", ""si"")"),"අවුල් සහගත දැනුම්දීම් තීරුවක් නැවත නැවුම් කරන්න")</f>
        <v>අවුල් සහගත දැනුම්දීම් තීරුවක් නැවත නැවුම් කරන්න</v>
      </c>
      <c r="M64" s="4" t="str">
        <f>IFERROR(__xludf.DUMMYFUNCTION("GOOGLETRANSLATE(B64, ""en"", ""vi"")"),"Làm cho thanh thông báo lộn xộn tươi một lần nữa")</f>
        <v>Làm cho thanh thông báo lộn xộn tươi một lần nữa</v>
      </c>
      <c r="N64" s="4" t="str">
        <f>IFERROR(__xludf.DUMMYFUNCTION("GOOGLETRANSLATE(B64, ""en"", ""ne"")"),"मेस्सी सूचना पट्टी फेरि ताजा बनाउनुहोस्")</f>
        <v>मेस्सी सूचना पट्टी फेरि ताजा बनाउनुहोस्</v>
      </c>
      <c r="O64" s="4" t="str">
        <f>IFERROR(__xludf.DUMMYFUNCTION("GOOGLETRANSLATE(B64, ""en"", ""de"")"),"Machen Sie unordentliche Benachrichtigungsstange erneut frisch")</f>
        <v>Machen Sie unordentliche Benachrichtigungsstange erneut frisch</v>
      </c>
      <c r="P64" s="4" t="str">
        <f>IFERROR(__xludf.DUMMYFUNCTION("GOOGLETRANSLATE(B64, ""en"", ""he"")"),"הפוך הודעה מסדרית שובר שוב")</f>
        <v>הפוך הודעה מסדרית שובר שוב</v>
      </c>
      <c r="Q64" s="4" t="str">
        <f>IFERROR(__xludf.DUMMYFUNCTION("GOOGLETRANSLATE(B64, ""en"", ""cs"")"),"Udělejte chaotický oznamovací panel čerstvý")</f>
        <v>Udělejte chaotický oznamovací panel čerstvý</v>
      </c>
      <c r="R64" s="4" t="str">
        <f>IFERROR(__xludf.DUMMYFUNCTION("GOOGLETRANSLATE(B64, ""en"", ""it"")"),"Fai di nuovo la barra di notifica disordinata di nuovo")</f>
        <v>Fai di nuovo la barra di notifica disordinata di nuovo</v>
      </c>
      <c r="S64" s="4" t="str">
        <f>IFERROR(__xludf.DUMMYFUNCTION("GOOGLETRANSLATE(B64, ""en"", ""el"")"),"Κάνετε ξανά τη μπάρα ειδοποίησης")</f>
        <v>Κάνετε ξανά τη μπάρα ειδοποίησης</v>
      </c>
    </row>
    <row r="65" ht="15.75" customHeight="1">
      <c r="A65" s="4" t="s">
        <v>143</v>
      </c>
      <c r="B65" s="4" t="s">
        <v>144</v>
      </c>
      <c r="C65" s="4" t="str">
        <f>IFERROR(__xludf.DUMMYFUNCTION("GOOGLETRANSLATE(B65, ""en"", ""es"")"),"Aplicaciones de usuario")</f>
        <v>Aplicaciones de usuario</v>
      </c>
      <c r="D65" s="4" t="str">
        <f>IFERROR(__xludf.DUMMYFUNCTION("GOOGLETRANSLATE(B65, ""en"", ""pt"")"),"Aplicativos do usuário.")</f>
        <v>Aplicativos do usuário.</v>
      </c>
      <c r="E65" s="4" t="str">
        <f>IFERROR(__xludf.DUMMYFUNCTION("GOOGLETRANSLATE(B65, ""en"", ""ar"")"),"تطبيقات المستخدم")</f>
        <v>تطبيقات المستخدم</v>
      </c>
      <c r="F65" s="4" t="str">
        <f>IFERROR(__xludf.DUMMYFUNCTION("GOOGLETRANSLATE(B65, ""en"", ""km"")"),"កម្មវិធីអ្នកប្រើប្រាស់")</f>
        <v>កម្មវិធីអ្នកប្រើប្រាស់</v>
      </c>
      <c r="G65" s="4" t="str">
        <f>IFERROR(__xludf.DUMMYFUNCTION("GOOGLETRANSLATE(B65, ""en"", ""fr"")"),"Applications utilisateur")</f>
        <v>Applications utilisateur</v>
      </c>
      <c r="H65" s="4" t="str">
        <f>IFERROR(__xludf.DUMMYFUNCTION("GOOGLETRANSLATE(B65, ""en"", ""ro"")"),"Aplicațiile utilizatorului")</f>
        <v>Aplicațiile utilizatorului</v>
      </c>
      <c r="I65" s="4" t="str">
        <f>IFERROR(__xludf.DUMMYFUNCTION("GOOGLETRANSLATE(B65, ""en"", ""my"")"),"အသုံးပြုသူအက်ပ်များ")</f>
        <v>အသုံးပြုသူအက်ပ်များ</v>
      </c>
      <c r="J65" s="4" t="str">
        <f>IFERROR(__xludf.DUMMYFUNCTION("GOOGLETRANSLATE(B65, ""en"", ""sw"")"),"Programu za mtumiaji")</f>
        <v>Programu za mtumiaji</v>
      </c>
      <c r="K65" s="4" t="str">
        <f>IFERROR(__xludf.DUMMYFUNCTION("GOOGLETRANSLATE(B65, ""en"", ""th"")"),"แอพผู้ใช้")</f>
        <v>แอพผู้ใช้</v>
      </c>
      <c r="L65" s="4" t="str">
        <f>IFERROR(__xludf.DUMMYFUNCTION("GOOGLETRANSLATE(B65, ""en"", ""si"")"),"පරිශීලක යෙදුම්")</f>
        <v>පරිශීලක යෙදුම්</v>
      </c>
      <c r="M65" s="4" t="str">
        <f>IFERROR(__xludf.DUMMYFUNCTION("GOOGLETRANSLATE(B65, ""en"", ""vi"")"),"Ứng dụng người dùng")</f>
        <v>Ứng dụng người dùng</v>
      </c>
      <c r="N65" s="4" t="str">
        <f>IFERROR(__xludf.DUMMYFUNCTION("GOOGLETRANSLATE(B65, ""en"", ""ne"")"),"प्रयोगकर्ता अनुप्रयोगहरू")</f>
        <v>प्रयोगकर्ता अनुप्रयोगहरू</v>
      </c>
      <c r="O65" s="4" t="str">
        <f>IFERROR(__xludf.DUMMYFUNCTION("GOOGLETRANSLATE(B65, ""en"", ""de"")"),"Benutzer-Apps.")</f>
        <v>Benutzer-Apps.</v>
      </c>
      <c r="P65" s="4" t="str">
        <f>IFERROR(__xludf.DUMMYFUNCTION("GOOGLETRANSLATE(B65, ""en"", ""he"")"),"יישומי משתמש")</f>
        <v>יישומי משתמש</v>
      </c>
      <c r="Q65" s="4" t="str">
        <f>IFERROR(__xludf.DUMMYFUNCTION("GOOGLETRANSLATE(B65, ""en"", ""cs"")"),"Uživatelské aplikace")</f>
        <v>Uživatelské aplikace</v>
      </c>
      <c r="R65" s="4" t="str">
        <f>IFERROR(__xludf.DUMMYFUNCTION("GOOGLETRANSLATE(B65, ""en"", ""it"")"),"App utente.")</f>
        <v>App utente.</v>
      </c>
      <c r="S65" s="4" t="str">
        <f>IFERROR(__xludf.DUMMYFUNCTION("GOOGLETRANSLATE(B65, ""en"", ""el"")"),"Εφαρμογές χρήστη")</f>
        <v>Εφαρμογές χρήστη</v>
      </c>
    </row>
    <row r="66" ht="15.75" customHeight="1">
      <c r="A66" s="4" t="s">
        <v>145</v>
      </c>
      <c r="B66" s="4" t="s">
        <v>146</v>
      </c>
      <c r="C66" s="4" t="str">
        <f>IFERROR(__xludf.DUMMYFUNCTION("GOOGLETRANSLATE(B66, ""en"", ""es"")"),"Desinstalar")</f>
        <v>Desinstalar</v>
      </c>
      <c r="D66" s="4" t="str">
        <f>IFERROR(__xludf.DUMMYFUNCTION("GOOGLETRANSLATE(B66, ""en"", ""pt"")"),"Desinstalar")</f>
        <v>Desinstalar</v>
      </c>
      <c r="E66" s="4" t="str">
        <f>IFERROR(__xludf.DUMMYFUNCTION("GOOGLETRANSLATE(B66, ""en"", ""ar"")"),"الغاء التثبيت")</f>
        <v>الغاء التثبيت</v>
      </c>
      <c r="F66" s="4" t="str">
        <f>IFERROR(__xludf.DUMMYFUNCTION("GOOGLETRANSLATE(B66, ""en"", ""km"")"),"លុប")</f>
        <v>លុប</v>
      </c>
      <c r="G66" s="4" t="str">
        <f>IFERROR(__xludf.DUMMYFUNCTION("GOOGLETRANSLATE(B66, ""en"", ""fr"")"),"Désinstaller")</f>
        <v>Désinstaller</v>
      </c>
      <c r="H66" s="4" t="str">
        <f>IFERROR(__xludf.DUMMYFUNCTION("GOOGLETRANSLATE(B66, ""en"", ""ro"")"),"Dezinstalați.")</f>
        <v>Dezinstalați.</v>
      </c>
      <c r="I66" s="4" t="str">
        <f>IFERROR(__xludf.DUMMYFUNCTION("GOOGLETRANSLATE(B66, ""en"", ""my"")"),"ခဲွခြားမ")</f>
        <v>ခဲွခြားမ</v>
      </c>
      <c r="J66" s="4" t="str">
        <f>IFERROR(__xludf.DUMMYFUNCTION("GOOGLETRANSLATE(B66, ""en"", ""sw"")"),"Futa")</f>
        <v>Futa</v>
      </c>
      <c r="K66" s="4" t="str">
        <f>IFERROR(__xludf.DUMMYFUNCTION("GOOGLETRANSLATE(B66, ""en"", ""th"")"),"ถอนการติดตั้ง")</f>
        <v>ถอนการติดตั้ง</v>
      </c>
      <c r="L66" s="4" t="str">
        <f>IFERROR(__xludf.DUMMYFUNCTION("GOOGLETRANSLATE(B66, ""en"", ""si"")"),"අස්ථාපනය කරන්න")</f>
        <v>අස්ථාපනය කරන්න</v>
      </c>
      <c r="M66" s="4" t="str">
        <f>IFERROR(__xludf.DUMMYFUNCTION("GOOGLETRANSLATE(B66, ""en"", ""vi"")"),"Gỡ cài đặt.")</f>
        <v>Gỡ cài đặt.</v>
      </c>
      <c r="N66" s="4" t="str">
        <f>IFERROR(__xludf.DUMMYFUNCTION("GOOGLETRANSLATE(B66, ""en"", ""ne"")"),"विना चिन्ह")</f>
        <v>विना चिन्ह</v>
      </c>
      <c r="O66" s="4" t="str">
        <f>IFERROR(__xludf.DUMMYFUNCTION("GOOGLETRANSLATE(B66, ""en"", ""de"")"),"Deinstallieren")</f>
        <v>Deinstallieren</v>
      </c>
      <c r="P66" s="4" t="str">
        <f>IFERROR(__xludf.DUMMYFUNCTION("GOOGLETRANSLATE(B66, ""en"", ""he"")"),"הסר")</f>
        <v>הסר</v>
      </c>
      <c r="Q66" s="4" t="str">
        <f>IFERROR(__xludf.DUMMYFUNCTION("GOOGLETRANSLATE(B66, ""en"", ""cs"")"),"Odinstalovat")</f>
        <v>Odinstalovat</v>
      </c>
      <c r="R66" s="4" t="str">
        <f>IFERROR(__xludf.DUMMYFUNCTION("GOOGLETRANSLATE(B66, ""en"", ""it"")"),"Disinstallare")</f>
        <v>Disinstallare</v>
      </c>
      <c r="S66" s="4" t="str">
        <f>IFERROR(__xludf.DUMMYFUNCTION("GOOGLETRANSLATE(B66, ""en"", ""el"")"),"Απεγκαταστήστε")</f>
        <v>Απεγκαταστήστε</v>
      </c>
    </row>
    <row r="67" ht="15.75" customHeight="1">
      <c r="A67" s="4" t="s">
        <v>147</v>
      </c>
      <c r="B67" s="4" t="s">
        <v>148</v>
      </c>
      <c r="C67" s="4" t="str">
        <f>IFERROR(__xludf.DUMMYFUNCTION("GOOGLETRANSLATE(B67, ""en"", ""es"")"),"Esta aplicación puede acceder a su posición exacta y es un riesgo para su privacidad.")</f>
        <v>Esta aplicación puede acceder a su posición exacta y es un riesgo para su privacidad.</v>
      </c>
      <c r="D67" s="4" t="str">
        <f>IFERROR(__xludf.DUMMYFUNCTION("GOOGLETRANSLATE(B67, ""en"", ""pt"")"),"Esta aplicação pode acessar sua posição exata e é um risco para sua privacidade.")</f>
        <v>Esta aplicação pode acessar sua posição exata e é um risco para sua privacidade.</v>
      </c>
      <c r="E67" s="4" t="str">
        <f>IFERROR(__xludf.DUMMYFUNCTION("GOOGLETRANSLATE(B67, ""en"", ""ar"")"),"يمكن لهذا التطبيق الوصول إلى موضعه بالضبط وهو خطر خصوصيتك.")</f>
        <v>يمكن لهذا التطبيق الوصول إلى موضعه بالضبط وهو خطر خصوصيتك.</v>
      </c>
      <c r="F67" s="4" t="str">
        <f>IFERROR(__xludf.DUMMYFUNCTION("GOOGLETRANSLATE(B67, ""en"", ""km"")"),"កម្មវិធីនេះអាចទទួលបានទីតាំងពិតប្រាកដរបស់វាហើយជាហានិភ័យសម្រាប់ភាពឯកជនរបស់អ្នក។")</f>
        <v>កម្មវិធីនេះអាចទទួលបានទីតាំងពិតប្រាកដរបស់វាហើយជាហានិភ័យសម្រាប់ភាពឯកជនរបស់អ្នក។</v>
      </c>
      <c r="G67" s="4" t="str">
        <f>IFERROR(__xludf.DUMMYFUNCTION("GOOGLETRANSLATE(B67, ""en"", ""fr"")"),"Cette application peut accéder à sa position exacte et est un risque pour votre vie privée.")</f>
        <v>Cette application peut accéder à sa position exacte et est un risque pour votre vie privée.</v>
      </c>
      <c r="H67" s="4" t="str">
        <f>IFERROR(__xludf.DUMMYFUNCTION("GOOGLETRANSLATE(B67, ""en"", ""ro"")"),"Această aplicație poate accesa poziția sa exactă și este un risc pentru confidențialitatea dvs.")</f>
        <v>Această aplicație poate accesa poziția sa exactă și este un risc pentru confidențialitatea dvs.</v>
      </c>
      <c r="I67" s="4" t="str">
        <f>IFERROR(__xludf.DUMMYFUNCTION("GOOGLETRANSLATE(B67, ""en"", ""my"")"),"ဤလျှောက်လွှာသည်၎င်း၏အနေအထားကိုမှန်ကန်စွာရယူနိုင်ပြီးသင်၏ privacy အတွက်အန္တရာယ်ဖြစ်သည်။")</f>
        <v>ဤလျှောက်လွှာသည်၎င်း၏အနေအထားကိုမှန်ကန်စွာရယူနိုင်ပြီးသင်၏ privacy အတွက်အန္တရာယ်ဖြစ်သည်။</v>
      </c>
      <c r="J67" s="4" t="str">
        <f>IFERROR(__xludf.DUMMYFUNCTION("GOOGLETRANSLATE(B67, ""en"", ""sw"")"),"Programu hii inaweza kufikia nafasi yake halisi na ni hatari ya faragha yako.")</f>
        <v>Programu hii inaweza kufikia nafasi yake halisi na ni hatari ya faragha yako.</v>
      </c>
      <c r="K67" s="4" t="str">
        <f>IFERROR(__xludf.DUMMYFUNCTION("GOOGLETRANSLATE(B67, ""en"", ""th"")"),"แอปพลิเคชั่นนี้สามารถเข้าถึงตำแหน่งที่แน่นอนและมีความเสี่ยงต่อความเป็นส่วนตัวของคุณ")</f>
        <v>แอปพลิเคชั่นนี้สามารถเข้าถึงตำแหน่งที่แน่นอนและมีความเสี่ยงต่อความเป็นส่วนตัวของคุณ</v>
      </c>
      <c r="L67" s="4" t="str">
        <f>IFERROR(__xludf.DUMMYFUNCTION("GOOGLETRANSLATE(B67, ""en"", ""si"")"),"මෙම යෙදුමට එහි නිශ්චිත තනතුරට ප්රවේශ විය හැකි අතර එය ඔබගේ පෞද්ගලිකත්වයට අවදානමක් ඇත.")</f>
        <v>මෙම යෙදුමට එහි නිශ්චිත තනතුරට ප්රවේශ විය හැකි අතර එය ඔබගේ පෞද්ගලිකත්වයට අවදානමක් ඇත.</v>
      </c>
      <c r="M67" s="4" t="str">
        <f>IFERROR(__xludf.DUMMYFUNCTION("GOOGLETRANSLATE(B67, ""en"", ""vi"")"),"Ứng dụng này có thể truy cập vào vị trí chính xác của nó và là một rủi ro cho sự riêng tư của bạn.")</f>
        <v>Ứng dụng này có thể truy cập vào vị trí chính xác của nó và là một rủi ro cho sự riêng tư của bạn.</v>
      </c>
      <c r="N67" s="4" t="str">
        <f>IFERROR(__xludf.DUMMYFUNCTION("GOOGLETRANSLATE(B67, ""en"", ""ne"")"),"यस अनुप्रयोगले आफ्नो गोपनीयताका लागि जोखिम हो र तपाईंको गोपनीयताका लागि जोखिम हो।")</f>
        <v>यस अनुप्रयोगले आफ्नो गोपनीयताका लागि जोखिम हो र तपाईंको गोपनीयताका लागि जोखिम हो।</v>
      </c>
      <c r="O67" s="4" t="str">
        <f>IFERROR(__xludf.DUMMYFUNCTION("GOOGLETRANSLATE(B67, ""en"", ""de"")"),"Diese Anwendung kann auf seine genaue Position zugreifen und ist ein Risiko für Ihre Privatsphäre.")</f>
        <v>Diese Anwendung kann auf seine genaue Position zugreifen und ist ein Risiko für Ihre Privatsphäre.</v>
      </c>
      <c r="P67" s="4" t="str">
        <f>IFERROR(__xludf.DUMMYFUNCTION("GOOGLETRANSLATE(B67, ""en"", ""he"")"),"יישום זה יכול לגשת למיקום המדויק שלה והוא סיכון לפרטיות שלך.")</f>
        <v>יישום זה יכול לגשת למיקום המדויק שלה והוא סיכון לפרטיות שלך.</v>
      </c>
      <c r="Q67" s="4" t="str">
        <f>IFERROR(__xludf.DUMMYFUNCTION("GOOGLETRANSLATE(B67, ""en"", ""cs"")"),"Tato aplikace může přistupovat k přesné pozici a je rizikem pro vaše soukromí.")</f>
        <v>Tato aplikace může přistupovat k přesné pozici a je rizikem pro vaše soukromí.</v>
      </c>
      <c r="R67" s="4" t="str">
        <f>IFERROR(__xludf.DUMMYFUNCTION("GOOGLETRANSLATE(B67, ""en"", ""it"")"),"Questa applicazione può accedere alla sua posizione esatta ed è un rischio per la tua privacy.")</f>
        <v>Questa applicazione può accedere alla sua posizione esatta ed è un rischio per la tua privacy.</v>
      </c>
      <c r="S67" s="4" t="str">
        <f>IFERROR(__xludf.DUMMYFUNCTION("GOOGLETRANSLATE(B67, ""en"", ""el"")"),"Αυτή η εφαρμογή μπορεί να έχει πρόσβαση στην ακριβή θέση του και αποτελεί κίνδυνο για το απόρρητό σας.")</f>
        <v>Αυτή η εφαρμογή μπορεί να έχει πρόσβαση στην ακριβή θέση του και αποτελεί κίνδυνο για το απόρρητό σας.</v>
      </c>
    </row>
    <row r="68" ht="15.75" customHeight="1">
      <c r="A68" s="4" t="s">
        <v>149</v>
      </c>
      <c r="B68" s="4" t="s">
        <v>150</v>
      </c>
      <c r="C68" s="4" t="str">
        <f>IFERROR(__xludf.DUMMYFUNCTION("GOOGLETRANSLATE(B68, ""en"", ""es"")"),"Célula añadida")</f>
        <v>Célula añadida</v>
      </c>
      <c r="D68" s="4" t="str">
        <f>IFERROR(__xludf.DUMMYFUNCTION("GOOGLETRANSLATE(B68, ""en"", ""pt"")"),"Célula adicionada")</f>
        <v>Célula adicionada</v>
      </c>
      <c r="E68" s="4" t="str">
        <f>IFERROR(__xludf.DUMMYFUNCTION("GOOGLETRANSLATE(B68, ""en"", ""ar"")"),"إضافة خلية")</f>
        <v>إضافة خلية</v>
      </c>
      <c r="F68" s="4" t="str">
        <f>IFERROR(__xludf.DUMMYFUNCTION("GOOGLETRANSLATE(B68, ""en"", ""km"")"),"ក្រឡាបន្ថែម")</f>
        <v>ក្រឡាបន្ថែម</v>
      </c>
      <c r="G68" s="4" t="str">
        <f>IFERROR(__xludf.DUMMYFUNCTION("GOOGLETRANSLATE(B68, ""en"", ""fr"")"),"Cellule ajoutée")</f>
        <v>Cellule ajoutée</v>
      </c>
      <c r="H68" s="4" t="str">
        <f>IFERROR(__xludf.DUMMYFUNCTION("GOOGLETRANSLATE(B68, ""en"", ""ro"")"),"Adăugată celulă")</f>
        <v>Adăugată celulă</v>
      </c>
      <c r="I68" s="4" t="str">
        <f>IFERROR(__xludf.DUMMYFUNCTION("GOOGLETRANSLATE(B68, ""en"", ""my"")"),"ဆဲလ်ထည့်သွင်း")</f>
        <v>ဆဲလ်ထည့်သွင်း</v>
      </c>
      <c r="J68" s="4" t="str">
        <f>IFERROR(__xludf.DUMMYFUNCTION("GOOGLETRANSLATE(B68, ""en"", ""sw"")"),"Aliongeza kiini.")</f>
        <v>Aliongeza kiini.</v>
      </c>
      <c r="K68" s="4" t="str">
        <f>IFERROR(__xludf.DUMMYFUNCTION("GOOGLETRANSLATE(B68, ""en"", ""th"")"),"เพิ่มเซลล์")</f>
        <v>เพิ่มเซลล์</v>
      </c>
      <c r="L68" s="4" t="str">
        <f>IFERROR(__xludf.DUMMYFUNCTION("GOOGLETRANSLATE(B68, ""en"", ""si"")"),"එකතු කරන ලද කොටුව")</f>
        <v>එකතු කරන ලද කොටුව</v>
      </c>
      <c r="M68" s="4" t="str">
        <f>IFERROR(__xludf.DUMMYFUNCTION("GOOGLETRANSLATE(B68, ""en"", ""vi"")"),"Thêm tế bào")</f>
        <v>Thêm tế bào</v>
      </c>
      <c r="N68" s="4" t="str">
        <f>IFERROR(__xludf.DUMMYFUNCTION("GOOGLETRANSLATE(B68, ""en"", ""ne"")"),"सेल थपियो")</f>
        <v>सेल थपियो</v>
      </c>
      <c r="O68" s="4" t="str">
        <f>IFERROR(__xludf.DUMMYFUNCTION("GOOGLETRANSLATE(B68, ""en"", ""de"")"),"Zelle hinzugefügt")</f>
        <v>Zelle hinzugefügt</v>
      </c>
      <c r="P68" s="4" t="str">
        <f>IFERROR(__xludf.DUMMYFUNCTION("GOOGLETRANSLATE(B68, ""en"", ""he"")"),"תא נוסף")</f>
        <v>תא נוסף</v>
      </c>
      <c r="Q68" s="4" t="str">
        <f>IFERROR(__xludf.DUMMYFUNCTION("GOOGLETRANSLATE(B68, ""en"", ""cs"")"),"Přidaná buňka")</f>
        <v>Přidaná buňka</v>
      </c>
      <c r="R68" s="4" t="str">
        <f>IFERROR(__xludf.DUMMYFUNCTION("GOOGLETRANSLATE(B68, ""en"", ""it"")"),"Ha aggiunto cella")</f>
        <v>Ha aggiunto cella</v>
      </c>
      <c r="S68" s="4" t="str">
        <f>IFERROR(__xludf.DUMMYFUNCTION("GOOGLETRANSLATE(B68, ""en"", ""el"")"),"Προστέθηκε κελί")</f>
        <v>Προστέθηκε κελί</v>
      </c>
    </row>
    <row r="69" ht="15.75" customHeight="1">
      <c r="A69" s="4" t="s">
        <v>151</v>
      </c>
      <c r="B69" s="4" t="s">
        <v>152</v>
      </c>
      <c r="C69" s="4" t="str">
        <f>IFERROR(__xludf.DUMMYFUNCTION("GOOGLETRANSLATE(B69, ""en"", ""es"")"),"Proteger los datos de privacidad y la propiedad.")</f>
        <v>Proteger los datos de privacidad y la propiedad.</v>
      </c>
      <c r="D69" s="4" t="str">
        <f>IFERROR(__xludf.DUMMYFUNCTION("GOOGLETRANSLATE(B69, ""en"", ""pt"")"),"Proteja os dados de privacidade e a propriedade")</f>
        <v>Proteja os dados de privacidade e a propriedade</v>
      </c>
      <c r="E69" s="4" t="str">
        <f>IFERROR(__xludf.DUMMYFUNCTION("GOOGLETRANSLATE(B69, ""en"", ""ar"")"),"حماية بيانات الخصوصية والعقار")</f>
        <v>حماية بيانات الخصوصية والعقار</v>
      </c>
      <c r="F69" s="4" t="str">
        <f>IFERROR(__xludf.DUMMYFUNCTION("GOOGLETRANSLATE(B69, ""en"", ""km"")"),"ការពារទិន្នន័យឯកជននិងទ្រព្យសម្បត្តិ")</f>
        <v>ការពារទិន្នន័យឯកជននិងទ្រព្យសម្បត្តិ</v>
      </c>
      <c r="G69" s="4" t="str">
        <f>IFERROR(__xludf.DUMMYFUNCTION("GOOGLETRANSLATE(B69, ""en"", ""fr"")"),"Protégez les données de confidentialité et la propriété")</f>
        <v>Protégez les données de confidentialité et la propriété</v>
      </c>
      <c r="H69" s="4" t="str">
        <f>IFERROR(__xludf.DUMMYFUNCTION("GOOGLETRANSLATE(B69, ""en"", ""ro"")"),"Protejați datele privind confidențialitatea și proprietatea")</f>
        <v>Protejați datele privind confidențialitatea și proprietatea</v>
      </c>
      <c r="I69" s="4" t="str">
        <f>IFERROR(__xludf.DUMMYFUNCTION("GOOGLETRANSLATE(B69, ""en"", ""my"")"),"Privacy Data နှင့်ပိုင်ဆိုင်မှုများကိုကာကွယ်ပါ")</f>
        <v>Privacy Data နှင့်ပိုင်ဆိုင်မှုများကိုကာကွယ်ပါ</v>
      </c>
      <c r="J69" s="4" t="str">
        <f>IFERROR(__xludf.DUMMYFUNCTION("GOOGLETRANSLATE(B69, ""en"", ""sw"")"),"Kulinda data ya faragha na mali")</f>
        <v>Kulinda data ya faragha na mali</v>
      </c>
      <c r="K69" s="4" t="str">
        <f>IFERROR(__xludf.DUMMYFUNCTION("GOOGLETRANSLATE(B69, ""en"", ""th"")"),"ปกป้องข้อมูลความเป็นส่วนตัวและทรัพย์สิน")</f>
        <v>ปกป้องข้อมูลความเป็นส่วนตัวและทรัพย์สิน</v>
      </c>
      <c r="L69" s="4" t="str">
        <f>IFERROR(__xludf.DUMMYFUNCTION("GOOGLETRANSLATE(B69, ""en"", ""si"")"),"රහස්යතා දත්ත සහ දේපල ආරක්ෂා කරන්න")</f>
        <v>රහස්යතා දත්ත සහ දේපල ආරක්ෂා කරන්න</v>
      </c>
      <c r="M69" s="4" t="str">
        <f>IFERROR(__xludf.DUMMYFUNCTION("GOOGLETRANSLATE(B69, ""en"", ""vi"")"),"Bảo vệ dữ liệu quyền riêng tư và tài sản")</f>
        <v>Bảo vệ dữ liệu quyền riêng tư và tài sản</v>
      </c>
      <c r="N69" s="4" t="str">
        <f>IFERROR(__xludf.DUMMYFUNCTION("GOOGLETRANSLATE(B69, ""en"", ""ne"")"),"गोपनीयता डाटा र सम्पत्तीको रक्षा गर्नुहोस्")</f>
        <v>गोपनीयता डाटा र सम्पत्तीको रक्षा गर्नुहोस्</v>
      </c>
      <c r="O69" s="4" t="str">
        <f>IFERROR(__xludf.DUMMYFUNCTION("GOOGLETRANSLATE(B69, ""en"", ""de"")"),"Schützen Sie die Datenschutzdaten und das Eigentum")</f>
        <v>Schützen Sie die Datenschutzdaten und das Eigentum</v>
      </c>
      <c r="P69" s="4" t="str">
        <f>IFERROR(__xludf.DUMMYFUNCTION("GOOGLETRANSLATE(B69, ""en"", ""he"")"),"הגן על נתוני הפרטיות ועל הנכס")</f>
        <v>הגן על נתוני הפרטיות ועל הנכס</v>
      </c>
      <c r="Q69" s="4" t="str">
        <f>IFERROR(__xludf.DUMMYFUNCTION("GOOGLETRANSLATE(B69, ""en"", ""cs"")"),"Chraňte data ochrany osobních údajů a majetek")</f>
        <v>Chraňte data ochrany osobních údajů a majetek</v>
      </c>
      <c r="R69" s="4" t="str">
        <f>IFERROR(__xludf.DUMMYFUNCTION("GOOGLETRANSLATE(B69, ""en"", ""it"")"),"Proteggi i dati sulla privacy e la proprietà")</f>
        <v>Proteggi i dati sulla privacy e la proprietà</v>
      </c>
      <c r="S69" s="4" t="str">
        <f>IFERROR(__xludf.DUMMYFUNCTION("GOOGLETRANSLATE(B69, ""en"", ""el"")"),"Προστατέψτε τα δεδομένα απορρήτου και το ακίνητο")</f>
        <v>Προστατέψτε τα δεδομένα απορρήτου και το ακίνητο</v>
      </c>
    </row>
    <row r="70" ht="15.75" customHeight="1">
      <c r="A70" s="4" t="s">
        <v>153</v>
      </c>
      <c r="B70" s="4" t="s">
        <v>154</v>
      </c>
      <c r="C70" s="4" t="str">
        <f>IFERROR(__xludf.DUMMYFUNCTION("GOOGLETRANSLATE(B70, ""en"", ""es"")"),"¡A salvo! Todos los riesgos se resuelven!")</f>
        <v>¡A salvo! Todos los riesgos se resuelven!</v>
      </c>
      <c r="D70" s="4" t="str">
        <f>IFERROR(__xludf.DUMMYFUNCTION("GOOGLETRANSLATE(B70, ""en"", ""pt"")"),"Seguro! Todos os riscos são resolvidos!")</f>
        <v>Seguro! Todos os riscos são resolvidos!</v>
      </c>
      <c r="E70" s="4" t="str">
        <f>IFERROR(__xludf.DUMMYFUNCTION("GOOGLETRANSLATE(B70, ""en"", ""ar"")"),"آمن! يتم حل جميع المخاطر!")</f>
        <v>آمن! يتم حل جميع المخاطر!</v>
      </c>
      <c r="F70" s="4" t="str">
        <f>IFERROR(__xludf.DUMMYFUNCTION("GOOGLETRANSLATE(B70, ""en"", ""km"")"),"សុវត្ថិភាព! ហានិភ័យទាំងអស់ត្រូវបានដោះស្រាយ!")</f>
        <v>សុវត្ថិភាព! ហានិភ័យទាំងអស់ត្រូវបានដោះស្រាយ!</v>
      </c>
      <c r="G70" s="4" t="str">
        <f>IFERROR(__xludf.DUMMYFUNCTION("GOOGLETRANSLATE(B70, ""en"", ""fr"")"),"En sécurité! Tous les risques sont résolus!")</f>
        <v>En sécurité! Tous les risques sont résolus!</v>
      </c>
      <c r="H70" s="4" t="str">
        <f>IFERROR(__xludf.DUMMYFUNCTION("GOOGLETRANSLATE(B70, ""en"", ""ro"")"),"Sigur! Toate riscurile sunt rezolvate!")</f>
        <v>Sigur! Toate riscurile sunt rezolvate!</v>
      </c>
      <c r="I70" s="4" t="str">
        <f>IFERROR(__xludf.DUMMYFUNCTION("GOOGLETRANSLATE(B70, ""en"", ""my"")"),"လုံခြုံမှု! အားလုံးအန္တရာယ်များကိုဖြေရှင်းနေကြသည်!")</f>
        <v>လုံခြုံမှု! အားလုံးအန္တရာယ်များကိုဖြေရှင်းနေကြသည်!</v>
      </c>
      <c r="J70" s="4" t="str">
        <f>IFERROR(__xludf.DUMMYFUNCTION("GOOGLETRANSLATE(B70, ""en"", ""sw"")"),"Salama! Hatari zote zinatatuliwa!")</f>
        <v>Salama! Hatari zote zinatatuliwa!</v>
      </c>
      <c r="K70" s="4" t="str">
        <f>IFERROR(__xludf.DUMMYFUNCTION("GOOGLETRANSLATE(B70, ""en"", ""th"")"),"ปลอดภัย! ความเสี่ยงทั้งหมดได้รับการแก้ไขแล้ว!")</f>
        <v>ปลอดภัย! ความเสี่ยงทั้งหมดได้รับการแก้ไขแล้ว!</v>
      </c>
      <c r="L70" s="4" t="str">
        <f>IFERROR(__xludf.DUMMYFUNCTION("GOOGLETRANSLATE(B70, ""en"", ""si"")"),"ආරක්ෂිතයි! සියලුම අවදානම් විසඳා ඇත!")</f>
        <v>ආරක්ෂිතයි! සියලුම අවදානම් විසඳා ඇත!</v>
      </c>
      <c r="M70" s="4" t="str">
        <f>IFERROR(__xludf.DUMMYFUNCTION("GOOGLETRANSLATE(B70, ""en"", ""vi"")"),"An toàn! Tất cả các rủi ro được giải quyết!")</f>
        <v>An toàn! Tất cả các rủi ro được giải quyết!</v>
      </c>
      <c r="N70" s="4" t="str">
        <f>IFERROR(__xludf.DUMMYFUNCTION("GOOGLETRANSLATE(B70, ""en"", ""ne"")"),"सुरक्षित! सबै जोखिमहरू समाधान हुन्छन्!")</f>
        <v>सुरक्षित! सबै जोखिमहरू समाधान हुन्छन्!</v>
      </c>
      <c r="O70" s="4" t="str">
        <f>IFERROR(__xludf.DUMMYFUNCTION("GOOGLETRANSLATE(B70, ""en"", ""de"")"),"Sicher! Alle Risiken sind gelöst!")</f>
        <v>Sicher! Alle Risiken sind gelöst!</v>
      </c>
      <c r="P70" s="4" t="str">
        <f>IFERROR(__xludf.DUMMYFUNCTION("GOOGLETRANSLATE(B70, ""en"", ""he"")"),"בטוח! כל הסיכונים נפתרים!")</f>
        <v>בטוח! כל הסיכונים נפתרים!</v>
      </c>
      <c r="Q70" s="4" t="str">
        <f>IFERROR(__xludf.DUMMYFUNCTION("GOOGLETRANSLATE(B70, ""en"", ""cs"")"),"Bezpečný! Všechna rizika jsou vyřešena!")</f>
        <v>Bezpečný! Všechna rizika jsou vyřešena!</v>
      </c>
      <c r="R70" s="4" t="str">
        <f>IFERROR(__xludf.DUMMYFUNCTION("GOOGLETRANSLATE(B70, ""en"", ""it"")"),"Sicuro! Tutti i rischi sono risolti!")</f>
        <v>Sicuro! Tutti i rischi sono risolti!</v>
      </c>
      <c r="S70" s="4" t="str">
        <f>IFERROR(__xludf.DUMMYFUNCTION("GOOGLETRANSLATE(B70, ""en"", ""el"")"),"Ασφαλής! Όλοι οι κίνδυνοι επιλύονται!")</f>
        <v>Ασφαλής! Όλοι οι κίνδυνοι επιλύονται!</v>
      </c>
    </row>
    <row r="71" ht="15.75" customHeight="1">
      <c r="A71" s="4" t="s">
        <v>155</v>
      </c>
      <c r="B71" s="4" t="s">
        <v>156</v>
      </c>
      <c r="C71" s="4" t="str">
        <f>IFERROR(__xludf.DUMMYFUNCTION("GOOGLETRANSLATE(B71, ""en"", ""es"")"),"No seleccionas archivo para limpiar")</f>
        <v>No seleccionas archivo para limpiar</v>
      </c>
      <c r="D71" s="4" t="str">
        <f>IFERROR(__xludf.DUMMYFUNCTION("GOOGLETRANSLATE(B71, ""en"", ""pt"")"),"Você não seleciona Arquivo para limpar")</f>
        <v>Você não seleciona Arquivo para limpar</v>
      </c>
      <c r="E71" s="4" t="str">
        <f>IFERROR(__xludf.DUMMYFUNCTION("GOOGLETRANSLATE(B71, ""en"", ""ar"")"),"أنت لا تحدد ملف لتنظيف")</f>
        <v>أنت لا تحدد ملف لتنظيف</v>
      </c>
      <c r="F71" s="4" t="str">
        <f>IFERROR(__xludf.DUMMYFUNCTION("GOOGLETRANSLATE(B71, ""en"", ""km"")"),"អ្នកមិនជ្រើសឯកសារដើម្បីសម្អាតទេ")</f>
        <v>អ្នកមិនជ្រើសឯកសារដើម្បីសម្អាតទេ</v>
      </c>
      <c r="G71" s="4" t="str">
        <f>IFERROR(__xludf.DUMMYFUNCTION("GOOGLETRANSLATE(B71, ""en"", ""fr"")"),"Vous ne sélectionnez pas le fichier à nettoyer")</f>
        <v>Vous ne sélectionnez pas le fichier à nettoyer</v>
      </c>
      <c r="H71" s="4" t="str">
        <f>IFERROR(__xludf.DUMMYFUNCTION("GOOGLETRANSLATE(B71, ""en"", ""ro"")"),"Nu selectați fișierul pentru a curăța")</f>
        <v>Nu selectați fișierul pentru a curăța</v>
      </c>
      <c r="I71" s="4" t="str">
        <f>IFERROR(__xludf.DUMMYFUNCTION("GOOGLETRANSLATE(B71, ""en"", ""my"")"),"သငျသညျသန့်ရှင်းဖို့ဖိုင်ကိုရွေးချယ်ကြဘူး")</f>
        <v>သငျသညျသန့်ရှင်းဖို့ဖိုင်ကိုရွေးချယ်ကြဘူး</v>
      </c>
      <c r="J71" s="4" t="str">
        <f>IFERROR(__xludf.DUMMYFUNCTION("GOOGLETRANSLATE(B71, ""en"", ""sw"")"),"Huna kuchagua faili ya kusafisha")</f>
        <v>Huna kuchagua faili ya kusafisha</v>
      </c>
      <c r="K71" s="4" t="str">
        <f>IFERROR(__xludf.DUMMYFUNCTION("GOOGLETRANSLATE(B71, ""en"", ""th"")"),"คุณไม่ได้เลือกไฟล์ที่จะทำความสะอาด")</f>
        <v>คุณไม่ได้เลือกไฟล์ที่จะทำความสะอาด</v>
      </c>
      <c r="L71" s="4" t="str">
        <f>IFERROR(__xludf.DUMMYFUNCTION("GOOGLETRANSLATE(B71, ""en"", ""si"")"),"පිරිසිදු කිරීම සඳහා ඔබ ගොනුව තෝරා නොගනී")</f>
        <v>පිරිසිදු කිරීම සඳහා ඔබ ගොනුව තෝරා නොගනී</v>
      </c>
      <c r="M71" s="4" t="str">
        <f>IFERROR(__xludf.DUMMYFUNCTION("GOOGLETRANSLATE(B71, ""en"", ""vi"")"),"Bạn không chọn tập tin để làm sạch")</f>
        <v>Bạn không chọn tập tin để làm sạch</v>
      </c>
      <c r="N71" s="4" t="str">
        <f>IFERROR(__xludf.DUMMYFUNCTION("GOOGLETRANSLATE(B71, ""en"", ""ne"")"),"तपाईं सफा गर्न फाइल चयन गर्नुहुन्न")</f>
        <v>तपाईं सफा गर्न फाइल चयन गर्नुहुन्न</v>
      </c>
      <c r="O71" s="4" t="str">
        <f>IFERROR(__xludf.DUMMYFUNCTION("GOOGLETRANSLATE(B71, ""en"", ""de"")"),"Sie wählen keine Datei zum Reinigen aus")</f>
        <v>Sie wählen keine Datei zum Reinigen aus</v>
      </c>
      <c r="P71" s="4" t="str">
        <f>IFERROR(__xludf.DUMMYFUNCTION("GOOGLETRANSLATE(B71, ""en"", ""he"")"),"לא תבחר קובץ לנקות")</f>
        <v>לא תבחר קובץ לנקות</v>
      </c>
      <c r="Q71" s="4" t="str">
        <f>IFERROR(__xludf.DUMMYFUNCTION("GOOGLETRANSLATE(B71, ""en"", ""cs"")"),"Nevybíráte soubor")</f>
        <v>Nevybíráte soubor</v>
      </c>
      <c r="R71" s="4" t="str">
        <f>IFERROR(__xludf.DUMMYFUNCTION("GOOGLETRANSLATE(B71, ""en"", ""it"")"),"Non si seleziona il file da pulire")</f>
        <v>Non si seleziona il file da pulire</v>
      </c>
      <c r="S71" s="4" t="str">
        <f>IFERROR(__xludf.DUMMYFUNCTION("GOOGLETRANSLATE(B71, ""en"", ""el"")"),"Δεν επιλέγετε το αρχείο για να καθαρίσετε")</f>
        <v>Δεν επιλέγετε το αρχείο για να καθαρίσετε</v>
      </c>
    </row>
    <row r="72" ht="15.75" customHeight="1">
      <c r="A72" s="4" t="s">
        <v>157</v>
      </c>
      <c r="B72" s="4" t="s">
        <v>158</v>
      </c>
      <c r="C72" s="4" t="str">
        <f>IFERROR(__xludf.DUMMYFUNCTION("GOOGLETRANSLATE(B72, ""en"", ""es"")"),"Tratar")</f>
        <v>Tratar</v>
      </c>
      <c r="D72" s="4" t="str">
        <f>IFERROR(__xludf.DUMMYFUNCTION("GOOGLETRANSLATE(B72, ""en"", ""pt"")"),"Experimente")</f>
        <v>Experimente</v>
      </c>
      <c r="E72" s="4" t="str">
        <f>IFERROR(__xludf.DUMMYFUNCTION("GOOGLETRANSLATE(B72, ""en"", ""ar"")"),"محاولة")</f>
        <v>محاولة</v>
      </c>
      <c r="F72" s="4" t="str">
        <f>IFERROR(__xludf.DUMMYFUNCTION("GOOGLETRANSLATE(B72, ""en"", ""km"")"),"ការរបឹងរេបង")</f>
        <v>ការរបឹងរេបង</v>
      </c>
      <c r="G72" s="4" t="str">
        <f>IFERROR(__xludf.DUMMYFUNCTION("GOOGLETRANSLATE(B72, ""en"", ""fr"")"),"Essayer")</f>
        <v>Essayer</v>
      </c>
      <c r="H72" s="4" t="str">
        <f>IFERROR(__xludf.DUMMYFUNCTION("GOOGLETRANSLATE(B72, ""en"", ""ro"")"),"Încerca")</f>
        <v>Încerca</v>
      </c>
      <c r="I72" s="4" t="str">
        <f>IFERROR(__xludf.DUMMYFUNCTION("GOOGLETRANSLATE(B72, ""en"", ""my"")"),"ကြိုးစား")</f>
        <v>ကြိုးစား</v>
      </c>
      <c r="J72" s="4" t="str">
        <f>IFERROR(__xludf.DUMMYFUNCTION("GOOGLETRANSLATE(B72, ""en"", ""sw"")"),"Jaribu")</f>
        <v>Jaribu</v>
      </c>
      <c r="K72" s="4" t="str">
        <f>IFERROR(__xludf.DUMMYFUNCTION("GOOGLETRANSLATE(B72, ""en"", ""th"")"),"ลอง")</f>
        <v>ลอง</v>
      </c>
      <c r="L72" s="4" t="str">
        <f>IFERROR(__xludf.DUMMYFUNCTION("GOOGLETRANSLATE(B72, ""en"", ""si"")"),"උත්සාහ කරන්න")</f>
        <v>උත්සාහ කරන්න</v>
      </c>
      <c r="M72" s="4" t="str">
        <f>IFERROR(__xludf.DUMMYFUNCTION("GOOGLETRANSLATE(B72, ""en"", ""vi"")"),"Cố gắng")</f>
        <v>Cố gắng</v>
      </c>
      <c r="N72" s="4" t="str">
        <f>IFERROR(__xludf.DUMMYFUNCTION("GOOGLETRANSLATE(B72, ""en"", ""ne"")"),"कोशिश")</f>
        <v>कोशिश</v>
      </c>
      <c r="O72" s="4" t="str">
        <f>IFERROR(__xludf.DUMMYFUNCTION("GOOGLETRANSLATE(B72, ""en"", ""de"")"),"Versuchen")</f>
        <v>Versuchen</v>
      </c>
      <c r="P72" s="4" t="str">
        <f>IFERROR(__xludf.DUMMYFUNCTION("GOOGLETRANSLATE(B72, ""en"", ""he"")"),"לְנַסוֹת")</f>
        <v>לְנַסוֹת</v>
      </c>
      <c r="Q72" s="4" t="str">
        <f>IFERROR(__xludf.DUMMYFUNCTION("GOOGLETRANSLATE(B72, ""en"", ""cs"")"),"Snaž se")</f>
        <v>Snaž se</v>
      </c>
      <c r="R72" s="4" t="str">
        <f>IFERROR(__xludf.DUMMYFUNCTION("GOOGLETRANSLATE(B72, ""en"", ""it"")"),"Provare")</f>
        <v>Provare</v>
      </c>
      <c r="S72" s="4" t="str">
        <f>IFERROR(__xludf.DUMMYFUNCTION("GOOGLETRANSLATE(B72, ""en"", ""el"")"),"Προσπαθήστε")</f>
        <v>Προσπαθήστε</v>
      </c>
    </row>
    <row r="73" ht="15.75" customHeight="1">
      <c r="A73" s="4" t="s">
        <v>159</v>
      </c>
      <c r="B73" s="4" t="s">
        <v>160</v>
      </c>
      <c r="C73" s="4" t="str">
        <f>IFERROR(__xludf.DUMMYFUNCTION("GOOGLETRANSLATE(B73, ""en"", ""es"")"),"Apps")</f>
        <v>Apps</v>
      </c>
      <c r="D73" s="4" t="str">
        <f>IFERROR(__xludf.DUMMYFUNCTION("GOOGLETRANSLATE(B73, ""en"", ""pt"")"),"Aplicativos")</f>
        <v>Aplicativos</v>
      </c>
      <c r="E73" s="4" t="str">
        <f>IFERROR(__xludf.DUMMYFUNCTION("GOOGLETRANSLATE(B73, ""en"", ""ar"")"),"تطبيقات")</f>
        <v>تطبيقات</v>
      </c>
      <c r="F73" s="4" t="str">
        <f>IFERROR(__xludf.DUMMYFUNCTION("GOOGLETRANSLATE(B73, ""en"", ""km"")"),"កម្មវិធី")</f>
        <v>កម្មវិធី</v>
      </c>
      <c r="G73" s="4" t="str">
        <f>IFERROR(__xludf.DUMMYFUNCTION("GOOGLETRANSLATE(B73, ""en"", ""fr"")"),"applications")</f>
        <v>applications</v>
      </c>
      <c r="H73" s="4" t="str">
        <f>IFERROR(__xludf.DUMMYFUNCTION("GOOGLETRANSLATE(B73, ""en"", ""ro"")"),"Aplicații")</f>
        <v>Aplicații</v>
      </c>
      <c r="I73" s="4" t="str">
        <f>IFERROR(__xludf.DUMMYFUNCTION("GOOGLETRANSLATE(B73, ""en"", ""my"")"),"အက်ပလီကေးများ")</f>
        <v>အက်ပလီကေးများ</v>
      </c>
      <c r="J73" s="4" t="str">
        <f>IFERROR(__xludf.DUMMYFUNCTION("GOOGLETRANSLATE(B73, ""en"", ""sw"")"),"Apps.")</f>
        <v>Apps.</v>
      </c>
      <c r="K73" s="4" t="str">
        <f>IFERROR(__xludf.DUMMYFUNCTION("GOOGLETRANSLATE(B73, ""en"", ""th"")"),"แอพ")</f>
        <v>แอพ</v>
      </c>
      <c r="L73" s="4" t="str">
        <f>IFERROR(__xludf.DUMMYFUNCTION("GOOGLETRANSLATE(B73, ""en"", ""si"")"),"යෙදුම්")</f>
        <v>යෙදුම්</v>
      </c>
      <c r="M73" s="4" t="str">
        <f>IFERROR(__xludf.DUMMYFUNCTION("GOOGLETRANSLATE(B73, ""en"", ""vi"")"),"Ứng dụng")</f>
        <v>Ứng dụng</v>
      </c>
      <c r="N73" s="4" t="str">
        <f>IFERROR(__xludf.DUMMYFUNCTION("GOOGLETRANSLATE(B73, ""en"", ""ne"")"),"विज्ञापन")</f>
        <v>विज्ञापन</v>
      </c>
      <c r="O73" s="4" t="str">
        <f>IFERROR(__xludf.DUMMYFUNCTION("GOOGLETRANSLATE(B73, ""en"", ""de"")"),"Apps")</f>
        <v>Apps</v>
      </c>
      <c r="P73" s="4" t="str">
        <f>IFERROR(__xludf.DUMMYFUNCTION("GOOGLETRANSLATE(B73, ""en"", ""he"")"),"אפליקציות")</f>
        <v>אפליקציות</v>
      </c>
      <c r="Q73" s="4" t="str">
        <f>IFERROR(__xludf.DUMMYFUNCTION("GOOGLETRANSLATE(B73, ""en"", ""cs"")"),"Apps.")</f>
        <v>Apps.</v>
      </c>
      <c r="R73" s="4" t="str">
        <f>IFERROR(__xludf.DUMMYFUNCTION("GOOGLETRANSLATE(B73, ""en"", ""it"")"),"Apps.")</f>
        <v>Apps.</v>
      </c>
      <c r="S73" s="4" t="str">
        <f>IFERROR(__xludf.DUMMYFUNCTION("GOOGLETRANSLATE(B73, ""en"", ""el"")"),"Apps")</f>
        <v>Apps</v>
      </c>
    </row>
    <row r="74" ht="15.75" customHeight="1">
      <c r="A74" s="4" t="s">
        <v>161</v>
      </c>
      <c r="B74" s="4" t="s">
        <v>162</v>
      </c>
      <c r="C74" s="4" t="str">
        <f>IFERROR(__xludf.DUMMYFUNCTION("GOOGLETRANSLATE(B74, ""en"", ""es"")"),"Use CPU Cleaner para enfriar")</f>
        <v>Use CPU Cleaner para enfriar</v>
      </c>
      <c r="D74" s="4" t="str">
        <f>IFERROR(__xludf.DUMMYFUNCTION("GOOGLETRANSLATE(B74, ""en"", ""pt"")"),"Use limpador de CPU para esfriar")</f>
        <v>Use limpador de CPU para esfriar</v>
      </c>
      <c r="E74" s="4" t="str">
        <f>IFERROR(__xludf.DUMMYFUNCTION("GOOGLETRANSLATE(B74, ""en"", ""ar"")"),"استخدم CPU منظف لتبرد")</f>
        <v>استخدم CPU منظف لتبرد</v>
      </c>
      <c r="F74" s="4" t="str">
        <f>IFERROR(__xludf.DUMMYFUNCTION("GOOGLETRANSLATE(B74, ""en"", ""km"")"),"ប្រើស៊ីភីយូសម្អាតដើម្បីឱ្យត្រជាក់")</f>
        <v>ប្រើស៊ីភីយូសម្អាតដើម្បីឱ្យត្រជាក់</v>
      </c>
      <c r="G74" s="4" t="str">
        <f>IFERROR(__xludf.DUMMYFUNCTION("GOOGLETRANSLATE(B74, ""en"", ""fr"")"),"Utilisez CPU Cleaner pour refroidir")</f>
        <v>Utilisez CPU Cleaner pour refroidir</v>
      </c>
      <c r="H74" s="4" t="str">
        <f>IFERROR(__xludf.DUMMYFUNCTION("GOOGLETRANSLATE(B74, ""en"", ""ro"")"),"Utilizați CPU Cleaner pentru a răci")</f>
        <v>Utilizați CPU Cleaner pentru a răci</v>
      </c>
      <c r="I74" s="4" t="str">
        <f>IFERROR(__xludf.DUMMYFUNCTION("GOOGLETRANSLATE(B74, ""en"", ""my"")"),"CPU သန့်ရှင်းရေးကိုအသုံးပြုပါ")</f>
        <v>CPU သန့်ရှင်းရေးကိုအသုံးပြုပါ</v>
      </c>
      <c r="J74" s="4" t="str">
        <f>IFERROR(__xludf.DUMMYFUNCTION("GOOGLETRANSLATE(B74, ""en"", ""sw"")"),"Tumia CPU Cleaner ili kupungua")</f>
        <v>Tumia CPU Cleaner ili kupungua</v>
      </c>
      <c r="K74" s="4" t="str">
        <f>IFERROR(__xludf.DUMMYFUNCTION("GOOGLETRANSLATE(B74, ""en"", ""th"")"),"ใช้ CPU Cleaner เพื่อให้เย็นลง")</f>
        <v>ใช้ CPU Cleaner เพื่อให้เย็นลง</v>
      </c>
      <c r="L74" s="4" t="str">
        <f>IFERROR(__xludf.DUMMYFUNCTION("GOOGLETRANSLATE(B74, ""en"", ""si"")"),"සිසිල් කිරීම සඳහා CPU පිරිසිදු කරන්නා භාවිතා කරන්න")</f>
        <v>සිසිල් කිරීම සඳහා CPU පිරිසිදු කරන්නා භාවිතා කරන්න</v>
      </c>
      <c r="M74" s="4" t="str">
        <f>IFERROR(__xludf.DUMMYFUNCTION("GOOGLETRANSLATE(B74, ""en"", ""vi"")"),"Sử dụng Cpu Cleaner để hạ nhiệt")</f>
        <v>Sử dụng Cpu Cleaner để hạ nhiệt</v>
      </c>
      <c r="N74" s="4" t="str">
        <f>IFERROR(__xludf.DUMMYFUNCTION("GOOGLETRANSLATE(B74, ""en"", ""ne"")"),"CPU क्लीनरलाई शान्त गर्न प्रयोग गर्नुहोस्")</f>
        <v>CPU क्लीनरलाई शान्त गर्न प्रयोग गर्नुहोस्</v>
      </c>
      <c r="O74" s="4" t="str">
        <f>IFERROR(__xludf.DUMMYFUNCTION("GOOGLETRANSLATE(B74, ""en"", ""de"")"),"Verwenden Sie CPU-Reiniger, um sich abzukühlen")</f>
        <v>Verwenden Sie CPU-Reiniger, um sich abzukühlen</v>
      </c>
      <c r="P74" s="4" t="str">
        <f>IFERROR(__xludf.DUMMYFUNCTION("GOOGLETRANSLATE(B74, ""en"", ""he"")"),"השתמש מנקה CPU כדי להתקרר")</f>
        <v>השתמש מנקה CPU כדי להתקרר</v>
      </c>
      <c r="Q74" s="4" t="str">
        <f>IFERROR(__xludf.DUMMYFUNCTION("GOOGLETRANSLATE(B74, ""en"", ""cs"")"),"Použijte CPU Cleaner k ochlazení")</f>
        <v>Použijte CPU Cleaner k ochlazení</v>
      </c>
      <c r="R74" s="4" t="str">
        <f>IFERROR(__xludf.DUMMYFUNCTION("GOOGLETRANSLATE(B74, ""en"", ""it"")"),"Utilizzare CPU Cleaner per raffreddare")</f>
        <v>Utilizzare CPU Cleaner per raffreddare</v>
      </c>
      <c r="S74" s="4" t="str">
        <f>IFERROR(__xludf.DUMMYFUNCTION("GOOGLETRANSLATE(B74, ""en"", ""el"")"),"Χρησιμοποιήστε το CPU Cleaner για να κρυώσει")</f>
        <v>Χρησιμοποιήστε το CPU Cleaner για να κρυώσει</v>
      </c>
    </row>
    <row r="75" ht="15.75" customHeight="1">
      <c r="A75" s="4" t="s">
        <v>163</v>
      </c>
      <c r="B75" s="4" t="s">
        <v>164</v>
      </c>
      <c r="C75" s="4" t="str">
        <f>IFERROR(__xludf.DUMMYFUNCTION("GOOGLETRANSLATE(B75, ""en"", ""es"")"),"La carga terminó. Por favor desenchufe la fuente.")</f>
        <v>La carga terminó. Por favor desenchufe la fuente.</v>
      </c>
      <c r="D75" s="4" t="str">
        <f>IFERROR(__xludf.DUMMYFUNCTION("GOOGLETRANSLATE(B75, ""en"", ""pt"")"),"Carregamento terminou. Por favor, desconecte a fonte.")</f>
        <v>Carregamento terminou. Por favor, desconecte a fonte.</v>
      </c>
      <c r="E75" s="4" t="str">
        <f>IFERROR(__xludf.DUMMYFUNCTION("GOOGLETRANSLATE(B75, ""en"", ""ar"")"),"انتهت الشحن. يرجى إلغاء توصيل المصدر.")</f>
        <v>انتهت الشحن. يرجى إلغاء توصيل المصدر.</v>
      </c>
      <c r="F75" s="4" t="str">
        <f>IFERROR(__xludf.DUMMYFUNCTION("GOOGLETRANSLATE(B75, ""en"", ""km"")"),"ការសាកថ្មបានបញ្ចប់។ សូមដកប្រភពចេញ។")</f>
        <v>ការសាកថ្មបានបញ្ចប់។ សូមដកប្រភពចេញ។</v>
      </c>
      <c r="G75" s="4" t="str">
        <f>IFERROR(__xludf.DUMMYFUNCTION("GOOGLETRANSLATE(B75, ""en"", ""fr"")"),"Chargement terminé. S'il vous plaît débrancher la source.")</f>
        <v>Chargement terminé. S'il vous plaît débrancher la source.</v>
      </c>
      <c r="H75" s="4" t="str">
        <f>IFERROR(__xludf.DUMMYFUNCTION("GOOGLETRANSLATE(B75, ""en"", ""ro"")"),"Încărcarea sa încheiat. Deconectați sursa.")</f>
        <v>Încărcarea sa încheiat. Deconectați sursa.</v>
      </c>
      <c r="I75" s="4" t="str">
        <f>IFERROR(__xludf.DUMMYFUNCTION("GOOGLETRANSLATE(B75, ""en"", ""my"")"),"အားသွင်းအဆုံးသတ်သွားသည် ကျေးဇူးပြု. အရင်းအမြစ်ကိုဖြုတ်ပါ။")</f>
        <v>အားသွင်းအဆုံးသတ်သွားသည် ကျေးဇူးပြု. အရင်းအမြစ်ကိုဖြုတ်ပါ။</v>
      </c>
      <c r="J75" s="4" t="str">
        <f>IFERROR(__xludf.DUMMYFUNCTION("GOOGLETRANSLATE(B75, ""en"", ""sw"")"),"Kumshutumu kumalizika. Tafadhali futa chanzo.")</f>
        <v>Kumshutumu kumalizika. Tafadhali futa chanzo.</v>
      </c>
      <c r="K75" s="4" t="str">
        <f>IFERROR(__xludf.DUMMYFUNCTION("GOOGLETRANSLATE(B75, ""en"", ""th"")"),"สิ้นสุดการชาร์จ โปรดถอดปลั๊กแหล่งที่มา")</f>
        <v>สิ้นสุดการชาร์จ โปรดถอดปลั๊กแหล่งที่มา</v>
      </c>
      <c r="L75" s="4" t="str">
        <f>IFERROR(__xludf.DUMMYFUNCTION("GOOGLETRANSLATE(B75, ""en"", ""si"")"),"ආරෝපණය අවසන්. කරුණාකර මූලාශ්රය විසන්ධි කරන්න.")</f>
        <v>ආරෝපණය අවසන්. කරුණාකර මූලාශ්රය විසන්ධි කරන්න.</v>
      </c>
      <c r="M75" s="4" t="str">
        <f>IFERROR(__xludf.DUMMYFUNCTION("GOOGLETRANSLATE(B75, ""en"", ""vi"")"),"Sạc kết thúc. Vui lòng rút phích cắm nguồn.")</f>
        <v>Sạc kết thúc. Vui lòng rút phích cắm nguồn.</v>
      </c>
      <c r="N75" s="4" t="str">
        <f>IFERROR(__xludf.DUMMYFUNCTION("GOOGLETRANSLATE(B75, ""en"", ""ne"")"),"चार्ज समाप्त भयो। कृपया स्रोत अनप्लग गर्नुहोस्।")</f>
        <v>चार्ज समाप्त भयो। कृपया स्रोत अनप्लग गर्नुहोस्।</v>
      </c>
      <c r="O75" s="4" t="str">
        <f>IFERROR(__xludf.DUMMYFUNCTION("GOOGLETRANSLATE(B75, ""en"", ""de"")"),"Aufladung endete. Bitte ziehen Sie die Quelle ab.")</f>
        <v>Aufladung endete. Bitte ziehen Sie die Quelle ab.</v>
      </c>
      <c r="P75" s="4" t="str">
        <f>IFERROR(__xludf.DUMMYFUNCTION("GOOGLETRANSLATE(B75, ""en"", ""he"")"),"טעינה הסתיימה. אנא נתק את המקור.")</f>
        <v>טעינה הסתיימה. אנא נתק את המקור.</v>
      </c>
      <c r="Q75" s="4" t="str">
        <f>IFERROR(__xludf.DUMMYFUNCTION("GOOGLETRANSLATE(B75, ""en"", ""cs"")"),"Nabíjení skončilo. Prosím odpojte zdroj.")</f>
        <v>Nabíjení skončilo. Prosím odpojte zdroj.</v>
      </c>
      <c r="R75" s="4" t="str">
        <f>IFERROR(__xludf.DUMMYFUNCTION("GOOGLETRANSLATE(B75, ""en"", ""it"")"),"La ricarica è finita. Si prega di scollegare la fonte.")</f>
        <v>La ricarica è finita. Si prega di scollegare la fonte.</v>
      </c>
      <c r="S75" s="4" t="str">
        <f>IFERROR(__xludf.DUMMYFUNCTION("GOOGLETRANSLATE(B75, ""en"", ""el"")"),"Φόρτιση τελείωσε. Αποσυνδέστε την πηγή.")</f>
        <v>Φόρτιση τελείωσε. Αποσυνδέστε την πηγή.</v>
      </c>
    </row>
    <row r="76" ht="15.75" customHeight="1">
      <c r="A76" s="4" t="s">
        <v>165</v>
      </c>
      <c r="B76" s="4" t="s">
        <v>166</v>
      </c>
      <c r="C76" s="4" t="str">
        <f>IFERROR(__xludf.DUMMYFUNCTION("GOOGLETRANSLATE(B76, ""en"", ""es"")"),"Aplicación de terceros")</f>
        <v>Aplicación de terceros</v>
      </c>
      <c r="D76" s="4" t="str">
        <f>IFERROR(__xludf.DUMMYFUNCTION("GOOGLETRANSLATE(B76, ""en"", ""pt"")"),"Aplicação de terceiros")</f>
        <v>Aplicação de terceiros</v>
      </c>
      <c r="E76" s="4" t="str">
        <f>IFERROR(__xludf.DUMMYFUNCTION("GOOGLETRANSLATE(B76, ""en"", ""ar"")"),"تطبيق طرف ثالث")</f>
        <v>تطبيق طرف ثالث</v>
      </c>
      <c r="F76" s="4" t="str">
        <f>IFERROR(__xludf.DUMMYFUNCTION("GOOGLETRANSLATE(B76, ""en"", ""km"")"),"ពាក្យសុំរបស់ភាគីទីបី")</f>
        <v>ពាក្យសុំរបស់ភាគីទីបី</v>
      </c>
      <c r="G76" s="4" t="str">
        <f>IFERROR(__xludf.DUMMYFUNCTION("GOOGLETRANSLATE(B76, ""en"", ""fr"")"),"Application tierce partie")</f>
        <v>Application tierce partie</v>
      </c>
      <c r="H76" s="4" t="str">
        <f>IFERROR(__xludf.DUMMYFUNCTION("GOOGLETRANSLATE(B76, ""en"", ""ro"")"),"Cerere terță parte")</f>
        <v>Cerere terță parte</v>
      </c>
      <c r="I76" s="4" t="str">
        <f>IFERROR(__xludf.DUMMYFUNCTION("GOOGLETRANSLATE(B76, ""en"", ""my"")"),"တတိယပါတီလျှောက်လွှာ")</f>
        <v>တတိယပါတီလျှောက်လွှာ</v>
      </c>
      <c r="J76" s="4" t="str">
        <f>IFERROR(__xludf.DUMMYFUNCTION("GOOGLETRANSLATE(B76, ""en"", ""sw"")"),"Maombi ya chama cha tatu.")</f>
        <v>Maombi ya chama cha tatu.</v>
      </c>
      <c r="K76" s="4" t="str">
        <f>IFERROR(__xludf.DUMMYFUNCTION("GOOGLETRANSLATE(B76, ""en"", ""th"")"),"แอปพลิเคชันบุคคลที่สาม")</f>
        <v>แอปพลิเคชันบุคคลที่สาม</v>
      </c>
      <c r="L76" s="4" t="str">
        <f>IFERROR(__xludf.DUMMYFUNCTION("GOOGLETRANSLATE(B76, ""en"", ""si"")"),"තෙවන පාර්ශවීය අයදුම්පත")</f>
        <v>තෙවන පාර්ශවීය අයදුම්පත</v>
      </c>
      <c r="M76" s="4" t="str">
        <f>IFERROR(__xludf.DUMMYFUNCTION("GOOGLETRANSLATE(B76, ""en"", ""vi"")"),"Ứng dụng của bên thứ ba")</f>
        <v>Ứng dụng của bên thứ ba</v>
      </c>
      <c r="N76" s="4" t="str">
        <f>IFERROR(__xludf.DUMMYFUNCTION("GOOGLETRANSLATE(B76, ""en"", ""ne"")"),"तेस्रो पक्ष अनुप्रयोग")</f>
        <v>तेस्रो पक्ष अनुप्रयोग</v>
      </c>
      <c r="O76" s="4" t="str">
        <f>IFERROR(__xludf.DUMMYFUNCTION("GOOGLETRANSLATE(B76, ""en"", ""de"")"),"Antrag von Drittanbietern.")</f>
        <v>Antrag von Drittanbietern.</v>
      </c>
      <c r="P76" s="4" t="str">
        <f>IFERROR(__xludf.DUMMYFUNCTION("GOOGLETRANSLATE(B76, ""en"", ""he"")"),"יישום צד שלישי")</f>
        <v>יישום צד שלישי</v>
      </c>
      <c r="Q76" s="4" t="str">
        <f>IFERROR(__xludf.DUMMYFUNCTION("GOOGLETRANSLATE(B76, ""en"", ""cs"")"),"Aplikace třetí strany")</f>
        <v>Aplikace třetí strany</v>
      </c>
      <c r="R76" s="4" t="str">
        <f>IFERROR(__xludf.DUMMYFUNCTION("GOOGLETRANSLATE(B76, ""en"", ""it"")"),"Applicazione di terze parti")</f>
        <v>Applicazione di terze parti</v>
      </c>
      <c r="S76" s="4" t="str">
        <f>IFERROR(__xludf.DUMMYFUNCTION("GOOGLETRANSLATE(B76, ""en"", ""el"")"),"Εφαρμογή τρίτου μέρους")</f>
        <v>Εφαρμογή τρίτου μέρους</v>
      </c>
    </row>
    <row r="77" ht="15.75" customHeight="1">
      <c r="A77" s="4" t="s">
        <v>167</v>
      </c>
      <c r="B77" s="4" t="s">
        <v>168</v>
      </c>
      <c r="C77" s="4" t="str">
        <f>IFERROR(__xludf.DUMMYFUNCTION("GOOGLETRANSLATE(B77, ""en"", ""es"")"),"Notificaciones de spam:")</f>
        <v>Notificaciones de spam:</v>
      </c>
      <c r="D77" s="4" t="str">
        <f>IFERROR(__xludf.DUMMYFUNCTION("GOOGLETRANSLATE(B77, ""en"", ""pt"")"),"Notificações de spam:")</f>
        <v>Notificações de spam:</v>
      </c>
      <c r="E77" s="4" t="str">
        <f>IFERROR(__xludf.DUMMYFUNCTION("GOOGLETRANSLATE(B77, ""en"", ""ar"")"),"إخطارات البريد المزعج:")</f>
        <v>إخطارات البريد المزعج:</v>
      </c>
      <c r="F77" s="4" t="str">
        <f>IFERROR(__xludf.DUMMYFUNCTION("GOOGLETRANSLATE(B77, ""en"", ""km"")"),"ការជូនដំណឹងសារឥតបានការ:")</f>
        <v>ការជូនដំណឹងសារឥតបានការ:</v>
      </c>
      <c r="G77" s="4" t="str">
        <f>IFERROR(__xludf.DUMMYFUNCTION("GOOGLETRANSLATE(B77, ""en"", ""fr"")"),"Notifications de spam:")</f>
        <v>Notifications de spam:</v>
      </c>
      <c r="H77" s="4" t="str">
        <f>IFERROR(__xludf.DUMMYFUNCTION("GOOGLETRANSLATE(B77, ""en"", ""ro"")"),"SPAM NOTIFICĂRI:")</f>
        <v>SPAM NOTIFICĂRI:</v>
      </c>
      <c r="I77" s="4" t="str">
        <f>IFERROR(__xludf.DUMMYFUNCTION("GOOGLETRANSLATE(B77, ""en"", ""my"")"),"spam အသိပေးချက်များ:")</f>
        <v>spam အသိပေးချက်များ:</v>
      </c>
      <c r="J77" s="4" t="str">
        <f>IFERROR(__xludf.DUMMYFUNCTION("GOOGLETRANSLATE(B77, ""en"", ""sw"")"),"Arifa za Spam:")</f>
        <v>Arifa za Spam:</v>
      </c>
      <c r="K77" s="4" t="str">
        <f>IFERROR(__xludf.DUMMYFUNCTION("GOOGLETRANSLATE(B77, ""en"", ""th"")"),"การแจ้งเตือนสแปม:")</f>
        <v>การแจ้งเตือนสแปม:</v>
      </c>
      <c r="L77" s="4" t="str">
        <f>IFERROR(__xludf.DUMMYFUNCTION("GOOGLETRANSLATE(B77, ""en"", ""si"")"),"අයාචිත තැපැල් දැනුම්දීම්:")</f>
        <v>අයාචිත තැපැල් දැනුම්දීම්:</v>
      </c>
      <c r="M77" s="4" t="str">
        <f>IFERROR(__xludf.DUMMYFUNCTION("GOOGLETRANSLATE(B77, ""en"", ""vi"")"),"Thông báo Spam:")</f>
        <v>Thông báo Spam:</v>
      </c>
      <c r="N77" s="4" t="str">
        <f>IFERROR(__xludf.DUMMYFUNCTION("GOOGLETRANSLATE(B77, ""en"", ""ne"")"),"स्प्याम सूचनाहरू:")</f>
        <v>स्प्याम सूचनाहरू:</v>
      </c>
      <c r="O77" s="4" t="str">
        <f>IFERROR(__xludf.DUMMYFUNCTION("GOOGLETRANSLATE(B77, ""en"", ""de"")"),"Spam-Benachrichtigungen:")</f>
        <v>Spam-Benachrichtigungen:</v>
      </c>
      <c r="P77" s="4" t="str">
        <f>IFERROR(__xludf.DUMMYFUNCTION("GOOGLETRANSLATE(B77, ""en"", ""he"")"),"הודעות דואר זבל:")</f>
        <v>הודעות דואר זבל:</v>
      </c>
      <c r="Q77" s="4" t="str">
        <f>IFERROR(__xludf.DUMMYFUNCTION("GOOGLETRANSLATE(B77, ""en"", ""cs"")"),"Oznámení SPAM:")</f>
        <v>Oznámení SPAM:</v>
      </c>
      <c r="R77" s="4" t="str">
        <f>IFERROR(__xludf.DUMMYFUNCTION("GOOGLETRANSLATE(B77, ""en"", ""it"")"),"Notifiche spam:")</f>
        <v>Notifiche spam:</v>
      </c>
      <c r="S77" s="4" t="str">
        <f>IFERROR(__xludf.DUMMYFUNCTION("GOOGLETRANSLATE(B77, ""en"", ""el"")"),"Ειδοποιήσεις SPAM:")</f>
        <v>Ειδοποιήσεις SPAM:</v>
      </c>
    </row>
    <row r="78" ht="15.75" customHeight="1">
      <c r="A78" s="4" t="s">
        <v>169</v>
      </c>
      <c r="B78" s="4" t="s">
        <v>170</v>
      </c>
      <c r="C78" s="4" t="str">
        <f>IFERROR(__xludf.DUMMYFUNCTION("GOOGLETRANSLATE(B78, ""en"", ""es"")"),"El refuerzo de memoria limpia la memoria cerrando aplicaciones inactivas, aumentando la velocidad")</f>
        <v>El refuerzo de memoria limpia la memoria cerrando aplicaciones inactivas, aumentando la velocidad</v>
      </c>
      <c r="D78" s="4" t="str">
        <f>IFERROR(__xludf.DUMMYFUNCTION("GOOGLETRANSLATE(B78, ""en"", ""pt"")"),"A memória impulsiona a memória fechando as aplicações inativas, aumentando a velocidade")</f>
        <v>A memória impulsiona a memória fechando as aplicações inativas, aumentando a velocidade</v>
      </c>
      <c r="E78" s="4" t="str">
        <f>IFERROR(__xludf.DUMMYFUNCTION("GOOGLETRANSLATE(B78, ""en"", ""ar"")"),"الذاكرة الداعم تنظف الذاكرة عن طريق إغلاق التطبيقات غير النشطة، وزيادة السرعة")</f>
        <v>الذاكرة الداعم تنظف الذاكرة عن طريق إغلاق التطبيقات غير النشطة، وزيادة السرعة</v>
      </c>
      <c r="F78" s="4" t="str">
        <f>IFERROR(__xludf.DUMMYFUNCTION("GOOGLETRANSLATE(B78, ""en"", ""km"")"),"រំ Memorom Memore បន្សល់ទុកការចងចាំដោយបិទកម្មវិធីអសកម្មបង្កើនល្បឿន")</f>
        <v>រំ Memorom Memore បន្សល់ទុកការចងចាំដោយបិទកម្មវិធីអសកម្មបង្កើនល្បឿន</v>
      </c>
      <c r="G78" s="4" t="str">
        <f>IFERROR(__xludf.DUMMYFUNCTION("GOOGLETRANSLATE(B78, ""en"", ""fr"")"),"Booster de mémoire nettoie la mémoire en fermant les applications inactives, augmentant la vitesse")</f>
        <v>Booster de mémoire nettoie la mémoire en fermant les applications inactives, augmentant la vitesse</v>
      </c>
      <c r="H78" s="4" t="str">
        <f>IFERROR(__xludf.DUMMYFUNCTION("GOOGLETRANSLATE(B78, ""en"", ""ro"")"),"Boosterul de memorie curăță memoria prin închiderea aplicațiilor inactive, creșterea vitezei")</f>
        <v>Boosterul de memorie curăță memoria prin închiderea aplicațiilor inactive, creșterea vitezei</v>
      </c>
      <c r="I78" s="4" t="str">
        <f>IFERROR(__xludf.DUMMYFUNCTION("GOOGLETRANSLATE(B78, ""en"", ""my"")"),"မတည်ငြိမ်သောလျှောက်လွှာများကိုပိတ်ခြင်းဖြင့်မှတ်ဉာဏ် Booster သည် Memory ကိုသန့်ရှင်းစေပြီးမြန်နှုန်းမြင့်တက်ခြင်းဖြင့်မှတ်ဉာဏ်ကိုရှင်းလင်းစေသည်")</f>
        <v>မတည်ငြိမ်သောလျှောက်လွှာများကိုပိတ်ခြင်းဖြင့်မှတ်ဉာဏ် Booster သည် Memory ကိုသန့်ရှင်းစေပြီးမြန်နှုန်းမြင့်တက်ခြင်းဖြင့်မှတ်ဉာဏ်ကိုရှင်းလင်းစေသည်</v>
      </c>
      <c r="J78" s="4" t="str">
        <f>IFERROR(__xludf.DUMMYFUNCTION("GOOGLETRANSLATE(B78, ""en"", ""sw"")"),"Kumbukumbu ya Kumbukumbu husafisha kumbukumbu kwa kufunga maombi yasiyofaa, kuongeza kasi")</f>
        <v>Kumbukumbu ya Kumbukumbu husafisha kumbukumbu kwa kufunga maombi yasiyofaa, kuongeza kasi</v>
      </c>
      <c r="K78" s="4" t="str">
        <f>IFERROR(__xludf.DUMMYFUNCTION("GOOGLETRANSLATE(B78, ""en"", ""th"")"),"หน่วยความจำ Booster ทำความสะอาดหน่วยความจำโดยปิดแอปพลิเคชันที่ไม่ได้ใช้งานเพิ่มความเร็ว")</f>
        <v>หน่วยความจำ Booster ทำความสะอาดหน่วยความจำโดยปิดแอปพลิเคชันที่ไม่ได้ใช้งานเพิ่มความเร็ว</v>
      </c>
      <c r="L78" s="4" t="str">
        <f>IFERROR(__xludf.DUMMYFUNCTION("GOOGLETRANSLATE(B78, ""en"", ""si"")"),"මතක බූස්ටරය අක්රිය යෙදුම් වසා දැමීමෙන් මතකය පිරිසිදු කරයි, වේගය වැඩි කිරීම")</f>
        <v>මතක බූස්ටරය අක්රිය යෙදුම් වසා දැමීමෙන් මතකය පිරිසිදු කරයි, වේගය වැඩි කිරීම</v>
      </c>
      <c r="M78" s="4" t="str">
        <f>IFERROR(__xludf.DUMMYFUNCTION("GOOGLETRANSLATE(B78, ""en"", ""vi"")"),"Bộ nhớ tăng cường bộ nhớ bằng cách đóng các ứng dụng không hoạt động, tăng tốc độ")</f>
        <v>Bộ nhớ tăng cường bộ nhớ bằng cách đóng các ứng dụng không hoạt động, tăng tốc độ</v>
      </c>
      <c r="N78" s="4" t="str">
        <f>IFERROR(__xludf.DUMMYFUNCTION("GOOGLETRANSLATE(B78, ""en"", ""ne"")"),"मेमोरी बूस्टरले निष्क्रिय अनुप्रयोगहरू बन्द गरेर स्मृति सफा गर्दछ, बढ्दो गति")</f>
        <v>मेमोरी बूस्टरले निष्क्रिय अनुप्रयोगहरू बन्द गरेर स्मृति सफा गर्दछ, बढ्दो गति</v>
      </c>
      <c r="O78" s="4" t="str">
        <f>IFERROR(__xludf.DUMMYFUNCTION("GOOGLETRANSLATE(B78, ""en"", ""de"")"),"Speicherverooster reinigt den Speicher, indem Sie inaktive Anwendungen schließen, erhöhen Sie die Geschwindigkeit")</f>
        <v>Speicherverooster reinigt den Speicher, indem Sie inaktive Anwendungen schließen, erhöhen Sie die Geschwindigkeit</v>
      </c>
      <c r="P78" s="4" t="str">
        <f>IFERROR(__xludf.DUMMYFUNCTION("GOOGLETRANSLATE(B78, ""en"", ""he"")"),"זיכרון Booster מנקה את הזיכרון על ידי סגירת יישומים לא פעילים, הגדלת מהירות")</f>
        <v>זיכרון Booster מנקה את הזיכרון על ידי סגירת יישומים לא פעילים, הגדלת מהירות</v>
      </c>
      <c r="Q78" s="4" t="str">
        <f>IFERROR(__xludf.DUMMYFUNCTION("GOOGLETRANSLATE(B78, ""en"", ""cs"")"),"Paměť Booster vyčistí paměť uzavřením neaktivních aplikací, zvyšující se rychlost")</f>
        <v>Paměť Booster vyčistí paměť uzavřením neaktivních aplikací, zvyšující se rychlost</v>
      </c>
      <c r="R78" s="4" t="str">
        <f>IFERROR(__xludf.DUMMYFUNCTION("GOOGLETRANSLATE(B78, ""en"", ""it"")"),"Memory Booster pulisce la memoria chiudendo applicazioni inattive, aumentare la velocità")</f>
        <v>Memory Booster pulisce la memoria chiudendo applicazioni inattive, aumentare la velocità</v>
      </c>
      <c r="S78" s="4" t="str">
        <f>IFERROR(__xludf.DUMMYFUNCTION("GOOGLETRANSLATE(B78, ""en"", ""el"")"),"Ο ενισχυτής μνήμης καθαρίζει τη μνήμη, κλείνοντας ανενεργές εφαρμογές, αυξανόμενη ταχύτητα")</f>
        <v>Ο ενισχυτής μνήμης καθαρίζει τη μνήμη, κλείνοντας ανενεργές εφαρμογές, αυξανόμενη ταχύτητα</v>
      </c>
    </row>
    <row r="79" ht="15.75" customHeight="1">
      <c r="A79" s="4" t="s">
        <v>171</v>
      </c>
      <c r="B79" s="4" t="s">
        <v>172</v>
      </c>
      <c r="C79" s="4" t="str">
        <f>IFERROR(__xludf.DUMMYFUNCTION("GOOGLETRANSLATE(B79, ""en"", ""es"")"),"Debe seleccionar al menos 1 artículo")</f>
        <v>Debe seleccionar al menos 1 artículo</v>
      </c>
      <c r="D79" s="4" t="str">
        <f>IFERROR(__xludf.DUMMYFUNCTION("GOOGLETRANSLATE(B79, ""en"", ""pt"")"),"Você deve selecionar pelo menos 1 item")</f>
        <v>Você deve selecionar pelo menos 1 item</v>
      </c>
      <c r="E79" s="4" t="str">
        <f>IFERROR(__xludf.DUMMYFUNCTION("GOOGLETRANSLATE(B79, ""en"", ""ar"")"),"يجب عليك تحديد عنصر واحد على الأقل")</f>
        <v>يجب عليك تحديد عنصر واحد على الأقل</v>
      </c>
      <c r="F79" s="4" t="str">
        <f>IFERROR(__xludf.DUMMYFUNCTION("GOOGLETRANSLATE(B79, ""en"", ""km"")"),"អ្នកត្រូវតែជ្រើសរើសយ៉ាងហោចណាស់ 1 ធាតុ")</f>
        <v>អ្នកត្រូវតែជ្រើសរើសយ៉ាងហោចណាស់ 1 ធាតុ</v>
      </c>
      <c r="G79" s="4" t="str">
        <f>IFERROR(__xludf.DUMMYFUNCTION("GOOGLETRANSLATE(B79, ""en"", ""fr"")"),"Vous devez sélectionner au moins 1 article")</f>
        <v>Vous devez sélectionner au moins 1 article</v>
      </c>
      <c r="H79" s="4" t="str">
        <f>IFERROR(__xludf.DUMMYFUNCTION("GOOGLETRANSLATE(B79, ""en"", ""ro"")"),"Trebuie să selectați cel puțin 1 element")</f>
        <v>Trebuie să selectați cel puțin 1 element</v>
      </c>
      <c r="I79" s="4" t="str">
        <f>IFERROR(__xludf.DUMMYFUNCTION("GOOGLETRANSLATE(B79, ""en"", ""my"")"),"အနည်းဆုံး item တစ်ခုရွေးရမယ်")</f>
        <v>အနည်းဆုံး item တစ်ခုရွေးရမယ်</v>
      </c>
      <c r="J79" s="4" t="str">
        <f>IFERROR(__xludf.DUMMYFUNCTION("GOOGLETRANSLATE(B79, ""en"", ""sw"")"),"Lazima uchague angalau kipengee 1.")</f>
        <v>Lazima uchague angalau kipengee 1.</v>
      </c>
      <c r="K79" s="4" t="str">
        <f>IFERROR(__xludf.DUMMYFUNCTION("GOOGLETRANSLATE(B79, ""en"", ""th"")"),"คุณต้องเลือกอย่างน้อย 1 รายการ")</f>
        <v>คุณต้องเลือกอย่างน้อย 1 รายการ</v>
      </c>
      <c r="L79" s="4" t="str">
        <f>IFERROR(__xludf.DUMMYFUNCTION("GOOGLETRANSLATE(B79, ""en"", ""si"")"),"ඔබ අවම වශයෙන් 1 අයිතමයක්වත් තෝරා ගත යුතුය")</f>
        <v>ඔබ අවම වශයෙන් 1 අයිතමයක්වත් තෝරා ගත යුතුය</v>
      </c>
      <c r="M79" s="4" t="str">
        <f>IFERROR(__xludf.DUMMYFUNCTION("GOOGLETRANSLATE(B79, ""en"", ""vi"")"),"Bạn phải chọn ít nhất 1 mục")</f>
        <v>Bạn phải chọn ít nhất 1 mục</v>
      </c>
      <c r="N79" s="4" t="str">
        <f>IFERROR(__xludf.DUMMYFUNCTION("GOOGLETRANSLATE(B79, ""en"", ""ne"")"),"तपाईंले कम्तिमा 1 वस्तु चयन गर्नुपर्नेछ")</f>
        <v>तपाईंले कम्तिमा 1 वस्तु चयन गर्नुपर्नेछ</v>
      </c>
      <c r="O79" s="4" t="str">
        <f>IFERROR(__xludf.DUMMYFUNCTION("GOOGLETRANSLATE(B79, ""en"", ""de"")"),"Sie müssen mindestens 1 Artikel auswählen")</f>
        <v>Sie müssen mindestens 1 Artikel auswählen</v>
      </c>
      <c r="P79" s="4" t="str">
        <f>IFERROR(__xludf.DUMMYFUNCTION("GOOGLETRANSLATE(B79, ""en"", ""he"")"),"עליך לבחור פריט אחד לפחות")</f>
        <v>עליך לבחור פריט אחד לפחות</v>
      </c>
      <c r="Q79" s="4" t="str">
        <f>IFERROR(__xludf.DUMMYFUNCTION("GOOGLETRANSLATE(B79, ""en"", ""cs"")"),"Musíte vybrat alespoň 1 položku")</f>
        <v>Musíte vybrat alespoň 1 položku</v>
      </c>
      <c r="R79" s="4" t="str">
        <f>IFERROR(__xludf.DUMMYFUNCTION("GOOGLETRANSLATE(B79, ""en"", ""it"")"),"Devi selezionare almeno 1 oggetto")</f>
        <v>Devi selezionare almeno 1 oggetto</v>
      </c>
      <c r="S79" s="4" t="str">
        <f>IFERROR(__xludf.DUMMYFUNCTION("GOOGLETRANSLATE(B79, ""en"", ""el"")"),"Πρέπει να επιλέξετε τουλάχιστον 1 στοιχείο")</f>
        <v>Πρέπει να επιλέξετε τουλάχιστον 1 στοιχείο</v>
      </c>
    </row>
    <row r="80" ht="15.75" customHeight="1">
      <c r="A80" s="4" t="s">
        <v>173</v>
      </c>
      <c r="B80" s="4" t="s">
        <v>174</v>
      </c>
      <c r="C80" s="4" t="str">
        <f>IFERROR(__xludf.DUMMYFUNCTION("GOOGLETRANSLATE(B80, ""en"", ""es"")"),"Agregar juegos")</f>
        <v>Agregar juegos</v>
      </c>
      <c r="D80" s="4" t="str">
        <f>IFERROR(__xludf.DUMMYFUNCTION("GOOGLETRANSLATE(B80, ""en"", ""pt"")"),"Adicionar jogos")</f>
        <v>Adicionar jogos</v>
      </c>
      <c r="E80" s="4" t="str">
        <f>IFERROR(__xludf.DUMMYFUNCTION("GOOGLETRANSLATE(B80, ""en"", ""ar"")"),"إضافة ألعاب")</f>
        <v>إضافة ألعاب</v>
      </c>
      <c r="F80" s="4" t="str">
        <f>IFERROR(__xludf.DUMMYFUNCTION("GOOGLETRANSLATE(B80, ""en"", ""km"")"),"បន្ថែមហ្គេម")</f>
        <v>បន្ថែមហ្គេម</v>
      </c>
      <c r="G80" s="4" t="str">
        <f>IFERROR(__xludf.DUMMYFUNCTION("GOOGLETRANSLATE(B80, ""en"", ""fr"")"),"Ajouter des jeux")</f>
        <v>Ajouter des jeux</v>
      </c>
      <c r="H80" s="4" t="str">
        <f>IFERROR(__xludf.DUMMYFUNCTION("GOOGLETRANSLATE(B80, ""en"", ""ro"")"),"Adăugați jocuri")</f>
        <v>Adăugați jocuri</v>
      </c>
      <c r="I80" s="4" t="str">
        <f>IFERROR(__xludf.DUMMYFUNCTION("GOOGLETRANSLATE(B80, ""en"", ""my"")"),"ဂိမ်းများကိုထည့်ပါ")</f>
        <v>ဂိမ်းများကိုထည့်ပါ</v>
      </c>
      <c r="J80" s="4" t="str">
        <f>IFERROR(__xludf.DUMMYFUNCTION("GOOGLETRANSLATE(B80, ""en"", ""sw"")"),"Ongeza Michezo.")</f>
        <v>Ongeza Michezo.</v>
      </c>
      <c r="K80" s="4" t="str">
        <f>IFERROR(__xludf.DUMMYFUNCTION("GOOGLETRANSLATE(B80, ""en"", ""th"")"),"เพิ่มเกม")</f>
        <v>เพิ่มเกม</v>
      </c>
      <c r="L80" s="4" t="str">
        <f>IFERROR(__xludf.DUMMYFUNCTION("GOOGLETRANSLATE(B80, ""en"", ""si"")"),"ක්රීඩා එකතු කරන්න")</f>
        <v>ක්රීඩා එකතු කරන්න</v>
      </c>
      <c r="M80" s="4" t="str">
        <f>IFERROR(__xludf.DUMMYFUNCTION("GOOGLETRANSLATE(B80, ""en"", ""vi"")"),"Thêm trò chơi")</f>
        <v>Thêm trò chơi</v>
      </c>
      <c r="N80" s="4" t="str">
        <f>IFERROR(__xludf.DUMMYFUNCTION("GOOGLETRANSLATE(B80, ""en"", ""ne"")"),"खेलहरू थप्नुहोस्")</f>
        <v>खेलहरू थप्नुहोस्</v>
      </c>
      <c r="O80" s="4" t="str">
        <f>IFERROR(__xludf.DUMMYFUNCTION("GOOGLETRANSLATE(B80, ""en"", ""de"")"),"Spiele hinzufügen")</f>
        <v>Spiele hinzufügen</v>
      </c>
      <c r="P80" s="4" t="str">
        <f>IFERROR(__xludf.DUMMYFUNCTION("GOOGLETRANSLATE(B80, ""en"", ""he"")"),"הוסף משחקים")</f>
        <v>הוסף משחקים</v>
      </c>
      <c r="Q80" s="4" t="str">
        <f>IFERROR(__xludf.DUMMYFUNCTION("GOOGLETRANSLATE(B80, ""en"", ""cs"")"),"Přidat hry")</f>
        <v>Přidat hry</v>
      </c>
      <c r="R80" s="4" t="str">
        <f>IFERROR(__xludf.DUMMYFUNCTION("GOOGLETRANSLATE(B80, ""en"", ""it"")"),"Aggiungi giochi")</f>
        <v>Aggiungi giochi</v>
      </c>
      <c r="S80" s="4" t="str">
        <f>IFERROR(__xludf.DUMMYFUNCTION("GOOGLETRANSLATE(B80, ""en"", ""el"")"),"Προσθέστε παιχνίδια")</f>
        <v>Προσθέστε παιχνίδια</v>
      </c>
    </row>
    <row r="81" ht="15.75" customHeight="1">
      <c r="A81" s="4" t="s">
        <v>175</v>
      </c>
      <c r="B81" s="4" t="s">
        <v>176</v>
      </c>
      <c r="C81" s="4" t="str">
        <f>IFERROR(__xludf.DUMMYFUNCTION("GOOGLETRANSLATE(B81, ""en"", ""es"")"),"Analizar y eliminar de forma segura los archivos basura que toman su memoria y espacio de almacenamiento")</f>
        <v>Analizar y eliminar de forma segura los archivos basura que toman su memoria y espacio de almacenamiento</v>
      </c>
      <c r="D81" s="4" t="str">
        <f>IFERROR(__xludf.DUMMYFUNCTION("GOOGLETRANSLATE(B81, ""en"", ""pt"")"),"Analise e remova com segurança os arquivos lixo que ocupam sua memória e espaço de armazenamento")</f>
        <v>Analise e remova com segurança os arquivos lixo que ocupam sua memória e espaço de armazenamento</v>
      </c>
      <c r="E81" s="4" t="str">
        <f>IFERROR(__xludf.DUMMYFUNCTION("GOOGLETRANSLATE(B81, ""en"", ""ar"")"),"تحليل وأمان إزالة الملفات غير المرغوب فيه بأمان التي تأخذ مساحة الذاكرة والتخزين الخاصة بك")</f>
        <v>تحليل وأمان إزالة الملفات غير المرغوب فيه بأمان التي تأخذ مساحة الذاكرة والتخزين الخاصة بك</v>
      </c>
      <c r="F81" s="4" t="str">
        <f>IFERROR(__xludf.DUMMYFUNCTION("GOOGLETRANSLATE(B81, ""en"", ""km"")"),"វិភាគនិងដកឯកសារឥតបានការចេញដោយសុវត្ថិភាពដែលទទួលយកការចងចាំនិងទំហំផ្ទុករបស់អ្នក")</f>
        <v>វិភាគនិងដកឯកសារឥតបានការចេញដោយសុវត្ថិភាពដែលទទួលយកការចងចាំនិងទំហំផ្ទុករបស់អ្នក</v>
      </c>
      <c r="G81" s="4" t="str">
        <f>IFERROR(__xludf.DUMMYFUNCTION("GOOGLETRANSLATE(B81, ""en"", ""fr"")"),"Analyser et supprimer en toute sécurité les fichiers indésirables qui occupent votre espace de mémoire et votre espace de stockage")</f>
        <v>Analyser et supprimer en toute sécurité les fichiers indésirables qui occupent votre espace de mémoire et votre espace de stockage</v>
      </c>
      <c r="H81" s="4" t="str">
        <f>IFERROR(__xludf.DUMMYFUNCTION("GOOGLETRANSLATE(B81, ""en"", ""ro"")"),"Analizați și eliminați în siguranță fișierele junk care vă asumă memoria și spațiul de stocare")</f>
        <v>Analizați și eliminați în siguranță fișierele junk care vă asumă memoria și spațiul de stocare</v>
      </c>
      <c r="I81" s="4" t="str">
        <f>IFERROR(__xludf.DUMMYFUNCTION("GOOGLETRANSLATE(B81, ""en"", ""my"")"),"သင်၏မှတ်ဉာဏ်နှင့်သိုလှောင်မှုနေရာယူသော Junk ဖိုင်များကိုခွဲခြမ်းစိတ်ဖြာခြင်းနှင့်လုံခြုံစွာဖယ်ရှားပါ")</f>
        <v>သင်၏မှတ်ဉာဏ်နှင့်သိုလှောင်မှုနေရာယူသော Junk ဖိုင်များကိုခွဲခြမ်းစိတ်ဖြာခြင်းနှင့်လုံခြုံစွာဖယ်ရှားပါ</v>
      </c>
      <c r="J81" s="4" t="str">
        <f>IFERROR(__xludf.DUMMYFUNCTION("GOOGLETRANSLATE(B81, ""en"", ""sw"")"),"Kuchunguza na kuondoa salama faili za junk ambazo huchukua kumbukumbu yako na nafasi ya kuhifadhi")</f>
        <v>Kuchunguza na kuondoa salama faili za junk ambazo huchukua kumbukumbu yako na nafasi ya kuhifadhi</v>
      </c>
      <c r="K81" s="4" t="str">
        <f>IFERROR(__xludf.DUMMYFUNCTION("GOOGLETRANSLATE(B81, ""en"", ""th"")"),"วิเคราะห์และลบไฟล์ขยะที่ใช้หน่วยความจำและพื้นที่เก็บข้อมูลอย่างปลอดภัย")</f>
        <v>วิเคราะห์และลบไฟล์ขยะที่ใช้หน่วยความจำและพื้นที่เก็บข้อมูลอย่างปลอดภัย</v>
      </c>
      <c r="L81" s="4" t="str">
        <f>IFERROR(__xludf.DUMMYFUNCTION("GOOGLETRANSLATE(B81, ""en"", ""si"")"),"ඔබේ මතකය සහ ගබඩා අවකාශය භාර ගන්නා කුණු ගොනු විශ්ලේෂණය කර ආරක්ෂිතව ඉවත් කරන්න")</f>
        <v>ඔබේ මතකය සහ ගබඩා අවකාශය භාර ගන්නා කුණු ගොනු විශ්ලේෂණය කර ආරක්ෂිතව ඉවත් කරන්න</v>
      </c>
      <c r="M81" s="4" t="str">
        <f>IFERROR(__xludf.DUMMYFUNCTION("GOOGLETRANSLATE(B81, ""en"", ""vi"")"),"Phân tích và loại bỏ một cách an toàn các tệp rác chiếm bộ nhớ và dung lượng lưu trữ của bạn")</f>
        <v>Phân tích và loại bỏ một cách an toàn các tệp rác chiếm bộ nhớ và dung lượng lưu trữ của bạn</v>
      </c>
      <c r="N81" s="4" t="str">
        <f>IFERROR(__xludf.DUMMYFUNCTION("GOOGLETRANSLATE(B81, ""en"", ""ne"")"),"विश्लेषण गर्नुहोस् र सुरक्षित रूपमा जंक फाईलहरू हटाउनुहोस् जुन तपाईंको मेमोरी र भण्डारण ठाउँ लिन्छ")</f>
        <v>विश्लेषण गर्नुहोस् र सुरक्षित रूपमा जंक फाईलहरू हटाउनुहोस् जुन तपाईंको मेमोरी र भण्डारण ठाउँ लिन्छ</v>
      </c>
      <c r="O81" s="4" t="str">
        <f>IFERROR(__xludf.DUMMYFUNCTION("GOOGLETRANSLATE(B81, ""en"", ""de"")"),"Analysieren und entfernen Sie die Junk-Dateien, die Ihren Speicher und den Speicherplatz aufnehmen")</f>
        <v>Analysieren und entfernen Sie die Junk-Dateien, die Ihren Speicher und den Speicherplatz aufnehmen</v>
      </c>
      <c r="P81" s="4" t="str">
        <f>IFERROR(__xludf.DUMMYFUNCTION("GOOGLETRANSLATE(B81, ""en"", ""he"")"),"ניתוח ובבטחה להסיר את קבצי הזבל המורדים את הזיכרון שלך ואת שטח האחסון")</f>
        <v>ניתוח ובבטחה להסיר את קבצי הזבל המורדים את הזיכרון שלך ואת שטח האחסון</v>
      </c>
      <c r="Q81" s="4" t="str">
        <f>IFERROR(__xludf.DUMMYFUNCTION("GOOGLETRANSLATE(B81, ""en"", ""cs"")"),"Analyzovat a bezpečně odstranit nevyžádané soubory, které zabírají paměť a úložný prostor")</f>
        <v>Analyzovat a bezpečně odstranit nevyžádané soubory, které zabírají paměť a úložný prostor</v>
      </c>
      <c r="R81" s="4" t="str">
        <f>IFERROR(__xludf.DUMMYFUNCTION("GOOGLETRANSLATE(B81, ""en"", ""it"")"),"Analizza e rimuovi in ​​modo sicuro i file spazzatura che occupano la memoria e lo spazio di archiviazione")</f>
        <v>Analizza e rimuovi in ​​modo sicuro i file spazzatura che occupano la memoria e lo spazio di archiviazione</v>
      </c>
      <c r="S81" s="4" t="str">
        <f>IFERROR(__xludf.DUMMYFUNCTION("GOOGLETRANSLATE(B81, ""en"", ""el"")"),"Αναλύστε και αφαιρέστε με ασφάλεια τα αρχεία ανεπιθύμητης προστασίας που αναλαμβάνουν τη μνήμη και το χώρο αποθήκευσης")</f>
        <v>Αναλύστε και αφαιρέστε με ασφάλεια τα αρχεία ανεπιθύμητης προστασίας που αναλαμβάνουν τη μνήμη και το χώρο αποθήκευσης</v>
      </c>
    </row>
    <row r="82" ht="15.75" customHeight="1">
      <c r="A82" s="4" t="s">
        <v>177</v>
      </c>
      <c r="B82" s="4" t="s">
        <v>178</v>
      </c>
      <c r="C82" s="4" t="str">
        <f>IFERROR(__xludf.DUMMYFUNCTION("GOOGLETRANSLATE(B82, ""en"", ""es"")"),"""Hibernación .....""")</f>
        <v>"Hibernación ....."</v>
      </c>
      <c r="D82" s="4" t="str">
        <f>IFERROR(__xludf.DUMMYFUNCTION("GOOGLETRANSLATE(B82, ""en"", ""pt"")"),"""Hibernação .....""")</f>
        <v>"Hibernação ....."</v>
      </c>
      <c r="E82" s="4" t="str">
        <f>IFERROR(__xludf.DUMMYFUNCTION("GOOGLETRANSLATE(B82, ""en"", ""ar"")"),"""السبات الشتوي..... """)</f>
        <v>"السبات الشتوي..... "</v>
      </c>
      <c r="F82" s="4" t="str">
        <f>IFERROR(__xludf.DUMMYFUNCTION("GOOGLETRANSLATE(B82, ""en"", ""km"")"),"""Hibernation ..... """)</f>
        <v>"Hibernation ..... "</v>
      </c>
      <c r="G82" s="4" t="str">
        <f>IFERROR(__xludf.DUMMYFUNCTION("GOOGLETRANSLATE(B82, ""en"", ""fr"")"),"""Hibernation .....""")</f>
        <v>"Hibernation ....."</v>
      </c>
      <c r="H82" s="4" t="str">
        <f>IFERROR(__xludf.DUMMYFUNCTION("GOOGLETRANSLATE(B82, ""en"", ""ro"")"),"""Hibernare .....""")</f>
        <v>"Hibernare ....."</v>
      </c>
      <c r="I82" s="4" t="str">
        <f>IFERROR(__xludf.DUMMYFUNCTION("GOOGLETRANSLATE(B82, ""en"", ""my"")"),"""hibernation ..... """)</f>
        <v>"hibernation ..... "</v>
      </c>
      <c r="J82" s="4" t="str">
        <f>IFERROR(__xludf.DUMMYFUNCTION("GOOGLETRANSLATE(B82, ""en"", ""sw"")"),"""Hibernation .....""")</f>
        <v>"Hibernation ....."</v>
      </c>
      <c r="K82" s="4" t="str">
        <f>IFERROR(__xludf.DUMMYFUNCTION("GOOGLETRANSLATE(B82, ""en"", ""th"")"),"""ไฮเบอร์เนต ..... """)</f>
        <v>"ไฮเบอร์เนต ..... "</v>
      </c>
      <c r="L82" s="4" t="str">
        <f>IFERROR(__xludf.DUMMYFUNCTION("GOOGLETRANSLATE(B82, ""en"", ""si"")"),"""ශිශිරතාරණය .....""")</f>
        <v>"ශිශිරතාරණය ....."</v>
      </c>
      <c r="M82" s="4" t="str">
        <f>IFERROR(__xludf.DUMMYFUNCTION("GOOGLETRANSLATE(B82, ""en"", ""vi"")"),"""Ngủ đông..... """)</f>
        <v>"Ngủ đông..... "</v>
      </c>
      <c r="N82" s="4" t="str">
        <f>IFERROR(__xludf.DUMMYFUNCTION("GOOGLETRANSLATE(B82, ""en"", ""ne"")"),"""हाइबरनेसन ....."" """)</f>
        <v>"हाइबरनेसन ....." "</v>
      </c>
      <c r="O82" s="4" t="str">
        <f>IFERROR(__xludf.DUMMYFUNCTION("GOOGLETRANSLATE(B82, ""en"", ""de"")"),"""Winterschlaf ...""")</f>
        <v>"Winterschlaf ..."</v>
      </c>
      <c r="P82" s="4" t="str">
        <f>IFERROR(__xludf.DUMMYFUNCTION("GOOGLETRANSLATE(B82, ""en"", ""he"")"),"""מצב תרדמה .....""")</f>
        <v>"מצב תרדמה ....."</v>
      </c>
      <c r="Q82" s="4" t="str">
        <f>IFERROR(__xludf.DUMMYFUNCTION("GOOGLETRANSLATE(B82, ""en"", ""cs"")"),"""Hibernace ....."" """)</f>
        <v>"Hibernace ....." "</v>
      </c>
      <c r="R82" s="4" t="str">
        <f>IFERROR(__xludf.DUMMYFUNCTION("GOOGLETRANSLATE(B82, ""en"", ""it"")"),"""Ibernazione .....""")</f>
        <v>"Ibernazione ....."</v>
      </c>
      <c r="S82" s="4" t="str">
        <f>IFERROR(__xludf.DUMMYFUNCTION("GOOGLETRANSLATE(B82, ""en"", ""el"")"),"""Αδρανοποίηση .....""")</f>
        <v>"Αδρανοποίηση ....."</v>
      </c>
    </row>
    <row r="83" ht="15.75" customHeight="1">
      <c r="A83" s="4" t="s">
        <v>179</v>
      </c>
      <c r="B83" s="4" t="s">
        <v>180</v>
      </c>
      <c r="C83" s="4" t="str">
        <f>IFERROR(__xludf.DUMMYFUNCTION("GOOGLETRANSLATE(B83, ""en"", ""es"")"),"Ocupado / total")</f>
        <v>Ocupado / total</v>
      </c>
      <c r="D83" s="4" t="str">
        <f>IFERROR(__xludf.DUMMYFUNCTION("GOOGLETRANSLATE(B83, ""en"", ""pt"")"),"Ocupado / total")</f>
        <v>Ocupado / total</v>
      </c>
      <c r="E83" s="4" t="str">
        <f>IFERROR(__xludf.DUMMYFUNCTION("GOOGLETRANSLATE(B83, ""en"", ""ar"")"),"مشغول / المجموع")</f>
        <v>مشغول / المجموع</v>
      </c>
      <c r="F83" s="4" t="str">
        <f>IFERROR(__xludf.DUMMYFUNCTION("GOOGLETRANSLATE(B83, ""en"", ""km"")"),"រវល់ / សរុប")</f>
        <v>រវល់ / សរុប</v>
      </c>
      <c r="G83" s="4" t="str">
        <f>IFERROR(__xludf.DUMMYFUNCTION("GOOGLETRANSLATE(B83, ""en"", ""fr"")"),"Occupé / total")</f>
        <v>Occupé / total</v>
      </c>
      <c r="H83" s="4" t="str">
        <f>IFERROR(__xludf.DUMMYFUNCTION("GOOGLETRANSLATE(B83, ""en"", ""ro"")"),"Ocupat / total.")</f>
        <v>Ocupat / total.</v>
      </c>
      <c r="I83" s="4" t="str">
        <f>IFERROR(__xludf.DUMMYFUNCTION("GOOGLETRANSLATE(B83, ""en"", ""my"")"),"အလုပ်များ / စုစုပေါင်း")</f>
        <v>အလုပ်များ / စုစုပေါင်း</v>
      </c>
      <c r="J83" s="4" t="str">
        <f>IFERROR(__xludf.DUMMYFUNCTION("GOOGLETRANSLATE(B83, ""en"", ""sw"")"),"Busy / jumla")</f>
        <v>Busy / jumla</v>
      </c>
      <c r="K83" s="4" t="str">
        <f>IFERROR(__xludf.DUMMYFUNCTION("GOOGLETRANSLATE(B83, ""en"", ""th"")"),"ไม่ว่าง / รวม")</f>
        <v>ไม่ว่าง / รวม</v>
      </c>
      <c r="L83" s="4" t="str">
        <f>IFERROR(__xludf.DUMMYFUNCTION("GOOGLETRANSLATE(B83, ""en"", ""si"")"),"කාර්යබහුල / සම්පූර්ණ")</f>
        <v>කාර්යබහුල / සම්පූර්ණ</v>
      </c>
      <c r="M83" s="4" t="str">
        <f>IFERROR(__xludf.DUMMYFUNCTION("GOOGLETRANSLATE(B83, ""en"", ""vi"")"),"Bận rộn / Tổng cộng")</f>
        <v>Bận rộn / Tổng cộng</v>
      </c>
      <c r="N83" s="4" t="str">
        <f>IFERROR(__xludf.DUMMYFUNCTION("GOOGLETRANSLATE(B83, ""en"", ""ne"")"),"व्यस्त / कुल")</f>
        <v>व्यस्त / कुल</v>
      </c>
      <c r="O83" s="4" t="str">
        <f>IFERROR(__xludf.DUMMYFUNCTION("GOOGLETRANSLATE(B83, ""en"", ""de"")"),"Beschäftigt / insgesamt.")</f>
        <v>Beschäftigt / insgesamt.</v>
      </c>
      <c r="P83" s="4" t="str">
        <f>IFERROR(__xludf.DUMMYFUNCTION("GOOGLETRANSLATE(B83, ""en"", ""he"")"),"עסוק / סה""כ")</f>
        <v>עסוק / סה"כ</v>
      </c>
      <c r="Q83" s="4" t="str">
        <f>IFERROR(__xludf.DUMMYFUNCTION("GOOGLETRANSLATE(B83, ""en"", ""cs"")"),"Zaneprázdněný / celkový")</f>
        <v>Zaneprázdněný / celkový</v>
      </c>
      <c r="R83" s="4" t="str">
        <f>IFERROR(__xludf.DUMMYFUNCTION("GOOGLETRANSLATE(B83, ""en"", ""it"")"),"Occupato / totale.")</f>
        <v>Occupato / totale.</v>
      </c>
      <c r="S83" s="4" t="str">
        <f>IFERROR(__xludf.DUMMYFUNCTION("GOOGLETRANSLATE(B83, ""en"", ""el"")"),"Απασχολημένος / Σύνολο")</f>
        <v>Απασχολημένος / Σύνολο</v>
      </c>
    </row>
    <row r="84" ht="15.75" customHeight="1">
      <c r="A84" s="4" t="s">
        <v>181</v>
      </c>
      <c r="B84" s="4" t="s">
        <v>182</v>
      </c>
      <c r="C84" s="4" t="str">
        <f>IFERROR(__xludf.DUMMYFUNCTION("GOOGLETRANSLATE(B84, ""en"", ""es"")"),"Aplicación protegida")</f>
        <v>Aplicación protegida</v>
      </c>
      <c r="D84" s="4" t="str">
        <f>IFERROR(__xludf.DUMMYFUNCTION("GOOGLETRANSLATE(B84, ""en"", ""pt"")"),"Aplicação protegida")</f>
        <v>Aplicação protegida</v>
      </c>
      <c r="E84" s="4" t="str">
        <f>IFERROR(__xludf.DUMMYFUNCTION("GOOGLETRANSLATE(B84, ""en"", ""ar"")"),"تطبيق محمي")</f>
        <v>تطبيق محمي</v>
      </c>
      <c r="F84" s="4" t="str">
        <f>IFERROR(__xludf.DUMMYFUNCTION("GOOGLETRANSLATE(B84, ""en"", ""km"")"),"ការពារពាក្យសុំ")</f>
        <v>ការពារពាក្យសុំ</v>
      </c>
      <c r="G84" s="4" t="str">
        <f>IFERROR(__xludf.DUMMYFUNCTION("GOOGLETRANSLATE(B84, ""en"", ""fr"")"),"Application protégée")</f>
        <v>Application protégée</v>
      </c>
      <c r="H84" s="4" t="str">
        <f>IFERROR(__xludf.DUMMYFUNCTION("GOOGLETRANSLATE(B84, ""en"", ""ro"")"),"Aplicația protejată")</f>
        <v>Aplicația protejată</v>
      </c>
      <c r="I84" s="4" t="str">
        <f>IFERROR(__xludf.DUMMYFUNCTION("GOOGLETRANSLATE(B84, ""en"", ""my"")"),"လျှောက်လွှာကိုကာကွယ်ထားသည်")</f>
        <v>လျှောက်လွှာကိုကာကွယ်ထားသည်</v>
      </c>
      <c r="J84" s="4" t="str">
        <f>IFERROR(__xludf.DUMMYFUNCTION("GOOGLETRANSLATE(B84, ""en"", ""sw"")"),"Maombi ya ulinzi")</f>
        <v>Maombi ya ulinzi</v>
      </c>
      <c r="K84" s="4" t="str">
        <f>IFERROR(__xludf.DUMMYFUNCTION("GOOGLETRANSLATE(B84, ""en"", ""th"")"),"แอปพลิเคชันป้องกัน")</f>
        <v>แอปพลิเคชันป้องกัน</v>
      </c>
      <c r="L84" s="4" t="str">
        <f>IFERROR(__xludf.DUMMYFUNCTION("GOOGLETRANSLATE(B84, ""en"", ""si"")"),"අයදුම්පත ආරක්ෂා කර ඇත")</f>
        <v>අයදුම්පත ආරක්ෂා කර ඇත</v>
      </c>
      <c r="M84" s="4" t="str">
        <f>IFERROR(__xludf.DUMMYFUNCTION("GOOGLETRANSLATE(B84, ""en"", ""vi"")"),"Ứng dụng được bảo vệ.")</f>
        <v>Ứng dụng được bảo vệ.</v>
      </c>
      <c r="N84" s="4" t="str">
        <f>IFERROR(__xludf.DUMMYFUNCTION("GOOGLETRANSLATE(B84, ""en"", ""ne"")"),"आवेदन सुरक्षित")</f>
        <v>आवेदन सुरक्षित</v>
      </c>
      <c r="O84" s="4" t="str">
        <f>IFERROR(__xludf.DUMMYFUNCTION("GOOGLETRANSLATE(B84, ""en"", ""de"")"),"Anwendung geschützt")</f>
        <v>Anwendung geschützt</v>
      </c>
      <c r="P84" s="4" t="str">
        <f>IFERROR(__xludf.DUMMYFUNCTION("GOOGLETRANSLATE(B84, ""en"", ""he"")"),"היישום מוגן")</f>
        <v>היישום מוגן</v>
      </c>
      <c r="Q84" s="4" t="str">
        <f>IFERROR(__xludf.DUMMYFUNCTION("GOOGLETRANSLATE(B84, ""en"", ""cs"")"),"Chráněná aplikace")</f>
        <v>Chráněná aplikace</v>
      </c>
      <c r="R84" s="4" t="str">
        <f>IFERROR(__xludf.DUMMYFUNCTION("GOOGLETRANSLATE(B84, ""en"", ""it"")"),"Applicazione protetta")</f>
        <v>Applicazione protetta</v>
      </c>
      <c r="S84" s="4" t="str">
        <f>IFERROR(__xludf.DUMMYFUNCTION("GOOGLETRANSLATE(B84, ""en"", ""el"")"),"Προστατεύεται η εφαρμογή")</f>
        <v>Προστατεύεται η εφαρμογή</v>
      </c>
    </row>
    <row r="85" ht="15.75" customHeight="1">
      <c r="A85" s="4" t="s">
        <v>183</v>
      </c>
      <c r="B85" s="4" t="s">
        <v>184</v>
      </c>
      <c r="C85" s="4" t="str">
        <f>IFERROR(__xludf.DUMMYFUNCTION("GOOGLETRANSLATE(B85, ""en"", ""es"")"),"Puede enviar sms")</f>
        <v>Puede enviar sms</v>
      </c>
      <c r="D85" s="4" t="str">
        <f>IFERROR(__xludf.DUMMYFUNCTION("GOOGLETRANSLATE(B85, ""en"", ""pt"")"),"Pode enviar sms.")</f>
        <v>Pode enviar sms.</v>
      </c>
      <c r="E85" s="4" t="str">
        <f>IFERROR(__xludf.DUMMYFUNCTION("GOOGLETRANSLATE(B85, ""en"", ""ar"")"),"يمكن إرسال الرسائل القصيرة")</f>
        <v>يمكن إرسال الرسائل القصيرة</v>
      </c>
      <c r="F85" s="4" t="str">
        <f>IFERROR(__xludf.DUMMYFUNCTION("GOOGLETRANSLATE(B85, ""en"", ""km"")"),"អាចផ្ញើសារ SMS")</f>
        <v>អាចផ្ញើសារ SMS</v>
      </c>
      <c r="G85" s="4" t="str">
        <f>IFERROR(__xludf.DUMMYFUNCTION("GOOGLETRANSLATE(B85, ""en"", ""fr"")"),"Peut envoyer des SMS")</f>
        <v>Peut envoyer des SMS</v>
      </c>
      <c r="H85" s="4" t="str">
        <f>IFERROR(__xludf.DUMMYFUNCTION("GOOGLETRANSLATE(B85, ""en"", ""ro"")"),"Poate trimite SMS.")</f>
        <v>Poate trimite SMS.</v>
      </c>
      <c r="I85" s="4" t="str">
        <f>IFERROR(__xludf.DUMMYFUNCTION("GOOGLETRANSLATE(B85, ""en"", ""my"")"),"SMS ပို့နိုင်သည်")</f>
        <v>SMS ပို့နိုင်သည်</v>
      </c>
      <c r="J85" s="4" t="str">
        <f>IFERROR(__xludf.DUMMYFUNCTION("GOOGLETRANSLATE(B85, ""en"", ""sw"")"),"Inaweza kutuma SMS.")</f>
        <v>Inaweza kutuma SMS.</v>
      </c>
      <c r="K85" s="4" t="str">
        <f>IFERROR(__xludf.DUMMYFUNCTION("GOOGLETRANSLATE(B85, ""en"", ""th"")"),"สามารถส่ง SMS")</f>
        <v>สามารถส่ง SMS</v>
      </c>
      <c r="L85" s="4" t="str">
        <f>IFERROR(__xludf.DUMMYFUNCTION("GOOGLETRANSLATE(B85, ""en"", ""si"")"),"කෙටි පණිවුඩ යැවිය හැකිය")</f>
        <v>කෙටි පණිවුඩ යැවිය හැකිය</v>
      </c>
      <c r="M85" s="4" t="str">
        <f>IFERROR(__xludf.DUMMYFUNCTION("GOOGLETRANSLATE(B85, ""en"", ""vi"")"),"Có thể gửi sms.")</f>
        <v>Có thể gửi sms.</v>
      </c>
      <c r="N85" s="4" t="str">
        <f>IFERROR(__xludf.DUMMYFUNCTION("GOOGLETRANSLATE(B85, ""en"", ""ne"")"),"एसएमएस पठाउन सक्छ")</f>
        <v>एसएमएस पठाउन सक्छ</v>
      </c>
      <c r="O85" s="4" t="str">
        <f>IFERROR(__xludf.DUMMYFUNCTION("GOOGLETRANSLATE(B85, ""en"", ""de"")"),"Kann SMS senden")</f>
        <v>Kann SMS senden</v>
      </c>
      <c r="P85" s="4" t="str">
        <f>IFERROR(__xludf.DUMMYFUNCTION("GOOGLETRANSLATE(B85, ""en"", ""he"")"),"יכול לשלוח SMS.")</f>
        <v>יכול לשלוח SMS.</v>
      </c>
      <c r="Q85" s="4" t="str">
        <f>IFERROR(__xludf.DUMMYFUNCTION("GOOGLETRANSLATE(B85, ""en"", ""cs"")"),"Může posílat SMS.")</f>
        <v>Může posílat SMS.</v>
      </c>
      <c r="R85" s="4" t="str">
        <f>IFERROR(__xludf.DUMMYFUNCTION("GOOGLETRANSLATE(B85, ""en"", ""it"")"),"Può inviare SMS.")</f>
        <v>Può inviare SMS.</v>
      </c>
      <c r="S85" s="4" t="str">
        <f>IFERROR(__xludf.DUMMYFUNCTION("GOOGLETRANSLATE(B85, ""en"", ""el"")"),"Μπορεί να στείλει SMS")</f>
        <v>Μπορεί να στείλει SMS</v>
      </c>
    </row>
    <row r="86" ht="15.75" customHeight="1">
      <c r="A86" s="4" t="s">
        <v>185</v>
      </c>
      <c r="B86" s="4" t="s">
        <v>186</v>
      </c>
      <c r="C86" s="4" t="str">
        <f>IFERROR(__xludf.DUMMYFUNCTION("GOOGLETRANSLATE(B86, ""en"", ""es"")"),"Administrador de archivos inteligente")</f>
        <v>Administrador de archivos inteligente</v>
      </c>
      <c r="D86" s="4" t="str">
        <f>IFERROR(__xludf.DUMMYFUNCTION("GOOGLETRANSLATE(B86, ""en"", ""pt"")"),"Gerenciador de arquivos inteligentes.")</f>
        <v>Gerenciador de arquivos inteligentes.</v>
      </c>
      <c r="E86" s="4" t="str">
        <f>IFERROR(__xludf.DUMMYFUNCTION("GOOGLETRANSLATE(B86, ""en"", ""ar"")"),"مدير الملفات الذكية")</f>
        <v>مدير الملفات الذكية</v>
      </c>
      <c r="F86" s="4" t="str">
        <f>IFERROR(__xludf.DUMMYFUNCTION("GOOGLETRANSLATE(B86, ""en"", ""km"")"),"កម្មវិធីគ្រប់គ្រងឯកសារឆ្លាត")</f>
        <v>កម្មវិធីគ្រប់គ្រងឯកសារឆ្លាត</v>
      </c>
      <c r="G86" s="4" t="str">
        <f>IFERROR(__xludf.DUMMYFUNCTION("GOOGLETRANSLATE(B86, ""en"", ""fr"")"),"Gestionnaire de fichiers intelligents")</f>
        <v>Gestionnaire de fichiers intelligents</v>
      </c>
      <c r="H86" s="4" t="str">
        <f>IFERROR(__xludf.DUMMYFUNCTION("GOOGLETRANSLATE(B86, ""en"", ""ro"")"),"Manager de fișiere inteligente")</f>
        <v>Manager de fișiere inteligente</v>
      </c>
      <c r="I86" s="4" t="str">
        <f>IFERROR(__xludf.DUMMYFUNCTION("GOOGLETRANSLATE(B86, ""en"", ""my"")"),"Smart File Manager")</f>
        <v>Smart File Manager</v>
      </c>
      <c r="J86" s="4" t="str">
        <f>IFERROR(__xludf.DUMMYFUNCTION("GOOGLETRANSLATE(B86, ""en"", ""sw"")"),"Meneja wa faili ya Smart.")</f>
        <v>Meneja wa faili ya Smart.</v>
      </c>
      <c r="K86" s="4" t="str">
        <f>IFERROR(__xludf.DUMMYFUNCTION("GOOGLETRANSLATE(B86, ""en"", ""th"")"),"ตัวจัดการไฟล์สมาร์ท")</f>
        <v>ตัวจัดการไฟล์สมาร์ท</v>
      </c>
      <c r="L86" s="4" t="str">
        <f>IFERROR(__xludf.DUMMYFUNCTION("GOOGLETRANSLATE(B86, ""en"", ""si"")"),"ස්මාර්ට් ගොනු කළමනාකරු")</f>
        <v>ස්මාර්ට් ගොනු කළමනාකරු</v>
      </c>
      <c r="M86" s="4" t="str">
        <f>IFERROR(__xludf.DUMMYFUNCTION("GOOGLETRANSLATE(B86, ""en"", ""vi"")"),"Quản lý tập tin thông minh")</f>
        <v>Quản lý tập tin thông minh</v>
      </c>
      <c r="N86" s="4" t="str">
        <f>IFERROR(__xludf.DUMMYFUNCTION("GOOGLETRANSLATE(B86, ""en"", ""ne"")"),"स्मार्ट फाइल प्रबन्धक")</f>
        <v>स्मार्ट फाइल प्रबन्धक</v>
      </c>
      <c r="O86" s="4" t="str">
        <f>IFERROR(__xludf.DUMMYFUNCTION("GOOGLETRANSLATE(B86, ""en"", ""de"")"),"Smart Dateimanager")</f>
        <v>Smart Dateimanager</v>
      </c>
      <c r="P86" s="4" t="str">
        <f>IFERROR(__xludf.DUMMYFUNCTION("GOOGLETRANSLATE(B86, ""en"", ""he"")"),"מנהל קבצים חכם")</f>
        <v>מנהל קבצים חכם</v>
      </c>
      <c r="Q86" s="4" t="str">
        <f>IFERROR(__xludf.DUMMYFUNCTION("GOOGLETRANSLATE(B86, ""en"", ""cs"")"),"Správce smart souborů")</f>
        <v>Správce smart souborů</v>
      </c>
      <c r="R86" s="4" t="str">
        <f>IFERROR(__xludf.DUMMYFUNCTION("GOOGLETRANSLATE(B86, ""en"", ""it"")"),"Smart File Manager.")</f>
        <v>Smart File Manager.</v>
      </c>
      <c r="S86" s="4" t="str">
        <f>IFERROR(__xludf.DUMMYFUNCTION("GOOGLETRANSLATE(B86, ""en"", ""el"")"),"Smart Manager File")</f>
        <v>Smart Manager File</v>
      </c>
    </row>
    <row r="87" ht="15.75" customHeight="1">
      <c r="A87" s="4" t="s">
        <v>187</v>
      </c>
      <c r="B87" s="4" t="s">
        <v>188</v>
      </c>
      <c r="C87" s="4" t="str">
        <f>IFERROR(__xludf.DUMMYFUNCTION("GOOGLETRANSLATE(B87, ""en"", ""es"")"),"Respuesta:")</f>
        <v>Respuesta:</v>
      </c>
      <c r="D87" s="4" t="str">
        <f>IFERROR(__xludf.DUMMYFUNCTION("GOOGLETRANSLATE(B87, ""en"", ""pt"")"),"Responder:")</f>
        <v>Responder:</v>
      </c>
      <c r="E87" s="4" t="str">
        <f>IFERROR(__xludf.DUMMYFUNCTION("GOOGLETRANSLATE(B87, ""en"", ""ar"")"),"إجابة:")</f>
        <v>إجابة:</v>
      </c>
      <c r="F87" s="4" t="str">
        <f>IFERROR(__xludf.DUMMYFUNCTION("GOOGLETRANSLATE(B87, ""en"", ""km"")"),"ចម្លើយ:")</f>
        <v>ចម្លើយ:</v>
      </c>
      <c r="G87" s="4" t="str">
        <f>IFERROR(__xludf.DUMMYFUNCTION("GOOGLETRANSLATE(B87, ""en"", ""fr"")"),"Réponse:")</f>
        <v>Réponse:</v>
      </c>
      <c r="H87" s="4" t="str">
        <f>IFERROR(__xludf.DUMMYFUNCTION("GOOGLETRANSLATE(B87, ""en"", ""ro"")"),"Răspuns:")</f>
        <v>Răspuns:</v>
      </c>
      <c r="I87" s="4" t="str">
        <f>IFERROR(__xludf.DUMMYFUNCTION("GOOGLETRANSLATE(B87, ""en"", ""my"")"),"အဖြေ:")</f>
        <v>အဖြေ:</v>
      </c>
      <c r="J87" s="4" t="str">
        <f>IFERROR(__xludf.DUMMYFUNCTION("GOOGLETRANSLATE(B87, ""en"", ""sw"")"),"Jibu:")</f>
        <v>Jibu:</v>
      </c>
      <c r="K87" s="4" t="str">
        <f>IFERROR(__xludf.DUMMYFUNCTION("GOOGLETRANSLATE(B87, ""en"", ""th"")"),"ตอบ:")</f>
        <v>ตอบ:</v>
      </c>
      <c r="L87" s="4" t="str">
        <f>IFERROR(__xludf.DUMMYFUNCTION("GOOGLETRANSLATE(B87, ""en"", ""si"")"),"පිළිතුර:")</f>
        <v>පිළිතුර:</v>
      </c>
      <c r="M87" s="4" t="str">
        <f>IFERROR(__xludf.DUMMYFUNCTION("GOOGLETRANSLATE(B87, ""en"", ""vi"")"),"Bài giải:")</f>
        <v>Bài giải:</v>
      </c>
      <c r="N87" s="4" t="str">
        <f>IFERROR(__xludf.DUMMYFUNCTION("GOOGLETRANSLATE(B87, ""en"", ""ne"")"),"उत्तर:")</f>
        <v>उत्तर:</v>
      </c>
      <c r="O87" s="4" t="str">
        <f>IFERROR(__xludf.DUMMYFUNCTION("GOOGLETRANSLATE(B87, ""en"", ""de"")"),"Antworten:")</f>
        <v>Antworten:</v>
      </c>
      <c r="P87" s="4" t="str">
        <f>IFERROR(__xludf.DUMMYFUNCTION("GOOGLETRANSLATE(B87, ""en"", ""he"")"),"תשובה:")</f>
        <v>תשובה:</v>
      </c>
      <c r="Q87" s="4" t="str">
        <f>IFERROR(__xludf.DUMMYFUNCTION("GOOGLETRANSLATE(B87, ""en"", ""cs"")"),"Odpovědět:")</f>
        <v>Odpovědět:</v>
      </c>
      <c r="R87" s="4" t="str">
        <f>IFERROR(__xludf.DUMMYFUNCTION("GOOGLETRANSLATE(B87, ""en"", ""it"")"),"Risposta:")</f>
        <v>Risposta:</v>
      </c>
      <c r="S87" s="4" t="str">
        <f>IFERROR(__xludf.DUMMYFUNCTION("GOOGLETRANSLATE(B87, ""en"", ""el"")"),"Απάντηση:")</f>
        <v>Απάντηση:</v>
      </c>
    </row>
    <row r="88" ht="15.75" customHeight="1">
      <c r="A88" s="4" t="s">
        <v>189</v>
      </c>
      <c r="B88" s="4" t="s">
        <v>190</v>
      </c>
      <c r="C88" s="4" t="str">
        <f>IFERROR(__xludf.DUMMYFUNCTION("GOOGLETRANSLATE(B88, ""en"", ""es"")"),"Use la batería Guardar")</f>
        <v>Use la batería Guardar</v>
      </c>
      <c r="D88" s="4" t="str">
        <f>IFERROR(__xludf.DUMMYFUNCTION("GOOGLETRANSLATE(B88, ""en"", ""pt"")"),"Use a bateria Save.")</f>
        <v>Use a bateria Save.</v>
      </c>
      <c r="E88" s="4" t="str">
        <f>IFERROR(__xludf.DUMMYFUNCTION("GOOGLETRANSLATE(B88, ""en"", ""ar"")"),"استخدام البطارية حفظ")</f>
        <v>استخدام البطارية حفظ</v>
      </c>
      <c r="F88" s="4" t="str">
        <f>IFERROR(__xludf.DUMMYFUNCTION("GOOGLETRANSLATE(B88, ""en"", ""km"")"),"ប្រើការរក្សាទុកថ្ម")</f>
        <v>ប្រើការរក្សាទុកថ្ម</v>
      </c>
      <c r="G88" s="4" t="str">
        <f>IFERROR(__xludf.DUMMYFUNCTION("GOOGLETRANSLATE(B88, ""en"", ""fr"")"),"Utilisez la batterie Save")</f>
        <v>Utilisez la batterie Save</v>
      </c>
      <c r="H88" s="4" t="str">
        <f>IFERROR(__xludf.DUMMYFUNCTION("GOOGLETRANSLATE(B88, ""en"", ""ro"")"),"Utilizați salvarea bateriei")</f>
        <v>Utilizați salvarea bateriei</v>
      </c>
      <c r="I88" s="4" t="str">
        <f>IFERROR(__xludf.DUMMYFUNCTION("GOOGLETRANSLATE(B88, ""en"", ""my"")"),"အသုံးပြုမှုဘက်ထရီကိုသုံးပါ")</f>
        <v>အသုံးပြုမှုဘက်ထရီကိုသုံးပါ</v>
      </c>
      <c r="J88" s="4" t="str">
        <f>IFERROR(__xludf.DUMMYFUNCTION("GOOGLETRANSLATE(B88, ""en"", ""sw"")"),"Tumia salama ya betri.")</f>
        <v>Tumia salama ya betri.</v>
      </c>
      <c r="K88" s="4" t="str">
        <f>IFERROR(__xludf.DUMMYFUNCTION("GOOGLETRANSLATE(B88, ""en"", ""th"")"),"ใช้แบตเตอรี่บันทึก")</f>
        <v>ใช้แบตเตอรี่บันทึก</v>
      </c>
      <c r="L88" s="4" t="str">
        <f>IFERROR(__xludf.DUMMYFUNCTION("GOOGLETRANSLATE(B88, ""en"", ""si"")"),"බැටරි සුරකින්න භාවිතා කරන්න")</f>
        <v>බැටරි සුරකින්න භාවිතා කරන්න</v>
      </c>
      <c r="M88" s="4" t="str">
        <f>IFERROR(__xludf.DUMMYFUNCTION("GOOGLETRANSLATE(B88, ""en"", ""vi"")"),"Sử dụng pin tiết kiệm")</f>
        <v>Sử dụng pin tiết kiệm</v>
      </c>
      <c r="N88" s="4" t="str">
        <f>IFERROR(__xludf.DUMMYFUNCTION("GOOGLETRANSLATE(B88, ""en"", ""ne"")"),"ब्याट्री बचत प्रयोग गर्नुहोस्")</f>
        <v>ब्याट्री बचत प्रयोग गर्नुहोस्</v>
      </c>
      <c r="O88" s="4" t="str">
        <f>IFERROR(__xludf.DUMMYFUNCTION("GOOGLETRANSLATE(B88, ""en"", ""de"")"),"Verwenden Sie den Batteriespeicher")</f>
        <v>Verwenden Sie den Batteriespeicher</v>
      </c>
      <c r="P88" s="4" t="str">
        <f>IFERROR(__xludf.DUMMYFUNCTION("GOOGLETRANSLATE(B88, ""en"", ""he"")"),"השתמש בסוללה שמור")</f>
        <v>השתמש בסוללה שמור</v>
      </c>
      <c r="Q88" s="4" t="str">
        <f>IFERROR(__xludf.DUMMYFUNCTION("GOOGLETRANSLATE(B88, ""en"", ""cs"")"),"Použijte baterii Save.")</f>
        <v>Použijte baterii Save.</v>
      </c>
      <c r="R88" s="4" t="str">
        <f>IFERROR(__xludf.DUMMYFUNCTION("GOOGLETRANSLATE(B88, ""en"", ""it"")"),"Utilizzare la batteria Salva")</f>
        <v>Utilizzare la batteria Salva</v>
      </c>
      <c r="S88" s="4" t="str">
        <f>IFERROR(__xludf.DUMMYFUNCTION("GOOGLETRANSLATE(B88, ""en"", ""el"")"),"Χρησιμοποιήστε την μπαταρία Αποθήκευση")</f>
        <v>Χρησιμοποιήστε την μπαταρία Αποθήκευση</v>
      </c>
    </row>
    <row r="89" ht="15.75" customHeight="1">
      <c r="A89" s="4" t="s">
        <v>191</v>
      </c>
      <c r="B89" s="4" t="s">
        <v>192</v>
      </c>
      <c r="C89" s="4" t="str">
        <f>IFERROR(__xludf.DUMMYFUNCTION("GOOGLETRANSLATE(B89, ""en"", ""es"")"),"En este momento")</f>
        <v>En este momento</v>
      </c>
      <c r="D89" s="4" t="str">
        <f>IFERROR(__xludf.DUMMYFUNCTION("GOOGLETRANSLATE(B89, ""en"", ""pt"")"),"agora mesmo")</f>
        <v>agora mesmo</v>
      </c>
      <c r="E89" s="4" t="str">
        <f>IFERROR(__xludf.DUMMYFUNCTION("GOOGLETRANSLATE(B89, ""en"", ""ar"")"),"الآن")</f>
        <v>الآن</v>
      </c>
      <c r="F89" s="4" t="str">
        <f>IFERROR(__xludf.DUMMYFUNCTION("GOOGLETRANSLATE(B89, ""en"", ""km"")"),"ឥឡូវនេះ")</f>
        <v>ឥឡូវនេះ</v>
      </c>
      <c r="G89" s="4" t="str">
        <f>IFERROR(__xludf.DUMMYFUNCTION("GOOGLETRANSLATE(B89, ""en"", ""fr"")"),"juste maintenant")</f>
        <v>juste maintenant</v>
      </c>
      <c r="H89" s="4" t="str">
        <f>IFERROR(__xludf.DUMMYFUNCTION("GOOGLETRANSLATE(B89, ""en"", ""ro"")"),"chiar acum")</f>
        <v>chiar acum</v>
      </c>
      <c r="I89" s="4" t="str">
        <f>IFERROR(__xludf.DUMMYFUNCTION("GOOGLETRANSLATE(B89, ""en"", ""my"")"),"အခုပဲ")</f>
        <v>အခုပဲ</v>
      </c>
      <c r="J89" s="4" t="str">
        <f>IFERROR(__xludf.DUMMYFUNCTION("GOOGLETRANSLATE(B89, ""en"", ""sw"")"),"sasa hivi")</f>
        <v>sasa hivi</v>
      </c>
      <c r="K89" s="4" t="str">
        <f>IFERROR(__xludf.DUMMYFUNCTION("GOOGLETRANSLATE(B89, ""en"", ""th"")"),"ตอนนี้")</f>
        <v>ตอนนี้</v>
      </c>
      <c r="L89" s="4" t="str">
        <f>IFERROR(__xludf.DUMMYFUNCTION("GOOGLETRANSLATE(B89, ""en"", ""si"")"),"මේ දැන්")</f>
        <v>මේ දැන්</v>
      </c>
      <c r="M89" s="4" t="str">
        <f>IFERROR(__xludf.DUMMYFUNCTION("GOOGLETRANSLATE(B89, ""en"", ""vi"")"),"ngay bây giờ")</f>
        <v>ngay bây giờ</v>
      </c>
      <c r="N89" s="4" t="str">
        <f>IFERROR(__xludf.DUMMYFUNCTION("GOOGLETRANSLATE(B89, ""en"", ""ne"")"),"भर्खरै")</f>
        <v>भर्खरै</v>
      </c>
      <c r="O89" s="4" t="str">
        <f>IFERROR(__xludf.DUMMYFUNCTION("GOOGLETRANSLATE(B89, ""en"", ""de"")"),"Grade eben")</f>
        <v>Grade eben</v>
      </c>
      <c r="P89" s="4" t="str">
        <f>IFERROR(__xludf.DUMMYFUNCTION("GOOGLETRANSLATE(B89, ""en"", ""he"")"),"זֶה עַתָה")</f>
        <v>זֶה עַתָה</v>
      </c>
      <c r="Q89" s="4" t="str">
        <f>IFERROR(__xludf.DUMMYFUNCTION("GOOGLETRANSLATE(B89, ""en"", ""cs"")"),"právě teď")</f>
        <v>právě teď</v>
      </c>
      <c r="R89" s="4" t="str">
        <f>IFERROR(__xludf.DUMMYFUNCTION("GOOGLETRANSLATE(B89, ""en"", ""it"")"),"proprio adesso")</f>
        <v>proprio adesso</v>
      </c>
      <c r="S89" s="4" t="str">
        <f>IFERROR(__xludf.DUMMYFUNCTION("GOOGLETRANSLATE(B89, ""en"", ""el"")"),"μόλις τώρα")</f>
        <v>μόλις τώρα</v>
      </c>
    </row>
    <row r="90" ht="15.75" customHeight="1">
      <c r="A90" s="4" t="s">
        <v>193</v>
      </c>
      <c r="B90" s="4" t="s">
        <v>194</v>
      </c>
      <c r="C90" s="4" t="str">
        <f>IFERROR(__xludf.DUMMYFUNCTION("GOOGLETRANSLATE(B90, ""en"", ""es"")"),"Otra aplicación")</f>
        <v>Otra aplicación</v>
      </c>
      <c r="D90" s="4" t="str">
        <f>IFERROR(__xludf.DUMMYFUNCTION("GOOGLETRANSLATE(B90, ""en"", ""pt"")"),"Outra aplicação")</f>
        <v>Outra aplicação</v>
      </c>
      <c r="E90" s="4" t="str">
        <f>IFERROR(__xludf.DUMMYFUNCTION("GOOGLETRANSLATE(B90, ""en"", ""ar"")"),"تطبيق آخر")</f>
        <v>تطبيق آخر</v>
      </c>
      <c r="F90" s="4" t="str">
        <f>IFERROR(__xludf.DUMMYFUNCTION("GOOGLETRANSLATE(B90, ""en"", ""km"")"),"កម្មវិធីផ្សេងទៀត")</f>
        <v>កម្មវិធីផ្សេងទៀត</v>
      </c>
      <c r="G90" s="4" t="str">
        <f>IFERROR(__xludf.DUMMYFUNCTION("GOOGLETRANSLATE(B90, ""en"", ""fr"")"),"Autre application")</f>
        <v>Autre application</v>
      </c>
      <c r="H90" s="4" t="str">
        <f>IFERROR(__xludf.DUMMYFUNCTION("GOOGLETRANSLATE(B90, ""en"", ""ro"")"),"Alte aplicații")</f>
        <v>Alte aplicații</v>
      </c>
      <c r="I90" s="4" t="str">
        <f>IFERROR(__xludf.DUMMYFUNCTION("GOOGLETRANSLATE(B90, ""en"", ""my"")"),"အခြားလျှောက်လွှာ")</f>
        <v>အခြားလျှောက်လွှာ</v>
      </c>
      <c r="J90" s="4" t="str">
        <f>IFERROR(__xludf.DUMMYFUNCTION("GOOGLETRANSLATE(B90, ""en"", ""sw"")"),"Maombi mengine")</f>
        <v>Maombi mengine</v>
      </c>
      <c r="K90" s="4" t="str">
        <f>IFERROR(__xludf.DUMMYFUNCTION("GOOGLETRANSLATE(B90, ""en"", ""th"")"),"แอปพลิเคชันอื่น ๆ")</f>
        <v>แอปพลิเคชันอื่น ๆ</v>
      </c>
      <c r="L90" s="4" t="str">
        <f>IFERROR(__xludf.DUMMYFUNCTION("GOOGLETRANSLATE(B90, ""en"", ""si"")"),"වෙනත් අයදුම්පතක්")</f>
        <v>වෙනත් අයදුම්පතක්</v>
      </c>
      <c r="M90" s="4" t="str">
        <f>IFERROR(__xludf.DUMMYFUNCTION("GOOGLETRANSLATE(B90, ""en"", ""vi"")"),"Ứng dụng khác")</f>
        <v>Ứng dụng khác</v>
      </c>
      <c r="N90" s="4" t="str">
        <f>IFERROR(__xludf.DUMMYFUNCTION("GOOGLETRANSLATE(B90, ""en"", ""ne"")"),"अन्य अनुप्रयोग")</f>
        <v>अन्य अनुप्रयोग</v>
      </c>
      <c r="O90" s="4" t="str">
        <f>IFERROR(__xludf.DUMMYFUNCTION("GOOGLETRANSLATE(B90, ""en"", ""de"")"),"Andere Anwendung")</f>
        <v>Andere Anwendung</v>
      </c>
      <c r="P90" s="4" t="str">
        <f>IFERROR(__xludf.DUMMYFUNCTION("GOOGLETRANSLATE(B90, ""en"", ""he"")"),"יישומים אחרים")</f>
        <v>יישומים אחרים</v>
      </c>
      <c r="Q90" s="4" t="str">
        <f>IFERROR(__xludf.DUMMYFUNCTION("GOOGLETRANSLATE(B90, ""en"", ""cs"")"),"Další aplikace")</f>
        <v>Další aplikace</v>
      </c>
      <c r="R90" s="4" t="str">
        <f>IFERROR(__xludf.DUMMYFUNCTION("GOOGLETRANSLATE(B90, ""en"", ""it"")"),"Altra applicazione")</f>
        <v>Altra applicazione</v>
      </c>
      <c r="S90" s="4" t="str">
        <f>IFERROR(__xludf.DUMMYFUNCTION("GOOGLETRANSLATE(B90, ""en"", ""el"")"),"Άλλη αίτηση")</f>
        <v>Άλλη αίτηση</v>
      </c>
    </row>
    <row r="91" ht="15.75" customHeight="1">
      <c r="A91" s="4" t="s">
        <v>195</v>
      </c>
      <c r="B91" s="4" t="s">
        <v>196</v>
      </c>
      <c r="C91" s="4" t="str">
        <f>IFERROR(__xludf.DUMMYFUNCTION("GOOGLETRANSLATE(B91, ""en"", ""es"")"),"Grant ahora")</f>
        <v>Grant ahora</v>
      </c>
      <c r="D91" s="4" t="str">
        <f>IFERROR(__xludf.DUMMYFUNCTION("GOOGLETRANSLATE(B91, ""en"", ""pt"")"),"Conceder agora")</f>
        <v>Conceder agora</v>
      </c>
      <c r="E91" s="4" t="str">
        <f>IFERROR(__xludf.DUMMYFUNCTION("GOOGLETRANSLATE(B91, ""en"", ""ar"")"),"منح الآن")</f>
        <v>منح الآن</v>
      </c>
      <c r="F91" s="4" t="str">
        <f>IFERROR(__xludf.DUMMYFUNCTION("GOOGLETRANSLATE(B91, ""en"", ""km"")"),"ផ្តល់ជំនួយឥឡូវនេះ")</f>
        <v>ផ្តល់ជំនួយឥឡូវនេះ</v>
      </c>
      <c r="G91" s="4" t="str">
        <f>IFERROR(__xludf.DUMMYFUNCTION("GOOGLETRANSLATE(B91, ""en"", ""fr"")"),"Accorder maintenant")</f>
        <v>Accorder maintenant</v>
      </c>
      <c r="H91" s="4" t="str">
        <f>IFERROR(__xludf.DUMMYFUNCTION("GOOGLETRANSLATE(B91, ""en"", ""ro"")"),"Acordați acum")</f>
        <v>Acordați acum</v>
      </c>
      <c r="I91" s="4" t="str">
        <f>IFERROR(__xludf.DUMMYFUNCTION("GOOGLETRANSLATE(B91, ""en"", ""my"")"),"အခု grant")</f>
        <v>အခု grant</v>
      </c>
      <c r="J91" s="4" t="str">
        <f>IFERROR(__xludf.DUMMYFUNCTION("GOOGLETRANSLATE(B91, ""en"", ""sw"")"),"Ruzuku sasa")</f>
        <v>Ruzuku sasa</v>
      </c>
      <c r="K91" s="4" t="str">
        <f>IFERROR(__xludf.DUMMYFUNCTION("GOOGLETRANSLATE(B91, ""en"", ""th"")"),"ให้ตอนนี้")</f>
        <v>ให้ตอนนี้</v>
      </c>
      <c r="L91" s="4" t="str">
        <f>IFERROR(__xludf.DUMMYFUNCTION("GOOGLETRANSLATE(B91, ""en"", ""si"")"),"දැන් ග්රාන්ට්")</f>
        <v>දැන් ග්රාන්ට්</v>
      </c>
      <c r="M91" s="4" t="str">
        <f>IFERROR(__xludf.DUMMYFUNCTION("GOOGLETRANSLATE(B91, ""en"", ""vi"")"),"Cấp ngay bây giờ")</f>
        <v>Cấp ngay bây giờ</v>
      </c>
      <c r="N91" s="4" t="str">
        <f>IFERROR(__xludf.DUMMYFUNCTION("GOOGLETRANSLATE(B91, ""en"", ""ne"")"),"अनुदान अब")</f>
        <v>अनुदान अब</v>
      </c>
      <c r="O91" s="4" t="str">
        <f>IFERROR(__xludf.DUMMYFUNCTION("GOOGLETRANSLATE(B91, ""en"", ""de"")"),"Grant jetzt")</f>
        <v>Grant jetzt</v>
      </c>
      <c r="P91" s="4" t="str">
        <f>IFERROR(__xludf.DUMMYFUNCTION("GOOGLETRANSLATE(B91, ""en"", ""he"")"),"מענק עכשיו")</f>
        <v>מענק עכשיו</v>
      </c>
      <c r="Q91" s="4" t="str">
        <f>IFERROR(__xludf.DUMMYFUNCTION("GOOGLETRANSLATE(B91, ""en"", ""cs"")"),"Grant teď")</f>
        <v>Grant teď</v>
      </c>
      <c r="R91" s="4" t="str">
        <f>IFERROR(__xludf.DUMMYFUNCTION("GOOGLETRANSLATE(B91, ""en"", ""it"")"),"Grant Now.")</f>
        <v>Grant Now.</v>
      </c>
      <c r="S91" s="4" t="str">
        <f>IFERROR(__xludf.DUMMYFUNCTION("GOOGLETRANSLATE(B91, ""en"", ""el"")"),"Επιχορήγηση τώρα")</f>
        <v>Επιχορήγηση τώρα</v>
      </c>
    </row>
    <row r="92" ht="15.75" customHeight="1">
      <c r="A92" s="4" t="s">
        <v>197</v>
      </c>
      <c r="B92" s="4" t="s">
        <v>198</v>
      </c>
      <c r="C92" s="4" t="str">
        <f>IFERROR(__xludf.DUMMYFUNCTION("GOOGLETRANSLATE(B92, ""en"", ""es"")"),"Puede grabar audio")</f>
        <v>Puede grabar audio</v>
      </c>
      <c r="D92" s="4" t="str">
        <f>IFERROR(__xludf.DUMMYFUNCTION("GOOGLETRANSLATE(B92, ""en"", ""pt"")"),"Pode gravar áudio.")</f>
        <v>Pode gravar áudio.</v>
      </c>
      <c r="E92" s="4" t="str">
        <f>IFERROR(__xludf.DUMMYFUNCTION("GOOGLETRANSLATE(B92, ""en"", ""ar"")"),"يمكن تسجيل الصوت")</f>
        <v>يمكن تسجيل الصوت</v>
      </c>
      <c r="F92" s="4" t="str">
        <f>IFERROR(__xludf.DUMMYFUNCTION("GOOGLETRANSLATE(B92, ""en"", ""km"")"),"អាចថតសំលេង")</f>
        <v>អាចថតសំលេង</v>
      </c>
      <c r="G92" s="4" t="str">
        <f>IFERROR(__xludf.DUMMYFUNCTION("GOOGLETRANSLATE(B92, ""en"", ""fr"")"),"Peut enregistrer audio")</f>
        <v>Peut enregistrer audio</v>
      </c>
      <c r="H92" s="4" t="str">
        <f>IFERROR(__xludf.DUMMYFUNCTION("GOOGLETRANSLATE(B92, ""en"", ""ro"")"),"Poate înregistra audio")</f>
        <v>Poate înregistra audio</v>
      </c>
      <c r="I92" s="4" t="str">
        <f>IFERROR(__xludf.DUMMYFUNCTION("GOOGLETRANSLATE(B92, ""en"", ""my"")"),"အသံကိုအသံသွင်းနိုင်ပါတယ်")</f>
        <v>အသံကိုအသံသွင်းနိုင်ပါတယ်</v>
      </c>
      <c r="J92" s="4" t="str">
        <f>IFERROR(__xludf.DUMMYFUNCTION("GOOGLETRANSLATE(B92, ""en"", ""sw"")"),"Inaweza kurekodi audio.")</f>
        <v>Inaweza kurekodi audio.</v>
      </c>
      <c r="K92" s="4" t="str">
        <f>IFERROR(__xludf.DUMMYFUNCTION("GOOGLETRANSLATE(B92, ""en"", ""th"")"),"สามารถบันทึกเสียง")</f>
        <v>สามารถบันทึกเสียง</v>
      </c>
      <c r="L92" s="4" t="str">
        <f>IFERROR(__xludf.DUMMYFUNCTION("GOOGLETRANSLATE(B92, ""en"", ""si"")"),"ශ්රව්ය උපකරණ පටිගත කළ හැකිය")</f>
        <v>ශ්රව්ය උපකරණ පටිගත කළ හැකිය</v>
      </c>
      <c r="M92" s="4" t="str">
        <f>IFERROR(__xludf.DUMMYFUNCTION("GOOGLETRANSLATE(B92, ""en"", ""vi"")"),"Có thể ghi lại âm thanh")</f>
        <v>Có thể ghi lại âm thanh</v>
      </c>
      <c r="N92" s="4" t="str">
        <f>IFERROR(__xludf.DUMMYFUNCTION("GOOGLETRANSLATE(B92, ""en"", ""ne"")"),"अडियो रेकर्ड गर्न सक्नुहुन्छ")</f>
        <v>अडियो रेकर्ड गर्न सक्नुहुन्छ</v>
      </c>
      <c r="O92" s="4" t="str">
        <f>IFERROR(__xludf.DUMMYFUNCTION("GOOGLETRANSLATE(B92, ""en"", ""de"")"),"Kann Audio aufnehmen")</f>
        <v>Kann Audio aufnehmen</v>
      </c>
      <c r="P92" s="4" t="str">
        <f>IFERROR(__xludf.DUMMYFUNCTION("GOOGLETRANSLATE(B92, ""en"", ""he"")"),"יכול להקליט אודיו")</f>
        <v>יכול להקליט אודיו</v>
      </c>
      <c r="Q92" s="4" t="str">
        <f>IFERROR(__xludf.DUMMYFUNCTION("GOOGLETRANSLATE(B92, ""en"", ""cs"")"),"Může nahrávat zvuk")</f>
        <v>Může nahrávat zvuk</v>
      </c>
      <c r="R92" s="4" t="str">
        <f>IFERROR(__xludf.DUMMYFUNCTION("GOOGLETRANSLATE(B92, ""en"", ""it"")"),"Può registrare audio")</f>
        <v>Può registrare audio</v>
      </c>
      <c r="S92" s="4" t="str">
        <f>IFERROR(__xludf.DUMMYFUNCTION("GOOGLETRANSLATE(B92, ""en"", ""el"")"),"Μπορεί να εγγράψει ήχο")</f>
        <v>Μπορεί να εγγράψει ήχο</v>
      </c>
    </row>
    <row r="93" ht="15.75" customHeight="1">
      <c r="A93" s="4" t="s">
        <v>199</v>
      </c>
      <c r="B93" s="4" t="s">
        <v>200</v>
      </c>
      <c r="C93" s="4" t="str">
        <f>IFERROR(__xludf.DUMMYFUNCTION("GOOGLETRANSLATE(B93, ""en"", ""es"")"),"Configuración general")</f>
        <v>Configuración general</v>
      </c>
      <c r="D93" s="4" t="str">
        <f>IFERROR(__xludf.DUMMYFUNCTION("GOOGLETRANSLATE(B93, ""en"", ""pt"")"),"Configurações Gerais")</f>
        <v>Configurações Gerais</v>
      </c>
      <c r="E93" s="4" t="str">
        <f>IFERROR(__xludf.DUMMYFUNCTION("GOOGLETRANSLATE(B93, ""en"", ""ar"")"),"الاعدادات العامة")</f>
        <v>الاعدادات العامة</v>
      </c>
      <c r="F93" s="4" t="str">
        <f>IFERROR(__xludf.DUMMYFUNCTION("GOOGLETRANSLATE(B93, ""en"", ""km"")"),"ការកំណត់​ទូទៅ")</f>
        <v>ការកំណត់​ទូទៅ</v>
      </c>
      <c r="G93" s="4" t="str">
        <f>IFERROR(__xludf.DUMMYFUNCTION("GOOGLETRANSLATE(B93, ""en"", ""fr"")"),"réglages généraux")</f>
        <v>réglages généraux</v>
      </c>
      <c r="H93" s="4" t="str">
        <f>IFERROR(__xludf.DUMMYFUNCTION("GOOGLETRANSLATE(B93, ""en"", ""ro"")"),"setari generale")</f>
        <v>setari generale</v>
      </c>
      <c r="I93" s="4" t="str">
        <f>IFERROR(__xludf.DUMMYFUNCTION("GOOGLETRANSLATE(B93, ""en"", ""my"")"),"အထွေထွေဆက်တင်များ")</f>
        <v>အထွေထွေဆက်တင်များ</v>
      </c>
      <c r="J93" s="4" t="str">
        <f>IFERROR(__xludf.DUMMYFUNCTION("GOOGLETRANSLATE(B93, ""en"", ""sw"")"),"Mipangilio ya jumla")</f>
        <v>Mipangilio ya jumla</v>
      </c>
      <c r="K93" s="4" t="str">
        <f>IFERROR(__xludf.DUMMYFUNCTION("GOOGLETRANSLATE(B93, ""en"", ""th"")"),"การตั้งค่าทั่วไป")</f>
        <v>การตั้งค่าทั่วไป</v>
      </c>
      <c r="L93" s="4" t="str">
        <f>IFERROR(__xludf.DUMMYFUNCTION("GOOGLETRANSLATE(B93, ""en"", ""si"")"),"සාමාන්ය සැකසුම්")</f>
        <v>සාමාන්ය සැකසුම්</v>
      </c>
      <c r="M93" s="4" t="str">
        <f>IFERROR(__xludf.DUMMYFUNCTION("GOOGLETRANSLATE(B93, ""en"", ""vi"")"),"Cài đặt chung")</f>
        <v>Cài đặt chung</v>
      </c>
      <c r="N93" s="4" t="str">
        <f>IFERROR(__xludf.DUMMYFUNCTION("GOOGLETRANSLATE(B93, ""en"", ""ne"")"),"सामान्य सेटिंग्स")</f>
        <v>सामान्य सेटिंग्स</v>
      </c>
      <c r="O93" s="4" t="str">
        <f>IFERROR(__xludf.DUMMYFUNCTION("GOOGLETRANSLATE(B93, ""en"", ""de"")"),"Allgemeine Einstellungen")</f>
        <v>Allgemeine Einstellungen</v>
      </c>
      <c r="P93" s="4" t="str">
        <f>IFERROR(__xludf.DUMMYFUNCTION("GOOGLETRANSLATE(B93, ""en"", ""he"")"),"הגדרות כלליות")</f>
        <v>הגדרות כלליות</v>
      </c>
      <c r="Q93" s="4" t="str">
        <f>IFERROR(__xludf.DUMMYFUNCTION("GOOGLETRANSLATE(B93, ""en"", ""cs"")"),"Obecné nastavení")</f>
        <v>Obecné nastavení</v>
      </c>
      <c r="R93" s="4" t="str">
        <f>IFERROR(__xludf.DUMMYFUNCTION("GOOGLETRANSLATE(B93, ""en"", ""it"")"),"impostazioni generali")</f>
        <v>impostazioni generali</v>
      </c>
      <c r="S93" s="4" t="str">
        <f>IFERROR(__xludf.DUMMYFUNCTION("GOOGLETRANSLATE(B93, ""en"", ""el"")"),"Γενικές Ρυθμίσεις")</f>
        <v>Γενικές Ρυθμίσεις</v>
      </c>
    </row>
    <row r="94" ht="15.75" customHeight="1">
      <c r="A94" s="4" t="s">
        <v>201</v>
      </c>
      <c r="B94" s="4" t="s">
        <v>202</v>
      </c>
      <c r="C94" s="4" t="str">
        <f>IFERROR(__xludf.DUMMYFUNCTION("GOOGLETRANSLATE(B94, ""en"", ""es"")"),"Seleccione el juego para acelerar")</f>
        <v>Seleccione el juego para acelerar</v>
      </c>
      <c r="D94" s="4" t="str">
        <f>IFERROR(__xludf.DUMMYFUNCTION("GOOGLETRANSLATE(B94, ""en"", ""pt"")"),"Selecione o jogo para acelerar")</f>
        <v>Selecione o jogo para acelerar</v>
      </c>
      <c r="E94" s="4" t="str">
        <f>IFERROR(__xludf.DUMMYFUNCTION("GOOGLETRANSLATE(B94, ""en"", ""ar"")"),"حدد لعبة لتسريع")</f>
        <v>حدد لعبة لتسريع</v>
      </c>
      <c r="F94" s="4" t="str">
        <f>IFERROR(__xludf.DUMMYFUNCTION("GOOGLETRANSLATE(B94, ""en"", ""km"")"),"ជ្រើសរើសហ្គេមដើម្បីបង្កើនល្បឿន")</f>
        <v>ជ្រើសរើសហ្គេមដើម្បីបង្កើនល្បឿន</v>
      </c>
      <c r="G94" s="4" t="str">
        <f>IFERROR(__xludf.DUMMYFUNCTION("GOOGLETRANSLATE(B94, ""en"", ""fr"")"),"Sélectionnez le jeu pour accélérer")</f>
        <v>Sélectionnez le jeu pour accélérer</v>
      </c>
      <c r="H94" s="4" t="str">
        <f>IFERROR(__xludf.DUMMYFUNCTION("GOOGLETRANSLATE(B94, ""en"", ""ro"")"),"Selectați jocul pentru a accelera")</f>
        <v>Selectați jocul pentru a accelera</v>
      </c>
      <c r="I94" s="4" t="str">
        <f>IFERROR(__xludf.DUMMYFUNCTION("GOOGLETRANSLATE(B94, ""en"", ""my"")"),"အရှိန်မြှင့်ရန်ဂိမ်းကိုရွေးပါ")</f>
        <v>အရှိန်မြှင့်ရန်ဂိမ်းကိုရွေးပါ</v>
      </c>
      <c r="J94" s="4" t="str">
        <f>IFERROR(__xludf.DUMMYFUNCTION("GOOGLETRANSLATE(B94, ""en"", ""sw"")"),"Chagua mchezo ili kuharakisha")</f>
        <v>Chagua mchezo ili kuharakisha</v>
      </c>
      <c r="K94" s="4" t="str">
        <f>IFERROR(__xludf.DUMMYFUNCTION("GOOGLETRANSLATE(B94, ""en"", ""th"")"),"เลือกเกมเพื่อเร่งความเร็ว")</f>
        <v>เลือกเกมเพื่อเร่งความเร็ว</v>
      </c>
      <c r="L94" s="4" t="str">
        <f>IFERROR(__xludf.DUMMYFUNCTION("GOOGLETRANSLATE(B94, ""en"", ""si"")"),"වේගවත් කිරීමට ක්රීඩාව තෝරන්න")</f>
        <v>වේගවත් කිරීමට ක්රීඩාව තෝරන්න</v>
      </c>
      <c r="M94" s="4" t="str">
        <f>IFERROR(__xludf.DUMMYFUNCTION("GOOGLETRANSLATE(B94, ""en"", ""vi"")"),"Chọn trò chơi để tăng tốc")</f>
        <v>Chọn trò chơi để tăng tốc</v>
      </c>
      <c r="N94" s="4" t="str">
        <f>IFERROR(__xludf.DUMMYFUNCTION("GOOGLETRANSLATE(B94, ""en"", ""ne"")"),"गति चलाउन खेल चयन गर्नुहोस्")</f>
        <v>गति चलाउन खेल चयन गर्नुहोस्</v>
      </c>
      <c r="O94" s="4" t="str">
        <f>IFERROR(__xludf.DUMMYFUNCTION("GOOGLETRANSLATE(B94, ""en"", ""de"")"),"Wählen Sie das Spiel, um zu beschleunigen")</f>
        <v>Wählen Sie das Spiel, um zu beschleunigen</v>
      </c>
      <c r="P94" s="4" t="str">
        <f>IFERROR(__xludf.DUMMYFUNCTION("GOOGLETRANSLATE(B94, ""en"", ""he"")"),"בחר משחק כדי להאיץ")</f>
        <v>בחר משחק כדי להאיץ</v>
      </c>
      <c r="Q94" s="4" t="str">
        <f>IFERROR(__xludf.DUMMYFUNCTION("GOOGLETRANSLATE(B94, ""en"", ""cs"")"),"Zrychlete hru pro urychlení")</f>
        <v>Zrychlete hru pro urychlení</v>
      </c>
      <c r="R94" s="4" t="str">
        <f>IFERROR(__xludf.DUMMYFUNCTION("GOOGLETRANSLATE(B94, ""en"", ""it"")"),"Seleziona il gioco per accelerare")</f>
        <v>Seleziona il gioco per accelerare</v>
      </c>
      <c r="S94" s="4" t="str">
        <f>IFERROR(__xludf.DUMMYFUNCTION("GOOGLETRANSLATE(B94, ""en"", ""el"")"),"Επιλέξτε το παιχνίδι για να επιταχυνθεί")</f>
        <v>Επιλέξτε το παιχνίδι για να επιταχυνθεί</v>
      </c>
    </row>
    <row r="95" ht="15.75" customHeight="1">
      <c r="A95" s="4" t="s">
        <v>203</v>
      </c>
      <c r="B95" s="4" t="s">
        <v>204</v>
      </c>
      <c r="C95" s="4" t="str">
        <f>IFERROR(__xludf.DUMMYFUNCTION("GOOGLETRANSLATE(B95, ""en"", ""es"")"),"Permiso de otorgamiento para utilizar el servicio de accesibilidad.")</f>
        <v>Permiso de otorgamiento para utilizar el servicio de accesibilidad.</v>
      </c>
      <c r="D95" s="4" t="str">
        <f>IFERROR(__xludf.DUMMYFUNCTION("GOOGLETRANSLATE(B95, ""en"", ""pt"")"),"Conceder permissão para usar o serviço de acessibilidade")</f>
        <v>Conceder permissão para usar o serviço de acessibilidade</v>
      </c>
      <c r="E95" s="4" t="str">
        <f>IFERROR(__xludf.DUMMYFUNCTION("GOOGLETRANSLATE(B95, ""en"", ""ar"")"),"إذن المنح لاستخدام خدمة الوصول")</f>
        <v>إذن المنح لاستخدام خدمة الوصول</v>
      </c>
      <c r="F95" s="4" t="str">
        <f>IFERROR(__xludf.DUMMYFUNCTION("GOOGLETRANSLATE(B95, ""en"", ""km"")"),"ទទួលបានការអនុញ្ញាតឱ្យប្រើសេវាកម្មភាពងាយស្រួល")</f>
        <v>ទទួលបានការអនុញ្ញាតឱ្យប្រើសេវាកម្មភាពងាយស្រួល</v>
      </c>
      <c r="G95" s="4" t="str">
        <f>IFERROR(__xludf.DUMMYFUNCTION("GOOGLETRANSLATE(B95, ""en"", ""fr"")"),"Autorisation de subvention d'utiliser le service d'accessibilité")</f>
        <v>Autorisation de subvention d'utiliser le service d'accessibilité</v>
      </c>
      <c r="H95" s="4" t="str">
        <f>IFERROR(__xludf.DUMMYFUNCTION("GOOGLETRANSLATE(B95, ""en"", ""ro"")"),"Acordați permisiunea de a utiliza serviciul de accesibilitate")</f>
        <v>Acordați permisiunea de a utiliza serviciul de accesibilitate</v>
      </c>
      <c r="I95" s="4" t="str">
        <f>IFERROR(__xludf.DUMMYFUNCTION("GOOGLETRANSLATE(B95, ""en"", ""my"")"),"လက်လှမ်းမီမှုဝန်ဆောင်မှုကိုအသုံးပြုရန်ခွင့်ပြုချက်")</f>
        <v>လက်လှမ်းမီမှုဝန်ဆောင်မှုကိုအသုံးပြုရန်ခွင့်ပြုချက်</v>
      </c>
      <c r="J95" s="4" t="str">
        <f>IFERROR(__xludf.DUMMYFUNCTION("GOOGLETRANSLATE(B95, ""en"", ""sw"")"),"Ruhusu ruhusa ya kutumia huduma ya upatikanaji.")</f>
        <v>Ruhusu ruhusa ya kutumia huduma ya upatikanaji.</v>
      </c>
      <c r="K95" s="4" t="str">
        <f>IFERROR(__xludf.DUMMYFUNCTION("GOOGLETRANSLATE(B95, ""en"", ""th"")"),"ให้สิทธิ์ในการใช้บริการการเข้าถึง")</f>
        <v>ให้สิทธิ์ในการใช้บริการการเข้าถึง</v>
      </c>
      <c r="L95" s="4" t="str">
        <f>IFERROR(__xludf.DUMMYFUNCTION("GOOGLETRANSLATE(B95, ""en"", ""si"")"),"ප්රවේශවීමේ සේවාව භාවිතා කිරීමට අවසර ලබා දීම")</f>
        <v>ප්රවේශවීමේ සේවාව භාවිතා කිරීමට අවසර ලබා දීම</v>
      </c>
      <c r="M95" s="4" t="str">
        <f>IFERROR(__xludf.DUMMYFUNCTION("GOOGLETRANSLATE(B95, ""en"", ""vi"")"),"Cấp phép để sử dụng dịch vụ trợ năng")</f>
        <v>Cấp phép để sử dụng dịch vụ trợ năng</v>
      </c>
      <c r="N95" s="4" t="str">
        <f>IFERROR(__xludf.DUMMYFUNCTION("GOOGLETRANSLATE(B95, ""en"", ""ne"")"),"पहुँच पहुँच सेवा प्रयोग गर्न अनुमति अनुमति")</f>
        <v>पहुँच पहुँच सेवा प्रयोग गर्न अनुमति अनुमति</v>
      </c>
      <c r="O95" s="4" t="str">
        <f>IFERROR(__xludf.DUMMYFUNCTION("GOOGLETRANSLATE(B95, ""en"", ""de"")"),"Erteilung der Erlaubnis, den Zugangsdienst zu verwenden")</f>
        <v>Erteilung der Erlaubnis, den Zugangsdienst zu verwenden</v>
      </c>
      <c r="P95" s="4" t="str">
        <f>IFERROR(__xludf.DUMMYFUNCTION("GOOGLETRANSLATE(B95, ""en"", ""he"")"),"מענק הרשאה להשתמש בשירות נגישות")</f>
        <v>מענק הרשאה להשתמש בשירות נגישות</v>
      </c>
      <c r="Q95" s="4" t="str">
        <f>IFERROR(__xludf.DUMMYFUNCTION("GOOGLETRANSLATE(B95, ""en"", ""cs"")"),"Udělení povolení k použití Servis přístupnosti")</f>
        <v>Udělení povolení k použití Servis přístupnosti</v>
      </c>
      <c r="R95" s="4" t="str">
        <f>IFERROR(__xludf.DUMMYFUNCTION("GOOGLETRANSLATE(B95, ""en"", ""it"")"),"Concedere il permesso di utilizzare il servizio di accessibilità")</f>
        <v>Concedere il permesso di utilizzare il servizio di accessibilità</v>
      </c>
      <c r="S95" s="4" t="str">
        <f>IFERROR(__xludf.DUMMYFUNCTION("GOOGLETRANSLATE(B95, ""en"", ""el"")"),"Χωρίς άδεια χρήσης της υπηρεσίας προσβασιμότητας")</f>
        <v>Χωρίς άδεια χρήσης της υπηρεσίας προσβασιμότητας</v>
      </c>
    </row>
    <row r="96" ht="15.75" customHeight="1">
      <c r="A96" s="4" t="s">
        <v>205</v>
      </c>
      <c r="B96" s="4" t="s">
        <v>206</v>
      </c>
      <c r="C96" s="4" t="str">
        <f>IFERROR(__xludf.DUMMYFUNCTION("GOOGLETRANSLATE(B96, ""en"", ""es"")"),"Buscar aplicaciones ...")</f>
        <v>Buscar aplicaciones ...</v>
      </c>
      <c r="D96" s="4" t="str">
        <f>IFERROR(__xludf.DUMMYFUNCTION("GOOGLETRANSLATE(B96, ""en"", ""pt"")"),"Pesquisar aplicativos ...")</f>
        <v>Pesquisar aplicativos ...</v>
      </c>
      <c r="E96" s="4" t="str">
        <f>IFERROR(__xludf.DUMMYFUNCTION("GOOGLETRANSLATE(B96, ""en"", ""ar"")"),"بحث التطبيقات ...")</f>
        <v>بحث التطبيقات ...</v>
      </c>
      <c r="F96" s="4" t="str">
        <f>IFERROR(__xludf.DUMMYFUNCTION("GOOGLETRANSLATE(B96, ""en"", ""km"")"),"ស្វែងរកកម្មវិធី ...")</f>
        <v>ស្វែងរកកម្មវិធី ...</v>
      </c>
      <c r="G96" s="4" t="str">
        <f>IFERROR(__xludf.DUMMYFUNCTION("GOOGLETRANSLATE(B96, ""en"", ""fr"")"),"Rechercher des applications ...")</f>
        <v>Rechercher des applications ...</v>
      </c>
      <c r="H96" s="4" t="str">
        <f>IFERROR(__xludf.DUMMYFUNCTION("GOOGLETRANSLATE(B96, ""en"", ""ro"")"),"Căutați aplicații ...")</f>
        <v>Căutați aplicații ...</v>
      </c>
      <c r="I96" s="4" t="str">
        <f>IFERROR(__xludf.DUMMYFUNCTION("GOOGLETRANSLATE(B96, ""en"", ""my"")"),"အက်ပ်များကိုရှာဖွေပါ ...")</f>
        <v>အက်ပ်များကိုရှာဖွေပါ ...</v>
      </c>
      <c r="J96" s="4" t="str">
        <f>IFERROR(__xludf.DUMMYFUNCTION("GOOGLETRANSLATE(B96, ""en"", ""sw"")"),"Tafuta programu ...")</f>
        <v>Tafuta programu ...</v>
      </c>
      <c r="K96" s="4" t="str">
        <f>IFERROR(__xludf.DUMMYFUNCTION("GOOGLETRANSLATE(B96, ""en"", ""th"")"),"ค้นหาแอป ...")</f>
        <v>ค้นหาแอป ...</v>
      </c>
      <c r="L96" s="4" t="str">
        <f>IFERROR(__xludf.DUMMYFUNCTION("GOOGLETRANSLATE(B96, ""en"", ""si"")"),"යෙදුම් සොයන්න ...")</f>
        <v>යෙදුම් සොයන්න ...</v>
      </c>
      <c r="M96" s="4" t="str">
        <f>IFERROR(__xludf.DUMMYFUNCTION("GOOGLETRANSLATE(B96, ""en"", ""vi"")"),"Tìm kiếm ứng dụng ...")</f>
        <v>Tìm kiếm ứng dụng ...</v>
      </c>
      <c r="N96" s="4" t="str">
        <f>IFERROR(__xludf.DUMMYFUNCTION("GOOGLETRANSLATE(B96, ""en"", ""ne"")"),"खोजी अनुप्रयोगहरू ...")</f>
        <v>खोजी अनुप्रयोगहरू ...</v>
      </c>
      <c r="O96" s="4" t="str">
        <f>IFERROR(__xludf.DUMMYFUNCTION("GOOGLETRANSLATE(B96, ""en"", ""de"")"),"Apps suchen ...")</f>
        <v>Apps suchen ...</v>
      </c>
      <c r="P96" s="4" t="str">
        <f>IFERROR(__xludf.DUMMYFUNCTION("GOOGLETRANSLATE(B96, ""en"", ""he"")"),"חיפוש Apps ...")</f>
        <v>חיפוש Apps ...</v>
      </c>
      <c r="Q96" s="4" t="str">
        <f>IFERROR(__xludf.DUMMYFUNCTION("GOOGLETRANSLATE(B96, ""en"", ""cs"")"),"Hledat aplikace ...")</f>
        <v>Hledat aplikace ...</v>
      </c>
      <c r="R96" s="4" t="str">
        <f>IFERROR(__xludf.DUMMYFUNCTION("GOOGLETRANSLATE(B96, ""en"", ""it"")"),"Cerca app ...")</f>
        <v>Cerca app ...</v>
      </c>
      <c r="S96" s="4" t="str">
        <f>IFERROR(__xludf.DUMMYFUNCTION("GOOGLETRANSLATE(B96, ""en"", ""el"")"),"Αναζήτηση εφαρμογών ...")</f>
        <v>Αναζήτηση εφαρμογών ...</v>
      </c>
    </row>
    <row r="97" ht="15.75" customHeight="1">
      <c r="A97" s="4" t="s">
        <v>207</v>
      </c>
      <c r="B97" s="4" t="s">
        <v>208</v>
      </c>
      <c r="C97" s="4" t="str">
        <f>IFERROR(__xludf.DUMMYFUNCTION("GOOGLETRANSLATE(B97, ""en"", ""es"")"),"Patrón Ocultar")</f>
        <v>Patrón Ocultar</v>
      </c>
      <c r="D97" s="4" t="str">
        <f>IFERROR(__xludf.DUMMYFUNCTION("GOOGLETRANSLATE(B97, ""en"", ""pt"")"),"Esconder padrão")</f>
        <v>Esconder padrão</v>
      </c>
      <c r="E97" s="4" t="str">
        <f>IFERROR(__xludf.DUMMYFUNCTION("GOOGLETRANSLATE(B97, ""en"", ""ar"")"),"إخفاء نمط")</f>
        <v>إخفاء نمط</v>
      </c>
      <c r="F97" s="4" t="str">
        <f>IFERROR(__xludf.DUMMYFUNCTION("GOOGLETRANSLATE(B97, ""en"", ""km"")"),"លាក់លំនាំ")</f>
        <v>លាក់លំនាំ</v>
      </c>
      <c r="G97" s="4" t="str">
        <f>IFERROR(__xludf.DUMMYFUNCTION("GOOGLETRANSLATE(B97, ""en"", ""fr"")"),"Cacher le motif")</f>
        <v>Cacher le motif</v>
      </c>
      <c r="H97" s="4" t="str">
        <f>IFERROR(__xludf.DUMMYFUNCTION("GOOGLETRANSLATE(B97, ""en"", ""ro"")"),"Ascundeți modelul")</f>
        <v>Ascundeți modelul</v>
      </c>
      <c r="I97" s="4" t="str">
        <f>IFERROR(__xludf.DUMMYFUNCTION("GOOGLETRANSLATE(B97, ""en"", ""my"")"),"ပုံစံကိုဖျောက်ထားပါ")</f>
        <v>ပုံစံကိုဖျောက်ထားပါ</v>
      </c>
      <c r="J97" s="4" t="str">
        <f>IFERROR(__xludf.DUMMYFUNCTION("GOOGLETRANSLATE(B97, ""en"", ""sw"")"),"Ficha mfano")</f>
        <v>Ficha mfano</v>
      </c>
      <c r="K97" s="4" t="str">
        <f>IFERROR(__xludf.DUMMYFUNCTION("GOOGLETRANSLATE(B97, ""en"", ""th"")"),"ซ่อนรูปแบบ")</f>
        <v>ซ่อนรูปแบบ</v>
      </c>
      <c r="L97" s="4" t="str">
        <f>IFERROR(__xludf.DUMMYFUNCTION("GOOGLETRANSLATE(B97, ""en"", ""si"")"),"රටාව සඟවන්න")</f>
        <v>රටාව සඟවන්න</v>
      </c>
      <c r="M97" s="4" t="str">
        <f>IFERROR(__xludf.DUMMYFUNCTION("GOOGLETRANSLATE(B97, ""en"", ""vi"")"),"Ẩn mẫu")</f>
        <v>Ẩn mẫu</v>
      </c>
      <c r="N97" s="4" t="str">
        <f>IFERROR(__xludf.DUMMYFUNCTION("GOOGLETRANSLATE(B97, ""en"", ""ne"")"),"ढाँचा लुकाउनुहोस्")</f>
        <v>ढाँचा लुकाउनुहोस्</v>
      </c>
      <c r="O97" s="4" t="str">
        <f>IFERROR(__xludf.DUMMYFUNCTION("GOOGLETRANSLATE(B97, ""en"", ""de"")"),"Muster ausblenden")</f>
        <v>Muster ausblenden</v>
      </c>
      <c r="P97" s="4" t="str">
        <f>IFERROR(__xludf.DUMMYFUNCTION("GOOGLETRANSLATE(B97, ""en"", ""he"")"),"הסתר תבנית")</f>
        <v>הסתר תבנית</v>
      </c>
      <c r="Q97" s="4" t="str">
        <f>IFERROR(__xludf.DUMMYFUNCTION("GOOGLETRANSLATE(B97, ""en"", ""cs"")"),"Skrýt vzor")</f>
        <v>Skrýt vzor</v>
      </c>
      <c r="R97" s="4" t="str">
        <f>IFERROR(__xludf.DUMMYFUNCTION("GOOGLETRANSLATE(B97, ""en"", ""it"")"),"Nascondi il modello")</f>
        <v>Nascondi il modello</v>
      </c>
      <c r="S97" s="4" t="str">
        <f>IFERROR(__xludf.DUMMYFUNCTION("GOOGLETRANSLATE(B97, ""en"", ""el"")"),"Απόκρυψη μοτίβο")</f>
        <v>Απόκρυψη μοτίβο</v>
      </c>
    </row>
    <row r="98" ht="15.75" customHeight="1">
      <c r="A98" s="4" t="s">
        <v>209</v>
      </c>
      <c r="B98" s="4" t="s">
        <v>210</v>
      </c>
      <c r="C98" s="4" t="str">
        <f>IFERROR(__xludf.DUMMYFUNCTION("GOOGLETRANSLATE(B98, ""en"", ""es"")"),"Esta aplicación puede iniciar una llamada telefónica sin pasar por la interfaz de usuario de Dialer para que el usuario confirme la llamada. Esto puede agregar cargos al plan de datos y es un alto riesgo de privacidad.")</f>
        <v>Esta aplicación puede iniciar una llamada telefónica sin pasar por la interfaz de usuario de Dialer para que el usuario confirme la llamada. Esto puede agregar cargos al plan de datos y es un alto riesgo de privacidad.</v>
      </c>
      <c r="D98" s="4" t="str">
        <f>IFERROR(__xludf.DUMMYFUNCTION("GOOGLETRANSLATE(B98, ""en"", ""pt"")"),"Este aplicativo pode iniciar uma chamada telefônica sem passar pela interface do usuário do discador para o usuário confirmar a chamada. Isso pode adicionar taxas ao plano de dados e é um alto risco de privacidade.")</f>
        <v>Este aplicativo pode iniciar uma chamada telefônica sem passar pela interface do usuário do discador para o usuário confirmar a chamada. Isso pode adicionar taxas ao plano de dados e é um alto risco de privacidade.</v>
      </c>
      <c r="E98" s="4" t="str">
        <f>IFERROR(__xludf.DUMMYFUNCTION("GOOGLETRANSLATE(B98, ""en"", ""ar"")"),"يمكن لهذا التطبيق بدء مكالمة هاتفية دون المرور عبر واجهة مستخدم المسطلة للمستخدم لتأكيد المكالمة. هذا يمكن أن يضيف رسوم إلى خطة البيانات وهي مخاطر عالية الخصوصية.")</f>
        <v>يمكن لهذا التطبيق بدء مكالمة هاتفية دون المرور عبر واجهة مستخدم المسطلة للمستخدم لتأكيد المكالمة. هذا يمكن أن يضيف رسوم إلى خطة البيانات وهي مخاطر عالية الخصوصية.</v>
      </c>
      <c r="F98" s="4" t="str">
        <f>IFERROR(__xludf.DUMMYFUNCTION("GOOGLETRANSLATE(B98, ""en"", ""km"")"),"កម្មវិធីនេះអាចផ្តួចផ្តើមការហៅទូរស័ព្ទដោយមិនចាំបាច់ឆ្លងកាត់ចំណុចប្រទាក់អ្នកប្រើហៅទូរស័ព្ទសម្រាប់អ្នកប្រើដើម្បីបញ្ជាក់ការហៅ។ នេះអាចបន្ថែមការគិតថ្លៃលើផែនការទិន្នន័យនិងហានិភ័យនៃភាពឯកជនខ្ពស់។")</f>
        <v>កម្មវិធីនេះអាចផ្តួចផ្តើមការហៅទូរស័ព្ទដោយមិនចាំបាច់ឆ្លងកាត់ចំណុចប្រទាក់អ្នកប្រើហៅទូរស័ព្ទសម្រាប់អ្នកប្រើដើម្បីបញ្ជាក់ការហៅ។ នេះអាចបន្ថែមការគិតថ្លៃលើផែនការទិន្នន័យនិងហានិភ័យនៃភាពឯកជនខ្ពស់។</v>
      </c>
      <c r="G98" s="4" t="str">
        <f>IFERROR(__xludf.DUMMYFUNCTION("GOOGLETRANSLATE(B98, ""en"", ""fr"")"),"Cette application peut initier un appel téléphonique sans passer par l'interface utilisateur du numéroteur pour que l'utilisateur confirme l'appel. Cela peut ajouter des frais au plan de données et constitue un risque de confidentialité élevé.")</f>
        <v>Cette application peut initier un appel téléphonique sans passer par l'interface utilisateur du numéroteur pour que l'utilisateur confirme l'appel. Cela peut ajouter des frais au plan de données et constitue un risque de confidentialité élevé.</v>
      </c>
      <c r="H98" s="4" t="str">
        <f>IFERROR(__xludf.DUMMYFUNCTION("GOOGLETRANSLATE(B98, ""en"", ""ro"")"),"Această aplicație poate iniția un apel telefonic fără a trece prin interfața utilizatorului de dialer pentru utilizator pentru a confirma apelul. Acest lucru poate adăuga taxe la planul de date și este un risc ridicat de confidențialitate.")</f>
        <v>Această aplicație poate iniția un apel telefonic fără a trece prin interfața utilizatorului de dialer pentru utilizator pentru a confirma apelul. Acest lucru poate adăuga taxe la planul de date și este un risc ridicat de confidențialitate.</v>
      </c>
      <c r="I98" s="4" t="str">
        <f>IFERROR(__xludf.DUMMYFUNCTION("GOOGLETRANSLATE(B98, ""en"", ""my"")"),"ဤအက်ပလီကေးရှင်းသည်ခေါ်ဆိုမှုကိုအတည်ပြုရန်အသုံးပြုသူအတွက် dialer user interface ကိုမသွားဘဲဖုန်းခေါ်ဆိုမှုကိုအစပြုနိုင်သည်။ ၎င်းသည်ဒေတာအစီအစဉ်ကိုစွဲချက်တင်နိုင်ပြီးအလွန်အမင်း privacy ကိုအန္တရာယ်ရှိနိုင်သည်။")</f>
        <v>ဤအက်ပလီကေးရှင်းသည်ခေါ်ဆိုမှုကိုအတည်ပြုရန်အသုံးပြုသူအတွက် dialer user interface ကိုမသွားဘဲဖုန်းခေါ်ဆိုမှုကိုအစပြုနိုင်သည်။ ၎င်းသည်ဒေတာအစီအစဉ်ကိုစွဲချက်တင်နိုင်ပြီးအလွန်အမင်း privacy ကိုအန္တရာယ်ရှိနိုင်သည်။</v>
      </c>
      <c r="J98" s="4" t="str">
        <f>IFERROR(__xludf.DUMMYFUNCTION("GOOGLETRANSLATE(B98, ""en"", ""sw"")"),"Programu hii inaweza kuanzisha simu bila kwenda kupitia interface ya mtumiaji wa dialer kwa mtumiaji kuthibitisha simu. Hii inaweza kuongeza mashtaka kwa mpango wa data na ni hatari ya faragha ya juu.")</f>
        <v>Programu hii inaweza kuanzisha simu bila kwenda kupitia interface ya mtumiaji wa dialer kwa mtumiaji kuthibitisha simu. Hii inaweza kuongeza mashtaka kwa mpango wa data na ni hatari ya faragha ya juu.</v>
      </c>
      <c r="K98" s="4" t="str">
        <f>IFERROR(__xludf.DUMMYFUNCTION("GOOGLETRANSLATE(B98, ""en"", ""th"")"),"แอพนี้สามารถเริ่มการโทรโดยไม่ต้องผ่านส่วนต่อประสานผู้ใช้ของผู้ใช้สำหรับผู้ใช้เพื่อยืนยันการโทร สิ่งนี้สามารถเพิ่มค่าใช้จ่ายในแผนข้อมูลและมีความเสี่ยงด้านความเป็นส่วนตัวสูง")</f>
        <v>แอพนี้สามารถเริ่มการโทรโดยไม่ต้องผ่านส่วนต่อประสานผู้ใช้ของผู้ใช้สำหรับผู้ใช้เพื่อยืนยันการโทร สิ่งนี้สามารถเพิ่มค่าใช้จ่ายในแผนข้อมูลและมีความเสี่ยงด้านความเป็นส่วนตัวสูง</v>
      </c>
      <c r="L98" s="4" t="str">
        <f>IFERROR(__xludf.DUMMYFUNCTION("GOOGLETRANSLATE(B98, ""en"", ""si"")"),"ඇමතුම තහවුරු කිරීම සඳහා පරිශීලකයා සඳහා දින ඩයලර් පරිශීලක අතුරුමුහුණත හරහා නොයා මෙම යෙදුමට දුරකථන ඇමතුමක් ආරම්භ කළ හැකිය. මෙය දත්ත සැලැස්මට ගාස්තු එකතු කළ හැකි අතර එය ඉහළ රහස්යතා අවදානමකි.")</f>
        <v>ඇමතුම තහවුරු කිරීම සඳහා පරිශීලකයා සඳහා දින ඩයලර් පරිශීලක අතුරුමුහුණත හරහා නොයා මෙම යෙදුමට දුරකථන ඇමතුමක් ආරම්භ කළ හැකිය. මෙය දත්ත සැලැස්මට ගාස්තු එකතු කළ හැකි අතර එය ඉහළ රහස්යතා අවදානමකි.</v>
      </c>
      <c r="M98" s="4" t="str">
        <f>IFERROR(__xludf.DUMMYFUNCTION("GOOGLETRANSLATE(B98, ""en"", ""vi"")"),"Ứng dụng này có thể bắt đầu một cuộc gọi điện thoại mà không cần thông qua giao diện người dùng trình quay số để người dùng xác nhận cuộc gọi. Điều này có thể thêm phí vào gói dữ liệu và là một rủi ro quyền riêng tư cao.")</f>
        <v>Ứng dụng này có thể bắt đầu một cuộc gọi điện thoại mà không cần thông qua giao diện người dùng trình quay số để người dùng xác nhận cuộc gọi. Điều này có thể thêm phí vào gói dữ liệu và là một rủi ro quyền riêng tư cao.</v>
      </c>
      <c r="N98" s="4" t="str">
        <f>IFERROR(__xludf.DUMMYFUNCTION("GOOGLETRANSLATE(B98, ""en"", ""ne"")"),"यस अनुप्रयोगले फोन पुष्टि गर्न प्रयोगकर्ताको लागि डायलर प्रयोगकर्ता इन्टरफेसबाट नहेर्नुहोस्। यसले डाटा योजनामा ​​शुल्क थप्न सक्छ र एक उच्च गोपनीयता जोखिम हो।")</f>
        <v>यस अनुप्रयोगले फोन पुष्टि गर्न प्रयोगकर्ताको लागि डायलर प्रयोगकर्ता इन्टरफेसबाट नहेर्नुहोस्। यसले डाटा योजनामा ​​शुल्क थप्न सक्छ र एक उच्च गोपनीयता जोखिम हो।</v>
      </c>
      <c r="O98" s="4" t="str">
        <f>IFERROR(__xludf.DUMMYFUNCTION("GOOGLETRANSLATE(B98, ""en"", ""de"")"),"Diese App kann einen Anruf initiieren, ohne die Dialer-Benutzeroberfläche für den Benutzer, um den Anruf zu bestätigen. Dies kann Angelegenheiten für den Datenplan hinzufügen und ein hohes Datenschutzrisiko.")</f>
        <v>Diese App kann einen Anruf initiieren, ohne die Dialer-Benutzeroberfläche für den Benutzer, um den Anruf zu bestätigen. Dies kann Angelegenheiten für den Datenplan hinzufügen und ein hohes Datenschutzrisiko.</v>
      </c>
      <c r="P98" s="4" t="str">
        <f>IFERROR(__xludf.DUMMYFUNCTION("GOOGLETRANSLATE(B98, ""en"", ""he"")"),"יישום זה יכול ליזום שיחת טלפון מבלי לעבור את ממשק המשתמש של חייגן עבור המשתמש כדי לאשר את השיחה. זה יכול להוסיף חיובים לתוכנית נתונים והוא סיכון פרטיות גבוה.")</f>
        <v>יישום זה יכול ליזום שיחת טלפון מבלי לעבור את ממשק המשתמש של חייגן עבור המשתמש כדי לאשר את השיחה. זה יכול להוסיף חיובים לתוכנית נתונים והוא סיכון פרטיות גבוה.</v>
      </c>
      <c r="Q98" s="4" t="str">
        <f>IFERROR(__xludf.DUMMYFUNCTION("GOOGLETRANSLATE(B98, ""en"", ""cs"")"),"Tato aplikace může zahájit telefonní hovor bez procházení uživatelského rozhraní Dialer pro uživatele pro potvrzení hovoru. To může přidávat poplatky do plánu dat a je vysokým rizikem soukromí.")</f>
        <v>Tato aplikace může zahájit telefonní hovor bez procházení uživatelského rozhraní Dialer pro uživatele pro potvrzení hovoru. To může přidávat poplatky do plánu dat a je vysokým rizikem soukromí.</v>
      </c>
      <c r="R98" s="4" t="str">
        <f>IFERROR(__xludf.DUMMYFUNCTION("GOOGLETRANSLATE(B98, ""en"", ""it"")"),"Questa app può avviare una telefonata senza passare attraverso l'interfaccia utente del dialer per l'utente per confermare la chiamata. Questo può aggiungere addebiti al piano dati ed è un alto rischio di privacy.")</f>
        <v>Questa app può avviare una telefonata senza passare attraverso l'interfaccia utente del dialer per l'utente per confermare la chiamata. Questo può aggiungere addebiti al piano dati ed è un alto rischio di privacy.</v>
      </c>
      <c r="S98" s="4" t="str">
        <f>IFERROR(__xludf.DUMMYFUNCTION("GOOGLETRANSLATE(B98, ""en"", ""el"")"),"Αυτή η εφαρμογή μπορεί να ξεκινήσει μια τηλεφωνική κλήση χωρίς να περάσει από τη διεπαφή χρήστη του τηλεφώνου για τον χρήστη να επιβεβαιώσει την κλήση. Αυτό μπορεί να προσθέσει χρεώσεις στο σχέδιο δεδομένων και είναι ένας υψηλός κίνδυνος απορρήτου.")</f>
        <v>Αυτή η εφαρμογή μπορεί να ξεκινήσει μια τηλεφωνική κλήση χωρίς να περάσει από τη διεπαφή χρήστη του τηλεφώνου για τον χρήστη να επιβεβαιώσει την κλήση. Αυτό μπορεί να προσθέσει χρεώσεις στο σχέδιο δεδομένων και είναι ένας υψηλός κίνδυνος απορρήτου.</v>
      </c>
    </row>
    <row r="99" ht="15.75" customHeight="1">
      <c r="A99" s="4" t="s">
        <v>211</v>
      </c>
      <c r="B99" s="4" t="s">
        <v>212</v>
      </c>
      <c r="C99" s="4" t="str">
        <f>IFERROR(__xludf.DUMMYFUNCTION("GOOGLETRANSLATE(B99, ""en"", ""es"")"),"Cotidiano")</f>
        <v>Cotidiano</v>
      </c>
      <c r="D99" s="4" t="str">
        <f>IFERROR(__xludf.DUMMYFUNCTION("GOOGLETRANSLATE(B99, ""en"", ""pt"")"),"Todos os dias")</f>
        <v>Todos os dias</v>
      </c>
      <c r="E99" s="4" t="str">
        <f>IFERROR(__xludf.DUMMYFUNCTION("GOOGLETRANSLATE(B99, ""en"", ""ar"")"),"كل يوم")</f>
        <v>كل يوم</v>
      </c>
      <c r="F99" s="4" t="str">
        <f>IFERROR(__xludf.DUMMYFUNCTION("GOOGLETRANSLATE(B99, ""en"", ""km"")"),"ជា​រៀងរាល់ថ្ងៃ")</f>
        <v>ជា​រៀងរាល់ថ្ងៃ</v>
      </c>
      <c r="G99" s="4" t="str">
        <f>IFERROR(__xludf.DUMMYFUNCTION("GOOGLETRANSLATE(B99, ""en"", ""fr"")"),"Tous les jours")</f>
        <v>Tous les jours</v>
      </c>
      <c r="H99" s="4" t="str">
        <f>IFERROR(__xludf.DUMMYFUNCTION("GOOGLETRANSLATE(B99, ""en"", ""ro"")"),"În fiecare zi")</f>
        <v>În fiecare zi</v>
      </c>
      <c r="I99" s="4" t="str">
        <f>IFERROR(__xludf.DUMMYFUNCTION("GOOGLETRANSLATE(B99, ""en"", ""my"")"),"နေ့တိုင်း")</f>
        <v>နေ့တိုင်း</v>
      </c>
      <c r="J99" s="4" t="str">
        <f>IFERROR(__xludf.DUMMYFUNCTION("GOOGLETRANSLATE(B99, ""en"", ""sw"")"),"Kila siku")</f>
        <v>Kila siku</v>
      </c>
      <c r="K99" s="4" t="str">
        <f>IFERROR(__xludf.DUMMYFUNCTION("GOOGLETRANSLATE(B99, ""en"", ""th"")"),"ทุกวัน")</f>
        <v>ทุกวัน</v>
      </c>
      <c r="L99" s="4" t="str">
        <f>IFERROR(__xludf.DUMMYFUNCTION("GOOGLETRANSLATE(B99, ""en"", ""si"")"),"සෑම දිනම")</f>
        <v>සෑම දිනම</v>
      </c>
      <c r="M99" s="4" t="str">
        <f>IFERROR(__xludf.DUMMYFUNCTION("GOOGLETRANSLATE(B99, ""en"", ""vi"")"),"Hằng ngày")</f>
        <v>Hằng ngày</v>
      </c>
      <c r="N99" s="4" t="str">
        <f>IFERROR(__xludf.DUMMYFUNCTION("GOOGLETRANSLATE(B99, ""en"", ""ne"")"),"हरेक दिन")</f>
        <v>हरेक दिन</v>
      </c>
      <c r="O99" s="4" t="str">
        <f>IFERROR(__xludf.DUMMYFUNCTION("GOOGLETRANSLATE(B99, ""en"", ""de"")"),"Jeden Tag")</f>
        <v>Jeden Tag</v>
      </c>
      <c r="P99" s="4" t="str">
        <f>IFERROR(__xludf.DUMMYFUNCTION("GOOGLETRANSLATE(B99, ""en"", ""he"")"),"כל יום")</f>
        <v>כל יום</v>
      </c>
      <c r="Q99" s="4" t="str">
        <f>IFERROR(__xludf.DUMMYFUNCTION("GOOGLETRANSLATE(B99, ""en"", ""cs"")"),"Každý den")</f>
        <v>Každý den</v>
      </c>
      <c r="R99" s="4" t="str">
        <f>IFERROR(__xludf.DUMMYFUNCTION("GOOGLETRANSLATE(B99, ""en"", ""it"")"),"Ogni giorno")</f>
        <v>Ogni giorno</v>
      </c>
      <c r="S99" s="4" t="str">
        <f>IFERROR(__xludf.DUMMYFUNCTION("GOOGLETRANSLATE(B99, ""en"", ""el"")"),"Κάθε μέρα")</f>
        <v>Κάθε μέρα</v>
      </c>
    </row>
    <row r="100" ht="15.75" customHeight="1">
      <c r="A100" s="4" t="s">
        <v>213</v>
      </c>
      <c r="B100" s="4" t="s">
        <v>214</v>
      </c>
      <c r="C100" s="4" t="str">
        <f>IFERROR(__xludf.DUMMYFUNCTION("GOOGLETRANSLATE(B100, ""en"", ""es"")"),"Datos del teléfono compartidos")</f>
        <v>Datos del teléfono compartidos</v>
      </c>
      <c r="D100" s="4" t="str">
        <f>IFERROR(__xludf.DUMMYFUNCTION("GOOGLETRANSLATE(B100, ""en"", ""pt"")"),"Dados do telefone compartilhado")</f>
        <v>Dados do telefone compartilhado</v>
      </c>
      <c r="E100" s="4" t="str">
        <f>IFERROR(__xludf.DUMMYFUNCTION("GOOGLETRANSLATE(B100, ""en"", ""ar"")"),"مشاركتها بيانات الهاتف")</f>
        <v>مشاركتها بيانات الهاتف</v>
      </c>
      <c r="F100" s="4" t="str">
        <f>IFERROR(__xludf.DUMMYFUNCTION("GOOGLETRANSLATE(B100, ""en"", ""km"")"),"ទិន្នន័យទូរស័ព្ទបានចែករំលែក")</f>
        <v>ទិន្នន័យទូរស័ព្ទបានចែករំលែក</v>
      </c>
      <c r="G100" s="4" t="str">
        <f>IFERROR(__xludf.DUMMYFUNCTION("GOOGLETRANSLATE(B100, ""en"", ""fr"")"),"Données téléphoniques partagées")</f>
        <v>Données téléphoniques partagées</v>
      </c>
      <c r="H100" s="4" t="str">
        <f>IFERROR(__xludf.DUMMYFUNCTION("GOOGLETRANSLATE(B100, ""en"", ""ro"")"),"Datele telefonului partajate")</f>
        <v>Datele telefonului partajate</v>
      </c>
      <c r="I100" s="4" t="str">
        <f>IFERROR(__xludf.DUMMYFUNCTION("GOOGLETRANSLATE(B100, ""en"", ""my"")"),"ဖုန်းဒေတာမျှဝေခဲ့သည်")</f>
        <v>ဖုန်းဒေတာမျှဝေခဲ့သည်</v>
      </c>
      <c r="J100" s="4" t="str">
        <f>IFERROR(__xludf.DUMMYFUNCTION("GOOGLETRANSLATE(B100, ""en"", ""sw"")"),"Data ya simu iliyoshirikiwa")</f>
        <v>Data ya simu iliyoshirikiwa</v>
      </c>
      <c r="K100" s="4" t="str">
        <f>IFERROR(__xludf.DUMMYFUNCTION("GOOGLETRANSLATE(B100, ""en"", ""th"")"),"แบ่งปันข้อมูลโทรศัพท์")</f>
        <v>แบ่งปันข้อมูลโทรศัพท์</v>
      </c>
      <c r="L100" s="4" t="str">
        <f>IFERROR(__xludf.DUMMYFUNCTION("GOOGLETRANSLATE(B100, ""en"", ""si"")"),"දුරකථන දත්ත බෙදාගෙන ඇත")</f>
        <v>දුරකථන දත්ත බෙදාගෙන ඇත</v>
      </c>
      <c r="M100" s="4" t="str">
        <f>IFERROR(__xludf.DUMMYFUNCTION("GOOGLETRANSLATE(B100, ""en"", ""vi"")"),"Dữ liệu điện thoại được chia sẻ")</f>
        <v>Dữ liệu điện thoại được chia sẻ</v>
      </c>
      <c r="N100" s="4" t="str">
        <f>IFERROR(__xludf.DUMMYFUNCTION("GOOGLETRANSLATE(B100, ""en"", ""ne"")"),"फोन डाटा साझा")</f>
        <v>फोन डाटा साझा</v>
      </c>
      <c r="O100" s="4" t="str">
        <f>IFERROR(__xludf.DUMMYFUNCTION("GOOGLETRANSLATE(B100, ""en"", ""de"")"),"Telefondaten geteilt")</f>
        <v>Telefondaten geteilt</v>
      </c>
      <c r="P100" s="4" t="str">
        <f>IFERROR(__xludf.DUMMYFUNCTION("GOOGLETRANSLATE(B100, ""en"", ""he"")"),"נתוני טלפון משותפים")</f>
        <v>נתוני טלפון משותפים</v>
      </c>
      <c r="Q100" s="4" t="str">
        <f>IFERROR(__xludf.DUMMYFUNCTION("GOOGLETRANSLATE(B100, ""en"", ""cs"")"),"Sdílená telefonní data")</f>
        <v>Sdílená telefonní data</v>
      </c>
      <c r="R100" s="4" t="str">
        <f>IFERROR(__xludf.DUMMYFUNCTION("GOOGLETRANSLATE(B100, ""en"", ""it"")"),"Dati telefonici condivisi")</f>
        <v>Dati telefonici condivisi</v>
      </c>
      <c r="S100" s="4" t="str">
        <f>IFERROR(__xludf.DUMMYFUNCTION("GOOGLETRANSLATE(B100, ""en"", ""el"")"),"Δεδομένα τηλεφώνου που μοιράζονται")</f>
        <v>Δεδομένα τηλεφώνου που μοιράζονται</v>
      </c>
    </row>
    <row r="101" ht="15.75" customHeight="1">
      <c r="A101" s="4" t="s">
        <v>215</v>
      </c>
      <c r="B101" s="4" t="s">
        <v>216</v>
      </c>
      <c r="C101" s="4" t="str">
        <f>IFERROR(__xludf.DUMMYFUNCTION("GOOGLETRANSLATE(B101, ""en"", ""es"")"),"Realimentación")</f>
        <v>Realimentación</v>
      </c>
      <c r="D101" s="4" t="str">
        <f>IFERROR(__xludf.DUMMYFUNCTION("GOOGLETRANSLATE(B101, ""en"", ""pt"")"),"Comentários")</f>
        <v>Comentários</v>
      </c>
      <c r="E101" s="4" t="str">
        <f>IFERROR(__xludf.DUMMYFUNCTION("GOOGLETRANSLATE(B101, ""en"", ""ar"")"),"استجابة")</f>
        <v>استجابة</v>
      </c>
      <c r="F101" s="4" t="str">
        <f>IFERROR(__xludf.DUMMYFUNCTION("GOOGLETRANSLATE(B101, ""en"", ""km"")"),"មតិប្រតិកម្ម")</f>
        <v>មតិប្រតិកម្ម</v>
      </c>
      <c r="G101" s="4" t="str">
        <f>IFERROR(__xludf.DUMMYFUNCTION("GOOGLETRANSLATE(B101, ""en"", ""fr"")"),"Retour d'information")</f>
        <v>Retour d'information</v>
      </c>
      <c r="H101" s="4" t="str">
        <f>IFERROR(__xludf.DUMMYFUNCTION("GOOGLETRANSLATE(B101, ""en"", ""ro"")"),"Părere")</f>
        <v>Părere</v>
      </c>
      <c r="I101" s="4" t="str">
        <f>IFERROR(__xludf.DUMMYFUNCTION("GOOGLETRANSLATE(B101, ""en"", ""my"")"),"အကြံပေးချက်")</f>
        <v>အကြံပေးချက်</v>
      </c>
      <c r="J101" s="4" t="str">
        <f>IFERROR(__xludf.DUMMYFUNCTION("GOOGLETRANSLATE(B101, ""en"", ""sw"")"),"Maoni")</f>
        <v>Maoni</v>
      </c>
      <c r="K101" s="4" t="str">
        <f>IFERROR(__xludf.DUMMYFUNCTION("GOOGLETRANSLATE(B101, ""en"", ""th"")"),"ข้อเสนอแนะ")</f>
        <v>ข้อเสนอแนะ</v>
      </c>
      <c r="L101" s="4" t="str">
        <f>IFERROR(__xludf.DUMMYFUNCTION("GOOGLETRANSLATE(B101, ""en"", ""si"")"),"ප්රතිපෝෂණය")</f>
        <v>ප්රතිපෝෂණය</v>
      </c>
      <c r="M101" s="4" t="str">
        <f>IFERROR(__xludf.DUMMYFUNCTION("GOOGLETRANSLATE(B101, ""en"", ""vi"")"),"Nhận xét")</f>
        <v>Nhận xét</v>
      </c>
      <c r="N101" s="4" t="str">
        <f>IFERROR(__xludf.DUMMYFUNCTION("GOOGLETRANSLATE(B101, ""en"", ""ne"")"),"प्रतिक्रिया")</f>
        <v>प्रतिक्रिया</v>
      </c>
      <c r="O101" s="4" t="str">
        <f>IFERROR(__xludf.DUMMYFUNCTION("GOOGLETRANSLATE(B101, ""en"", ""de"")"),"Rückmeldung")</f>
        <v>Rückmeldung</v>
      </c>
      <c r="P101" s="4" t="str">
        <f>IFERROR(__xludf.DUMMYFUNCTION("GOOGLETRANSLATE(B101, ""en"", ""he"")"),"מָשׁוֹב")</f>
        <v>מָשׁוֹב</v>
      </c>
      <c r="Q101" s="4" t="str">
        <f>IFERROR(__xludf.DUMMYFUNCTION("GOOGLETRANSLATE(B101, ""en"", ""cs"")"),"Zpětná vazba")</f>
        <v>Zpětná vazba</v>
      </c>
      <c r="R101" s="4" t="str">
        <f>IFERROR(__xludf.DUMMYFUNCTION("GOOGLETRANSLATE(B101, ""en"", ""it"")"),"Feedback")</f>
        <v>Feedback</v>
      </c>
      <c r="S101" s="4" t="str">
        <f>IFERROR(__xludf.DUMMYFUNCTION("GOOGLETRANSLATE(B101, ""en"", ""el"")"),"Ανατροφοδότηση")</f>
        <v>Ανατροφοδότηση</v>
      </c>
    </row>
    <row r="102" ht="15.75" customHeight="1">
      <c r="A102" s="4" t="s">
        <v>217</v>
      </c>
      <c r="B102" s="4" t="s">
        <v>218</v>
      </c>
      <c r="C102" s="4" t="str">
        <f>IFERROR(__xludf.DUMMYFUNCTION("GOOGLETRANSLATE(B102, ""en"", ""es"")"),"Ajustes más flexibles de carga")</f>
        <v>Ajustes más flexibles de carga</v>
      </c>
      <c r="D102" s="4" t="str">
        <f>IFERROR(__xludf.DUMMYFUNCTION("GOOGLETRANSLATE(B102, ""en"", ""pt"")"),"Configurações mais flexíveis carregando")</f>
        <v>Configurações mais flexíveis carregando</v>
      </c>
      <c r="E102" s="4" t="str">
        <f>IFERROR(__xludf.DUMMYFUNCTION("GOOGLETRANSLATE(B102, ""en"", ""ar"")"),"إعدادات أكثر مرونة شحن")</f>
        <v>إعدادات أكثر مرونة شحن</v>
      </c>
      <c r="F102" s="4" t="str">
        <f>IFERROR(__xludf.DUMMYFUNCTION("GOOGLETRANSLATE(B102, ""en"", ""km"")"),"ការគិតថ្លៃការកំណត់ដែលអាចបត់បែនបាន")</f>
        <v>ការគិតថ្លៃការកំណត់ដែលអាចបត់បែនបាន</v>
      </c>
      <c r="G102" s="4" t="str">
        <f>IFERROR(__xludf.DUMMYFUNCTION("GOOGLETRANSLATE(B102, ""en"", ""fr"")"),"Réglages plus flexibles Charge")</f>
        <v>Réglages plus flexibles Charge</v>
      </c>
      <c r="H102" s="4" t="str">
        <f>IFERROR(__xludf.DUMMYFUNCTION("GOOGLETRANSLATE(B102, ""en"", ""ro"")"),"Setări mai flexibile Încărcare")</f>
        <v>Setări mai flexibile Încărcare</v>
      </c>
      <c r="I102" s="4" t="str">
        <f>IFERROR(__xludf.DUMMYFUNCTION("GOOGLETRANSLATE(B102, ""en"", ""my"")"),"ပိုပြီးပြောင်းလွယ်ပြင်လွယ် settings အားသွင်း")</f>
        <v>ပိုပြီးပြောင်းလွယ်ပြင်လွယ် settings အားသွင်း</v>
      </c>
      <c r="J102" s="4" t="str">
        <f>IFERROR(__xludf.DUMMYFUNCTION("GOOGLETRANSLATE(B102, ""en"", ""sw"")"),"Mipangilio zaidi ya kubadilika")</f>
        <v>Mipangilio zaidi ya kubadilika</v>
      </c>
      <c r="K102" s="4" t="str">
        <f>IFERROR(__xludf.DUMMYFUNCTION("GOOGLETRANSLATE(B102, ""en"", ""th"")"),"การตั้งค่าที่ยืดหยุ่นมากขึ้นการชาร์จ")</f>
        <v>การตั้งค่าที่ยืดหยุ่นมากขึ้นการชาร์จ</v>
      </c>
      <c r="L102" s="4" t="str">
        <f>IFERROR(__xludf.DUMMYFUNCTION("GOOGLETRANSLATE(B102, ""en"", ""si"")"),"වඩාත් නම්යශීලී සැකසුම් ආරෝපණය")</f>
        <v>වඩාත් නම්යශීලී සැකසුම් ආරෝපණය</v>
      </c>
      <c r="M102" s="4" t="str">
        <f>IFERROR(__xludf.DUMMYFUNCTION("GOOGLETRANSLATE(B102, ""en"", ""vi"")"),"Sạc cài đặt linh hoạt hơn")</f>
        <v>Sạc cài đặt linh hoạt hơn</v>
      </c>
      <c r="N102" s="4" t="str">
        <f>IFERROR(__xludf.DUMMYFUNCTION("GOOGLETRANSLATE(B102, ""en"", ""ne"")"),"अधिक लचिलो सेटिंग्स चार्ज गर्दै")</f>
        <v>अधिक लचिलो सेटिंग्स चार्ज गर्दै</v>
      </c>
      <c r="O102" s="4" t="str">
        <f>IFERROR(__xludf.DUMMYFUNCTION("GOOGLETRANSLATE(B102, ""en"", ""de"")"),"Weitere flexiblere Einstellungen aufladen")</f>
        <v>Weitere flexiblere Einstellungen aufladen</v>
      </c>
      <c r="P102" s="4" t="str">
        <f>IFERROR(__xludf.DUMMYFUNCTION("GOOGLETRANSLATE(B102, ""en"", ""he"")"),"הגדרות גמישות יותר טעינה")</f>
        <v>הגדרות גמישות יותר טעינה</v>
      </c>
      <c r="Q102" s="4" t="str">
        <f>IFERROR(__xludf.DUMMYFUNCTION("GOOGLETRANSLATE(B102, ""en"", ""cs"")"),"Flexibilnější nastavení nabíjení")</f>
        <v>Flexibilnější nastavení nabíjení</v>
      </c>
      <c r="R102" s="4" t="str">
        <f>IFERROR(__xludf.DUMMYFUNCTION("GOOGLETRANSLATE(B102, ""en"", ""it"")"),"Carica delle impostazioni più flessibili")</f>
        <v>Carica delle impostazioni più flessibili</v>
      </c>
      <c r="S102" s="4" t="str">
        <f>IFERROR(__xludf.DUMMYFUNCTION("GOOGLETRANSLATE(B102, ""en"", ""el"")"),"Πιο ευέλικτες ρυθμίσεις φόρτισης")</f>
        <v>Πιο ευέλικτες ρυθμίσεις φόρτισης</v>
      </c>
    </row>
    <row r="103" ht="15.75" customHeight="1">
      <c r="A103" s="4" t="s">
        <v>219</v>
      </c>
      <c r="B103" s="4" t="s">
        <v>220</v>
      </c>
      <c r="C103" s="4" t="str">
        <f>IFERROR(__xludf.DUMMYFUNCTION("GOOGLETRANSLATE(B103, ""en"", ""es"")"),"Instalación de la aplicación")</f>
        <v>Instalación de la aplicación</v>
      </c>
      <c r="D103" s="4" t="str">
        <f>IFERROR(__xludf.DUMMYFUNCTION("GOOGLETRANSLATE(B103, ""en"", ""pt"")"),"App Install.")</f>
        <v>App Install.</v>
      </c>
      <c r="E103" s="4" t="str">
        <f>IFERROR(__xludf.DUMMYFUNCTION("GOOGLETRANSLATE(B103, ""en"", ""ar"")"),"تثبيت التطبيق")</f>
        <v>تثبيت التطبيق</v>
      </c>
      <c r="F103" s="4" t="str">
        <f>IFERROR(__xludf.DUMMYFUNCTION("GOOGLETRANSLATE(B103, ""en"", ""km"")"),"ដំឡើងកម្មវិធី")</f>
        <v>ដំឡើងកម្មវិធី</v>
      </c>
      <c r="G103" s="4" t="str">
        <f>IFERROR(__xludf.DUMMYFUNCTION("GOOGLETRANSLATE(B103, ""en"", ""fr"")"),"App installer de l'application")</f>
        <v>App installer de l'application</v>
      </c>
      <c r="H103" s="4" t="str">
        <f>IFERROR(__xludf.DUMMYFUNCTION("GOOGLETRANSLATE(B103, ""en"", ""ro"")"),"App install.")</f>
        <v>App install.</v>
      </c>
      <c r="I103" s="4" t="str">
        <f>IFERROR(__xludf.DUMMYFUNCTION("GOOGLETRANSLATE(B103, ""en"", ""my"")"),"App ကို install လုပ်ပါ")</f>
        <v>App ကို install လုပ်ပါ</v>
      </c>
      <c r="J103" s="4" t="str">
        <f>IFERROR(__xludf.DUMMYFUNCTION("GOOGLETRANSLATE(B103, ""en"", ""sw"")"),"Programu ya kufunga.")</f>
        <v>Programu ya kufunga.</v>
      </c>
      <c r="K103" s="4" t="str">
        <f>IFERROR(__xludf.DUMMYFUNCTION("GOOGLETRANSLATE(B103, ""en"", ""th"")"),"ติดตั้งแอป")</f>
        <v>ติดตั้งแอป</v>
      </c>
      <c r="L103" s="4" t="str">
        <f>IFERROR(__xludf.DUMMYFUNCTION("GOOGLETRANSLATE(B103, ""en"", ""si"")"),"යෙදුම් ස්ථාපනය")</f>
        <v>යෙදුම් ස්ථාපනය</v>
      </c>
      <c r="M103" s="4" t="str">
        <f>IFERROR(__xludf.DUMMYFUNCTION("GOOGLETRANSLATE(B103, ""en"", ""vi"")"),"Ứng dụng cài đặt")</f>
        <v>Ứng dụng cài đặt</v>
      </c>
      <c r="N103" s="4" t="str">
        <f>IFERROR(__xludf.DUMMYFUNCTION("GOOGLETRANSLATE(B103, ""en"", ""ne"")"),"विज्ञापन स्थापना")</f>
        <v>विज्ञापन स्थापना</v>
      </c>
      <c r="O103" s="4" t="str">
        <f>IFERROR(__xludf.DUMMYFUNCTION("GOOGLETRANSLATE(B103, ""en"", ""de"")"),"App install.")</f>
        <v>App install.</v>
      </c>
      <c r="P103" s="4" t="str">
        <f>IFERROR(__xludf.DUMMYFUNCTION("GOOGLETRANSLATE(B103, ""en"", ""he"")"),"App Install.")</f>
        <v>App Install.</v>
      </c>
      <c r="Q103" s="4" t="str">
        <f>IFERROR(__xludf.DUMMYFUNCTION("GOOGLETRANSLATE(B103, ""en"", ""cs"")"),"Instalace aplikace")</f>
        <v>Instalace aplikace</v>
      </c>
      <c r="R103" s="4" t="str">
        <f>IFERROR(__xludf.DUMMYFUNCTION("GOOGLETRANSLATE(B103, ""en"", ""it"")"),"Installazione di app.")</f>
        <v>Installazione di app.</v>
      </c>
      <c r="S103" s="4" t="str">
        <f>IFERROR(__xludf.DUMMYFUNCTION("GOOGLETRANSLATE(B103, ""en"", ""el"")"),"Εγκατάσταση εφαρμογής")</f>
        <v>Εγκατάσταση εφαρμογής</v>
      </c>
    </row>
    <row r="104" ht="15.75" customHeight="1">
      <c r="A104" s="4" t="s">
        <v>221</v>
      </c>
      <c r="B104" s="4" t="s">
        <v>222</v>
      </c>
      <c r="C104" s="4" t="str">
        <f>IFERROR(__xludf.DUMMYFUNCTION("GOOGLETRANSLATE(B104, ""en"", ""es"")"),"Sin anuncios")</f>
        <v>Sin anuncios</v>
      </c>
      <c r="D104" s="4" t="str">
        <f>IFERROR(__xludf.DUMMYFUNCTION("GOOGLETRANSLATE(B104, ""en"", ""pt"")"),"Não há anúncios")</f>
        <v>Não há anúncios</v>
      </c>
      <c r="E104" s="4" t="str">
        <f>IFERROR(__xludf.DUMMYFUNCTION("GOOGLETRANSLATE(B104, ""en"", ""ar"")"),"لا اعلانات")</f>
        <v>لا اعلانات</v>
      </c>
      <c r="F104" s="4" t="str">
        <f>IFERROR(__xludf.DUMMYFUNCTION("GOOGLETRANSLATE(B104, ""en"", ""km"")"),"គ្មានការផ្សព្វផ្សាយពាណិជ្ជកម្ម")</f>
        <v>គ្មានការផ្សព្វផ្សាយពាណិជ្ជកម្ម</v>
      </c>
      <c r="G104" s="4" t="str">
        <f>IFERROR(__xludf.DUMMYFUNCTION("GOOGLETRANSLATE(B104, ""en"", ""fr"")"),"Pas de pubs")</f>
        <v>Pas de pubs</v>
      </c>
      <c r="H104" s="4" t="str">
        <f>IFERROR(__xludf.DUMMYFUNCTION("GOOGLETRANSLATE(B104, ""en"", ""ro"")"),"Fără reclame")</f>
        <v>Fără reclame</v>
      </c>
      <c r="I104" s="4" t="str">
        <f>IFERROR(__xludf.DUMMYFUNCTION("GOOGLETRANSLATE(B104, ""en"", ""my"")"),"ကြော်ငြာများမရှိပါ")</f>
        <v>ကြော်ငြာများမရှိပါ</v>
      </c>
      <c r="J104" s="4" t="str">
        <f>IFERROR(__xludf.DUMMYFUNCTION("GOOGLETRANSLATE(B104, ""en"", ""sw"")"),"Hakuna matangazo.")</f>
        <v>Hakuna matangazo.</v>
      </c>
      <c r="K104" s="4" t="str">
        <f>IFERROR(__xludf.DUMMYFUNCTION("GOOGLETRANSLATE(B104, ""en"", ""th"")"),"ไม่มีโฆษณา")</f>
        <v>ไม่มีโฆษณา</v>
      </c>
      <c r="L104" s="4" t="str">
        <f>IFERROR(__xludf.DUMMYFUNCTION("GOOGLETRANSLATE(B104, ""en"", ""si"")"),"දැන්වීම් නැත")</f>
        <v>දැන්වීම් නැත</v>
      </c>
      <c r="M104" s="4" t="str">
        <f>IFERROR(__xludf.DUMMYFUNCTION("GOOGLETRANSLATE(B104, ""en"", ""vi"")"),"Không quảng cáo")</f>
        <v>Không quảng cáo</v>
      </c>
      <c r="N104" s="4" t="str">
        <f>IFERROR(__xludf.DUMMYFUNCTION("GOOGLETRANSLATE(B104, ""en"", ""ne"")"),"कुनै विज्ञापन छैन")</f>
        <v>कुनै विज्ञापन छैन</v>
      </c>
      <c r="O104" s="4" t="str">
        <f>IFERROR(__xludf.DUMMYFUNCTION("GOOGLETRANSLATE(B104, ""en"", ""de"")"),"Keine Werbung")</f>
        <v>Keine Werbung</v>
      </c>
      <c r="P104" s="4" t="str">
        <f>IFERROR(__xludf.DUMMYFUNCTION("GOOGLETRANSLATE(B104, ""en"", ""he"")"),"ללא פרסומות")</f>
        <v>ללא פרסומות</v>
      </c>
      <c r="Q104" s="4" t="str">
        <f>IFERROR(__xludf.DUMMYFUNCTION("GOOGLETRANSLATE(B104, ""en"", ""cs"")"),"Žádné reklamy")</f>
        <v>Žádné reklamy</v>
      </c>
      <c r="R104" s="4" t="str">
        <f>IFERROR(__xludf.DUMMYFUNCTION("GOOGLETRANSLATE(B104, ""en"", ""it"")"),"Nessuna pubblicità")</f>
        <v>Nessuna pubblicità</v>
      </c>
      <c r="S104" s="4" t="str">
        <f>IFERROR(__xludf.DUMMYFUNCTION("GOOGLETRANSLATE(B104, ""en"", ""el"")"),"Χωρίς διαφημίσεις")</f>
        <v>Χωρίς διαφημίσεις</v>
      </c>
    </row>
    <row r="105" ht="15.75" customHeight="1">
      <c r="A105" s="4" t="s">
        <v>223</v>
      </c>
      <c r="B105" s="4" t="s">
        <v>224</v>
      </c>
      <c r="C105" s="4" t="str">
        <f>IFERROR(__xludf.DUMMYFUNCTION("GOOGLETRANSLATE(B105, ""en"", ""es"")"),"Analizando el uso de la batería")</f>
        <v>Analizando el uso de la batería</v>
      </c>
      <c r="D105" s="4" t="str">
        <f>IFERROR(__xludf.DUMMYFUNCTION("GOOGLETRANSLATE(B105, ""en"", ""pt"")"),"Analisando o uso da bateria")</f>
        <v>Analisando o uso da bateria</v>
      </c>
      <c r="E105" s="4" t="str">
        <f>IFERROR(__xludf.DUMMYFUNCTION("GOOGLETRANSLATE(B105, ""en"", ""ar"")"),"تحليل استخدام البطارية")</f>
        <v>تحليل استخدام البطارية</v>
      </c>
      <c r="F105" s="4" t="str">
        <f>IFERROR(__xludf.DUMMYFUNCTION("GOOGLETRANSLATE(B105, ""en"", ""km"")"),"វិភាគការប្រើប្រាស់ថ្ម")</f>
        <v>វិភាគការប្រើប្រាស់ថ្ម</v>
      </c>
      <c r="G105" s="4" t="str">
        <f>IFERROR(__xludf.DUMMYFUNCTION("GOOGLETRANSLATE(B105, ""en"", ""fr"")"),"Analyser l'utilisation de la batterie")</f>
        <v>Analyser l'utilisation de la batterie</v>
      </c>
      <c r="H105" s="4" t="str">
        <f>IFERROR(__xludf.DUMMYFUNCTION("GOOGLETRANSLATE(B105, ""en"", ""ro"")"),"Analizând utilizarea bateriei")</f>
        <v>Analizând utilizarea bateriei</v>
      </c>
      <c r="I105" s="4" t="str">
        <f>IFERROR(__xludf.DUMMYFUNCTION("GOOGLETRANSLATE(B105, ""en"", ""my"")"),"ဘက်ထရီအသုံးပြုမှုကိုခွဲခြမ်းစိတ်ဖြာခြင်း")</f>
        <v>ဘက်ထရီအသုံးပြုမှုကိုခွဲခြမ်းစိတ်ဖြာခြင်း</v>
      </c>
      <c r="J105" s="4" t="str">
        <f>IFERROR(__xludf.DUMMYFUNCTION("GOOGLETRANSLATE(B105, ""en"", ""sw"")"),"Kuchambua matumizi ya betri.")</f>
        <v>Kuchambua matumizi ya betri.</v>
      </c>
      <c r="K105" s="4" t="str">
        <f>IFERROR(__xludf.DUMMYFUNCTION("GOOGLETRANSLATE(B105, ""en"", ""th"")"),"วิเคราะห์การใช้งานแบตเตอรี่")</f>
        <v>วิเคราะห์การใช้งานแบตเตอรี่</v>
      </c>
      <c r="L105" s="4" t="str">
        <f>IFERROR(__xludf.DUMMYFUNCTION("GOOGLETRANSLATE(B105, ""en"", ""si"")"),"බැටරි භාවිතය විශ්ලේෂණය කිරීම")</f>
        <v>බැටරි භාවිතය විශ්ලේෂණය කිරීම</v>
      </c>
      <c r="M105" s="4" t="str">
        <f>IFERROR(__xludf.DUMMYFUNCTION("GOOGLETRANSLATE(B105, ""en"", ""vi"")"),"Phân tích sử dụng pin.")</f>
        <v>Phân tích sử dụng pin.</v>
      </c>
      <c r="N105" s="4" t="str">
        <f>IFERROR(__xludf.DUMMYFUNCTION("GOOGLETRANSLATE(B105, ""en"", ""ne"")"),"ब्याट्री प्रयोगको विश्लेषण गर्दै")</f>
        <v>ब्याट्री प्रयोगको विश्लेषण गर्दै</v>
      </c>
      <c r="O105" s="4" t="str">
        <f>IFERROR(__xludf.DUMMYFUNCTION("GOOGLETRANSLATE(B105, ""en"", ""de"")"),"Batterieverwendung analysieren")</f>
        <v>Batterieverwendung analysieren</v>
      </c>
      <c r="P105" s="4" t="str">
        <f>IFERROR(__xludf.DUMMYFUNCTION("GOOGLETRANSLATE(B105, ""en"", ""he"")"),"ניתוח שימוש בסוללה")</f>
        <v>ניתוח שימוש בסוללה</v>
      </c>
      <c r="Q105" s="4" t="str">
        <f>IFERROR(__xludf.DUMMYFUNCTION("GOOGLETRANSLATE(B105, ""en"", ""cs"")"),"Analýza využití baterie")</f>
        <v>Analýza využití baterie</v>
      </c>
      <c r="R105" s="4" t="str">
        <f>IFERROR(__xludf.DUMMYFUNCTION("GOOGLETRANSLATE(B105, ""en"", ""it"")"),"Analisi dell'utilizzo della batteria")</f>
        <v>Analisi dell'utilizzo della batteria</v>
      </c>
      <c r="S105" s="4" t="str">
        <f>IFERROR(__xludf.DUMMYFUNCTION("GOOGLETRANSLATE(B105, ""en"", ""el"")"),"Αναλύοντας τη χρήση της μπαταρίας")</f>
        <v>Αναλύοντας τη χρήση της μπαταρίας</v>
      </c>
    </row>
    <row r="106" ht="15.75" customHeight="1">
      <c r="A106" s="4" t="s">
        <v>225</v>
      </c>
      <c r="B106" s="4" t="s">
        <v>226</v>
      </c>
      <c r="C106" s="4" t="str">
        <f>IFERROR(__xludf.DUMMYFUNCTION("GOOGLETRANSLATE(B106, ""en"", ""es"")"),"Escribir permiso de configuración")</f>
        <v>Escribir permiso de configuración</v>
      </c>
      <c r="D106" s="4" t="str">
        <f>IFERROR(__xludf.DUMMYFUNCTION("GOOGLETRANSLATE(B106, ""en"", ""pt"")"),"Escreva a permissão de configuração")</f>
        <v>Escreva a permissão de configuração</v>
      </c>
      <c r="E106" s="4" t="str">
        <f>IFERROR(__xludf.DUMMYFUNCTION("GOOGLETRANSLATE(B106, ""en"", ""ar"")"),"اكتب إذن الإعداد")</f>
        <v>اكتب إذن الإعداد</v>
      </c>
      <c r="F106" s="4" t="str">
        <f>IFERROR(__xludf.DUMMYFUNCTION("GOOGLETRANSLATE(B106, ""en"", ""km"")"),"សរសេរការអនុញ្ញាតកំណត់")</f>
        <v>សរសេរការអនុញ្ញាតកំណត់</v>
      </c>
      <c r="G106" s="4" t="str">
        <f>IFERROR(__xludf.DUMMYFUNCTION("GOOGLETRANSLATE(B106, ""en"", ""fr"")"),"Rédiger l'autorisation de réglage")</f>
        <v>Rédiger l'autorisation de réglage</v>
      </c>
      <c r="H106" s="4" t="str">
        <f>IFERROR(__xludf.DUMMYFUNCTION("GOOGLETRANSLATE(B106, ""en"", ""ro"")"),"Scrieți permisiunea de setare")</f>
        <v>Scrieți permisiunea de setare</v>
      </c>
      <c r="I106" s="4" t="str">
        <f>IFERROR(__xludf.DUMMYFUNCTION("GOOGLETRANSLATE(B106, ""en"", ""my"")"),"SETTING ခွင့်ပြုချက်ရေးပါ")</f>
        <v>SETTING ခွင့်ပြုချက်ရေးပါ</v>
      </c>
      <c r="J106" s="4" t="str">
        <f>IFERROR(__xludf.DUMMYFUNCTION("GOOGLETRANSLATE(B106, ""en"", ""sw"")"),"Andika idhini ya kuweka")</f>
        <v>Andika idhini ya kuweka</v>
      </c>
      <c r="K106" s="4" t="str">
        <f>IFERROR(__xludf.DUMMYFUNCTION("GOOGLETRANSLATE(B106, ""en"", ""th"")"),"การอนุญาตการตั้งค่าการเขียน")</f>
        <v>การอนุญาตการตั้งค่าการเขียน</v>
      </c>
      <c r="L106" s="4" t="str">
        <f>IFERROR(__xludf.DUMMYFUNCTION("GOOGLETRANSLATE(B106, ""en"", ""si"")"),"සැකසුම් අවසරය ලියන්න")</f>
        <v>සැකසුම් අවසරය ලියන්න</v>
      </c>
      <c r="M106" s="4" t="str">
        <f>IFERROR(__xludf.DUMMYFUNCTION("GOOGLETRANSLATE(B106, ""en"", ""vi"")"),"Viết cài đặt cho phép")</f>
        <v>Viết cài đặt cho phép</v>
      </c>
      <c r="N106" s="4" t="str">
        <f>IFERROR(__xludf.DUMMYFUNCTION("GOOGLETRANSLATE(B106, ""en"", ""ne"")"),"लेख्ने अनुमति लेख्नुहोस्")</f>
        <v>लेख्ने अनुमति लेख्नुहोस्</v>
      </c>
      <c r="O106" s="4" t="str">
        <f>IFERROR(__xludf.DUMMYFUNCTION("GOOGLETRANSLATE(B106, ""en"", ""de"")"),"Schreibeinstellungsberechtigung.")</f>
        <v>Schreibeinstellungsberechtigung.</v>
      </c>
      <c r="P106" s="4" t="str">
        <f>IFERROR(__xludf.DUMMYFUNCTION("GOOGLETRANSLATE(B106, ""en"", ""he"")"),"כתב אישור הרשאה")</f>
        <v>כתב אישור הרשאה</v>
      </c>
      <c r="Q106" s="4" t="str">
        <f>IFERROR(__xludf.DUMMYFUNCTION("GOOGLETRANSLATE(B106, ""en"", ""cs"")"),"Psaní nastavení povolení")</f>
        <v>Psaní nastavení povolení</v>
      </c>
      <c r="R106" s="4" t="str">
        <f>IFERROR(__xludf.DUMMYFUNCTION("GOOGLETRANSLATE(B106, ""en"", ""it"")"),"Scrivi il permesso di impostazione")</f>
        <v>Scrivi il permesso di impostazione</v>
      </c>
      <c r="S106" s="4" t="str">
        <f>IFERROR(__xludf.DUMMYFUNCTION("GOOGLETRANSLATE(B106, ""en"", ""el"")"),"Γράψτε άδεια ρύθμισης")</f>
        <v>Γράψτε άδεια ρύθμισης</v>
      </c>
    </row>
    <row r="107" ht="15.75" customHeight="1">
      <c r="A107" s="4" t="s">
        <v>227</v>
      </c>
      <c r="B107" s="4" t="s">
        <v>228</v>
      </c>
      <c r="C107" s="4" t="str">
        <f>IFERROR(__xludf.DUMMYFUNCTION("GOOGLETRANSLATE(B107, ""en"", ""es"")"),"Nunca recordar")</f>
        <v>Nunca recordar</v>
      </c>
      <c r="D107" s="4" t="str">
        <f>IFERROR(__xludf.DUMMYFUNCTION("GOOGLETRANSLATE(B107, ""en"", ""pt"")"),"Nunca Relembre")</f>
        <v>Nunca Relembre</v>
      </c>
      <c r="E107" s="4" t="str">
        <f>IFERROR(__xludf.DUMMYFUNCTION("GOOGLETRANSLATE(B107, ""en"", ""ar"")"),"أبدا تذكير")</f>
        <v>أبدا تذكير</v>
      </c>
      <c r="F107" s="4" t="str">
        <f>IFERROR(__xludf.DUMMYFUNCTION("GOOGLETRANSLATE(B107, ""en"", ""km"")"),"កុំរំ")</f>
        <v>កុំរំ</v>
      </c>
      <c r="G107" s="4" t="str">
        <f>IFERROR(__xludf.DUMMYFUNCTION("GOOGLETRANSLATE(B107, ""en"", ""fr"")"),"Ne jamais rappeler")</f>
        <v>Ne jamais rappeler</v>
      </c>
      <c r="H107" s="4" t="str">
        <f>IFERROR(__xludf.DUMMYFUNCTION("GOOGLETRANSLATE(B107, ""en"", ""ro"")"),"Niciodată nu reamintesc")</f>
        <v>Niciodată nu reamintesc</v>
      </c>
      <c r="I107" s="4" t="str">
        <f>IFERROR(__xludf.DUMMYFUNCTION("GOOGLETRANSLATE(B107, ""en"", ""my"")"),"ဘယ်တော့မှမသတိပေးပါနဲ့")</f>
        <v>ဘယ်တော့မှမသတိပေးပါနဲ့</v>
      </c>
      <c r="J107" s="4" t="str">
        <f>IFERROR(__xludf.DUMMYFUNCTION("GOOGLETRANSLATE(B107, ""en"", ""sw"")"),"Kamwe kuwakumbusha")</f>
        <v>Kamwe kuwakumbusha</v>
      </c>
      <c r="K107" s="4" t="str">
        <f>IFERROR(__xludf.DUMMYFUNCTION("GOOGLETRANSLATE(B107, ""en"", ""th"")"),"ไม่เคยเตือน")</f>
        <v>ไม่เคยเตือน</v>
      </c>
      <c r="L107" s="4" t="str">
        <f>IFERROR(__xludf.DUMMYFUNCTION("GOOGLETRANSLATE(B107, ""en"", ""si"")"),"කවදාවත් මතක් කරන්න එපා")</f>
        <v>කවදාවත් මතක් කරන්න එපා</v>
      </c>
      <c r="M107" s="4" t="str">
        <f>IFERROR(__xludf.DUMMYFUNCTION("GOOGLETRANSLATE(B107, ""en"", ""vi"")"),"Đừng bao giờ nhớ lại")</f>
        <v>Đừng bao giờ nhớ lại</v>
      </c>
      <c r="N107" s="4" t="str">
        <f>IFERROR(__xludf.DUMMYFUNCTION("GOOGLETRANSLATE(B107, ""en"", ""ne"")"),"कहिल्यै याद गर्नु")</f>
        <v>कहिल्यै याद गर्नु</v>
      </c>
      <c r="O107" s="4" t="str">
        <f>IFERROR(__xludf.DUMMYFUNCTION("GOOGLETRANSLATE(B107, ""en"", ""de"")"),"Niemals erinnern")</f>
        <v>Niemals erinnern</v>
      </c>
      <c r="P107" s="4" t="str">
        <f>IFERROR(__xludf.DUMMYFUNCTION("GOOGLETRANSLATE(B107, ""en"", ""he"")"),"לעולם לא להזכיר")</f>
        <v>לעולם לא להזכיר</v>
      </c>
      <c r="Q107" s="4" t="str">
        <f>IFERROR(__xludf.DUMMYFUNCTION("GOOGLETRANSLATE(B107, ""en"", ""cs"")"),"Nikdy nepřipomínat")</f>
        <v>Nikdy nepřipomínat</v>
      </c>
      <c r="R107" s="4" t="str">
        <f>IFERROR(__xludf.DUMMYFUNCTION("GOOGLETRANSLATE(B107, ""en"", ""it"")"),"Non ricordare mai")</f>
        <v>Non ricordare mai</v>
      </c>
      <c r="S107" s="4" t="str">
        <f>IFERROR(__xludf.DUMMYFUNCTION("GOOGLETRANSLATE(B107, ""en"", ""el"")"),"Ποτέ δεν υπενθυμίζω")</f>
        <v>Ποτέ δεν υπενθυμίζω</v>
      </c>
    </row>
    <row r="108" ht="15.75" customHeight="1">
      <c r="A108" s="4" t="s">
        <v>229</v>
      </c>
      <c r="B108" s="4" t="s">
        <v>230</v>
      </c>
      <c r="C108" s="4" t="str">
        <f>IFERROR(__xludf.DUMMYFUNCTION("GOOGLETRANSLATE(B108, ""en"", ""es"")"),"Detectado 1 apk instalado")</f>
        <v>Detectado 1 apk instalado</v>
      </c>
      <c r="D108" s="4" t="str">
        <f>IFERROR(__xludf.DUMMYFUNCTION("GOOGLETRANSLATE(B108, ""en"", ""pt"")"),"Detectado 1 APK instalado")</f>
        <v>Detectado 1 APK instalado</v>
      </c>
      <c r="E108" s="4" t="str">
        <f>IFERROR(__xludf.DUMMYFUNCTION("GOOGLETRANSLATE(B108, ""en"", ""ar"")"),"تم اكتشافه 1 APK مثبت")</f>
        <v>تم اكتشافه 1 APK مثبت</v>
      </c>
      <c r="F108" s="4" t="str">
        <f>IFERROR(__xludf.DUMMYFUNCTION("GOOGLETRANSLATE(B108, ""en"", ""km"")"),"បានរកឃើញ apk 1 apk")</f>
        <v>បានរកឃើញ apk 1 apk</v>
      </c>
      <c r="G108" s="4" t="str">
        <f>IFERROR(__xludf.DUMMYFUNCTION("GOOGLETRANSLATE(B108, ""en"", ""fr"")"),"Détecté 1 apk installé")</f>
        <v>Détecté 1 apk installé</v>
      </c>
      <c r="H108" s="4" t="str">
        <f>IFERROR(__xludf.DUMMYFUNCTION("GOOGLETRANSLATE(B108, ""en"", ""ro"")"),"Detectat 1 APK instalat")</f>
        <v>Detectat 1 APK instalat</v>
      </c>
      <c r="I108" s="4" t="str">
        <f>IFERROR(__xludf.DUMMYFUNCTION("GOOGLETRANSLATE(B108, ""en"", ""my"")"),"1 APK တပ်ဆင်ထားသည်")</f>
        <v>1 APK တပ်ဆင်ထားသည်</v>
      </c>
      <c r="J108" s="4" t="str">
        <f>IFERROR(__xludf.DUMMYFUNCTION("GOOGLETRANSLATE(B108, ""en"", ""sw"")"),"Imeonekana 1 APK imewekwa.")</f>
        <v>Imeonekana 1 APK imewekwa.</v>
      </c>
      <c r="K108" s="4" t="str">
        <f>IFERROR(__xludf.DUMMYFUNCTION("GOOGLETRANSLATE(B108, ""en"", ""th"")"),"ตรวจพบ 1 APK ติดตั้งแล้ว")</f>
        <v>ตรวจพบ 1 APK ติดตั้งแล้ว</v>
      </c>
      <c r="L108" s="4" t="str">
        <f>IFERROR(__xludf.DUMMYFUNCTION("GOOGLETRANSLATE(B108, ""en"", ""si"")"),"ස්ථාපනය කර ඇති 1 APK ස්ථාපනය කර ඇත")</f>
        <v>ස්ථාපනය කර ඇති 1 APK ස්ථාපනය කර ඇත</v>
      </c>
      <c r="M108" s="4" t="str">
        <f>IFERROR(__xludf.DUMMYFUNCTION("GOOGLETRANSLATE(B108, ""en"", ""vi"")"),"Đã cài đặt 1 APK")</f>
        <v>Đã cài đặt 1 APK</v>
      </c>
      <c r="N108" s="4" t="str">
        <f>IFERROR(__xludf.DUMMYFUNCTION("GOOGLETRANSLATE(B108, ""en"", ""ne"")"),"1 APK स्थापना भयो")</f>
        <v>1 APK स्थापना भयो</v>
      </c>
      <c r="O108" s="4" t="str">
        <f>IFERROR(__xludf.DUMMYFUNCTION("GOOGLETRANSLATE(B108, ""en"", ""de"")"),"Erkannt 1 APK installiert")</f>
        <v>Erkannt 1 APK installiert</v>
      </c>
      <c r="P108" s="4" t="str">
        <f>IFERROR(__xludf.DUMMYFUNCTION("GOOGLETRANSLATE(B108, ""en"", ""he"")"),"זוהה 1 APK מותקן")</f>
        <v>זוהה 1 APK מותקן</v>
      </c>
      <c r="Q108" s="4" t="str">
        <f>IFERROR(__xludf.DUMMYFUNCTION("GOOGLETRANSLATE(B108, ""en"", ""cs"")"),"Instalováno 1 instalováno 1 APK")</f>
        <v>Instalováno 1 instalováno 1 APK</v>
      </c>
      <c r="R108" s="4" t="str">
        <f>IFERROR(__xludf.DUMMYFUNCTION("GOOGLETRANSLATE(B108, ""en"", ""it"")"),"Rilevato 1 APK installato")</f>
        <v>Rilevato 1 APK installato</v>
      </c>
      <c r="S108" s="4" t="str">
        <f>IFERROR(__xludf.DUMMYFUNCTION("GOOGLETRANSLATE(B108, ""en"", ""el"")"),"Εντοπίστηκε 1 εγκατεστημένο 1 APK")</f>
        <v>Εντοπίστηκε 1 εγκατεστημένο 1 APK</v>
      </c>
    </row>
    <row r="109" ht="15.75" customHeight="1">
      <c r="A109" s="4" t="s">
        <v>231</v>
      </c>
      <c r="B109" s="4" t="s">
        <v>232</v>
      </c>
      <c r="C109" s="4" t="str">
        <f>IFERROR(__xludf.DUMMYFUNCTION("GOOGLETRANSLATE(B109, ""en"", ""es"")"),"#VALUE!")</f>
        <v>#VALUE!</v>
      </c>
      <c r="D109" s="4" t="str">
        <f>IFERROR(__xludf.DUMMYFUNCTION("GOOGLETRANSLATE(B109, ""en"", ""pt"")"),"#VALUE!")</f>
        <v>#VALUE!</v>
      </c>
      <c r="E109" s="4" t="str">
        <f>IFERROR(__xludf.DUMMYFUNCTION("GOOGLETRANSLATE(B109, ""en"", ""ar"")"),"#VALUE!")</f>
        <v>#VALUE!</v>
      </c>
      <c r="F109" s="4" t="str">
        <f>IFERROR(__xludf.DUMMYFUNCTION("GOOGLETRANSLATE(B109, ""en"", ""km"")"),"#VALUE!")</f>
        <v>#VALUE!</v>
      </c>
      <c r="G109" s="4" t="str">
        <f>IFERROR(__xludf.DUMMYFUNCTION("GOOGLETRANSLATE(B109, ""en"", ""fr"")"),"#VALUE!")</f>
        <v>#VALUE!</v>
      </c>
      <c r="H109" s="4" t="str">
        <f>IFERROR(__xludf.DUMMYFUNCTION("GOOGLETRANSLATE(B109, ""en"", ""ro"")"),"#VALUE!")</f>
        <v>#VALUE!</v>
      </c>
      <c r="I109" s="4" t="str">
        <f>IFERROR(__xludf.DUMMYFUNCTION("GOOGLETRANSLATE(B109, ""en"", ""my"")"),"#VALUE!")</f>
        <v>#VALUE!</v>
      </c>
      <c r="J109" s="4" t="str">
        <f>IFERROR(__xludf.DUMMYFUNCTION("GOOGLETRANSLATE(B109, ""en"", ""sw"")"),"#VALUE!")</f>
        <v>#VALUE!</v>
      </c>
      <c r="K109" s="4" t="str">
        <f>IFERROR(__xludf.DUMMYFUNCTION("GOOGLETRANSLATE(B109, ""en"", ""th"")"),"#VALUE!")</f>
        <v>#VALUE!</v>
      </c>
      <c r="L109" s="4" t="str">
        <f>IFERROR(__xludf.DUMMYFUNCTION("GOOGLETRANSLATE(B109, ""en"", ""si"")"),"#VALUE!")</f>
        <v>#VALUE!</v>
      </c>
      <c r="M109" s="4" t="str">
        <f>IFERROR(__xludf.DUMMYFUNCTION("GOOGLETRANSLATE(B109, ""en"", ""vi"")"),"#VALUE!")</f>
        <v>#VALUE!</v>
      </c>
      <c r="N109" s="4" t="str">
        <f>IFERROR(__xludf.DUMMYFUNCTION("GOOGLETRANSLATE(B109, ""en"", ""ne"")"),"#VALUE!")</f>
        <v>#VALUE!</v>
      </c>
      <c r="O109" s="4" t="str">
        <f>IFERROR(__xludf.DUMMYFUNCTION("GOOGLETRANSLATE(B109, ""en"", ""de"")"),"#VALUE!")</f>
        <v>#VALUE!</v>
      </c>
      <c r="P109" s="4" t="str">
        <f>IFERROR(__xludf.DUMMYFUNCTION("GOOGLETRANSLATE(B109, ""en"", ""he"")"),"#VALUE!")</f>
        <v>#VALUE!</v>
      </c>
      <c r="Q109" s="4" t="str">
        <f>IFERROR(__xludf.DUMMYFUNCTION("GOOGLETRANSLATE(B109, ""en"", ""cs"")"),"#VALUE!")</f>
        <v>#VALUE!</v>
      </c>
      <c r="R109" s="4" t="str">
        <f>IFERROR(__xludf.DUMMYFUNCTION("GOOGLETRANSLATE(B109, ""en"", ""it"")"),"#VALUE!")</f>
        <v>#VALUE!</v>
      </c>
      <c r="S109" s="4" t="str">
        <f>IFERROR(__xludf.DUMMYFUNCTION("GOOGLETRANSLATE(B109, ""en"", ""el"")"),"#VALUE!")</f>
        <v>#VALUE!</v>
      </c>
    </row>
    <row r="110" ht="15.75" customHeight="1">
      <c r="A110" s="4" t="s">
        <v>233</v>
      </c>
      <c r="B110" s="4" t="s">
        <v>234</v>
      </c>
      <c r="C110" s="4" t="str">
        <f>IFERROR(__xludf.DUMMYFUNCTION("GOOGLETRANSLATE(B110, ""en"", ""es"")"),"Esta aplicación puede acceder al dispositivo de cámara y es un riesgo para su privacidad.")</f>
        <v>Esta aplicación puede acceder al dispositivo de cámara y es un riesgo para su privacidad.</v>
      </c>
      <c r="D110" s="4" t="str">
        <f>IFERROR(__xludf.DUMMYFUNCTION("GOOGLETRANSLATE(B110, ""en"", ""pt"")"),"Este aplicativo pode acessar o dispositivo da câmera e é um risco para sua privacidade.")</f>
        <v>Este aplicativo pode acessar o dispositivo da câmera e é um risco para sua privacidade.</v>
      </c>
      <c r="E110" s="4" t="str">
        <f>IFERROR(__xludf.DUMMYFUNCTION("GOOGLETRANSLATE(B110, ""en"", ""ar"")"),"يمكن لهذا التطبيق الوصول إلى جهاز الكاميرا ومخاطر خصوصيتك.")</f>
        <v>يمكن لهذا التطبيق الوصول إلى جهاز الكاميرا ومخاطر خصوصيتك.</v>
      </c>
      <c r="F110" s="4" t="str">
        <f>IFERROR(__xludf.DUMMYFUNCTION("GOOGLETRANSLATE(B110, ""en"", ""km"")"),"កម្មវិធីនេះអាចចូលប្រើឧបករណ៍កាមេរ៉ាហើយជាហានិភ័យសម្រាប់ភាពឯកជនរបស់អ្នក។")</f>
        <v>កម្មវិធីនេះអាចចូលប្រើឧបករណ៍កាមេរ៉ាហើយជាហានិភ័យសម្រាប់ភាពឯកជនរបស់អ្នក។</v>
      </c>
      <c r="G110" s="4" t="str">
        <f>IFERROR(__xludf.DUMMYFUNCTION("GOOGLETRANSLATE(B110, ""en"", ""fr"")"),"Cette application peut accéder au périphérique de la caméra et constitue un risque de confidentialité.")</f>
        <v>Cette application peut accéder au périphérique de la caméra et constitue un risque de confidentialité.</v>
      </c>
      <c r="H110" s="4" t="str">
        <f>IFERROR(__xludf.DUMMYFUNCTION("GOOGLETRANSLATE(B110, ""en"", ""ro"")"),"Această aplicație poate accesa dispozitivul camerei și este un risc pentru confidențialitatea dvs.")</f>
        <v>Această aplicație poate accesa dispozitivul camerei și este un risc pentru confidențialitatea dvs.</v>
      </c>
      <c r="I110" s="4" t="str">
        <f>IFERROR(__xludf.DUMMYFUNCTION("GOOGLETRANSLATE(B110, ""en"", ""my"")"),"ဤ application သည်ကင်မရာစက်ကိုရယူနိုင်ပြီးသင်၏ privacy အတွက်အန္တရာယ်ဖြစ်သည်။")</f>
        <v>ဤ application သည်ကင်မရာစက်ကိုရယူနိုင်ပြီးသင်၏ privacy အတွက်အန္တရာယ်ဖြစ်သည်။</v>
      </c>
      <c r="J110" s="4" t="str">
        <f>IFERROR(__xludf.DUMMYFUNCTION("GOOGLETRANSLATE(B110, ""en"", ""sw"")"),"Programu hii inaweza kufikia kifaa cha kamera na ni hatari ya faragha yako.")</f>
        <v>Programu hii inaweza kufikia kifaa cha kamera na ni hatari ya faragha yako.</v>
      </c>
      <c r="K110" s="4" t="str">
        <f>IFERROR(__xludf.DUMMYFUNCTION("GOOGLETRANSLATE(B110, ""en"", ""th"")"),"แอปพลิเคชั่นนี้สามารถเข้าถึงอุปกรณ์กล้องและเป็นความเสี่ยงต่อความเป็นส่วนตัวของคุณ")</f>
        <v>แอปพลิเคชั่นนี้สามารถเข้าถึงอุปกรณ์กล้องและเป็นความเสี่ยงต่อความเป็นส่วนตัวของคุณ</v>
      </c>
      <c r="L110" s="4" t="str">
        <f>IFERROR(__xludf.DUMMYFUNCTION("GOOGLETRANSLATE(B110, ""en"", ""si"")"),"මෙම යෙදුමට කැමරා උපාංගයට ප්රවේශ විය හැකි අතර එය ඔබේ පෞද්ගලිකත්වයට ඇති අවදානමකි.")</f>
        <v>මෙම යෙදුමට කැමරා උපාංගයට ප්රවේශ විය හැකි අතර එය ඔබේ පෞද්ගලිකත්වයට ඇති අවදානමකි.</v>
      </c>
      <c r="M110" s="4" t="str">
        <f>IFERROR(__xludf.DUMMYFUNCTION("GOOGLETRANSLATE(B110, ""en"", ""vi"")"),"Ứng dụng này có thể truy cập thiết bị camera và có nguy cơ riêng tư của bạn.")</f>
        <v>Ứng dụng này có thể truy cập thiết bị camera và có nguy cơ riêng tư của bạn.</v>
      </c>
      <c r="N110" s="4" t="str">
        <f>IFERROR(__xludf.DUMMYFUNCTION("GOOGLETRANSLATE(B110, ""en"", ""ne"")"),"यस अनुप्रयोगले क्यामेरा उपकरण पहुँच गर्न सक्दछ र तपाईंको गोपनीयताका लागि जोखिम हो।")</f>
        <v>यस अनुप्रयोगले क्यामेरा उपकरण पहुँच गर्न सक्दछ र तपाईंको गोपनीयताका लागि जोखिम हो।</v>
      </c>
      <c r="O110" s="4" t="str">
        <f>IFERROR(__xludf.DUMMYFUNCTION("GOOGLETRANSLATE(B110, ""en"", ""de"")"),"Diese Anwendung kann auf das Kameragerät zugreifen und ist ein Risiko für Ihre Privatsphäre.")</f>
        <v>Diese Anwendung kann auf das Kameragerät zugreifen und ist ein Risiko für Ihre Privatsphäre.</v>
      </c>
      <c r="P110" s="4" t="str">
        <f>IFERROR(__xludf.DUMMYFUNCTION("GOOGLETRANSLATE(B110, ""en"", ""he"")"),"יישום זה יכול לגשת למכשיר המצלמה והוא סיכון לפרטיותך.")</f>
        <v>יישום זה יכול לגשת למכשיר המצלמה והוא סיכון לפרטיותך.</v>
      </c>
      <c r="Q110" s="4" t="str">
        <f>IFERROR(__xludf.DUMMYFUNCTION("GOOGLETRANSLATE(B110, ""en"", ""cs"")"),"Tato aplikace může přistupovat k fotoaparátu a je rizikem pro vaše soukromí.")</f>
        <v>Tato aplikace může přistupovat k fotoaparátu a je rizikem pro vaše soukromí.</v>
      </c>
      <c r="R110" s="4" t="str">
        <f>IFERROR(__xludf.DUMMYFUNCTION("GOOGLETRANSLATE(B110, ""en"", ""it"")"),"Questa applicazione può accedere al dispositivo della telecamera ed è un rischio per la tua privacy.")</f>
        <v>Questa applicazione può accedere al dispositivo della telecamera ed è un rischio per la tua privacy.</v>
      </c>
      <c r="S110" s="4" t="str">
        <f>IFERROR(__xludf.DUMMYFUNCTION("GOOGLETRANSLATE(B110, ""en"", ""el"")"),"Αυτή η εφαρμογή μπορεί να έχει πρόσβαση στη συσκευή κάμερας και αποτελεί κίνδυνο για το απόρρητό σας.")</f>
        <v>Αυτή η εφαρμογή μπορεί να έχει πρόσβαση στη συσκευή κάμερας και αποτελεί κίνδυνο για το απόρρητό σας.</v>
      </c>
    </row>
    <row r="111" ht="15.75" customHeight="1">
      <c r="A111" s="4" t="s">
        <v>235</v>
      </c>
      <c r="B111" s="4" t="s">
        <v>236</v>
      </c>
      <c r="C111" s="4" t="str">
        <f>IFERROR(__xludf.DUMMYFUNCTION("GOOGLETRANSLATE(B111, ""en"", ""es"")"),"Activar ahora")</f>
        <v>Activar ahora</v>
      </c>
      <c r="D111" s="4" t="str">
        <f>IFERROR(__xludf.DUMMYFUNCTION("GOOGLETRANSLATE(B111, ""en"", ""pt"")"),"Ligue agora")</f>
        <v>Ligue agora</v>
      </c>
      <c r="E111" s="4" t="str">
        <f>IFERROR(__xludf.DUMMYFUNCTION("GOOGLETRANSLATE(B111, ""en"", ""ar"")"),"شغل الآن")</f>
        <v>شغل الآن</v>
      </c>
      <c r="F111" s="4" t="str">
        <f>IFERROR(__xludf.DUMMYFUNCTION("GOOGLETRANSLATE(B111, ""en"", ""km"")"),"បើកឥឡូវនេះ")</f>
        <v>បើកឥឡូវនេះ</v>
      </c>
      <c r="G111" s="4" t="str">
        <f>IFERROR(__xludf.DUMMYFUNCTION("GOOGLETRANSLATE(B111, ""en"", ""fr"")"),"Allumer maintenant")</f>
        <v>Allumer maintenant</v>
      </c>
      <c r="H111" s="4" t="str">
        <f>IFERROR(__xludf.DUMMYFUNCTION("GOOGLETRANSLATE(B111, ""en"", ""ro"")"),"Porniți acum")</f>
        <v>Porniți acum</v>
      </c>
      <c r="I111" s="4" t="str">
        <f>IFERROR(__xludf.DUMMYFUNCTION("GOOGLETRANSLATE(B111, ""en"", ""my"")"),"အခုဖွင့်ပါ")</f>
        <v>အခုဖွင့်ပါ</v>
      </c>
      <c r="J111" s="4" t="str">
        <f>IFERROR(__xludf.DUMMYFUNCTION("GOOGLETRANSLATE(B111, ""en"", ""sw"")"),"Tembea sasa")</f>
        <v>Tembea sasa</v>
      </c>
      <c r="K111" s="4" t="str">
        <f>IFERROR(__xludf.DUMMYFUNCTION("GOOGLETRANSLATE(B111, ""en"", ""th"")"),"เปิดตอนนี้")</f>
        <v>เปิดตอนนี้</v>
      </c>
      <c r="L111" s="4" t="str">
        <f>IFERROR(__xludf.DUMMYFUNCTION("GOOGLETRANSLATE(B111, ""en"", ""si"")"),"දැන් සක්රිය කරන්න")</f>
        <v>දැන් සක්රිය කරන්න</v>
      </c>
      <c r="M111" s="4" t="str">
        <f>IFERROR(__xludf.DUMMYFUNCTION("GOOGLETRANSLATE(B111, ""en"", ""vi"")"),"BẬT NGAY BÂY GIỜ")</f>
        <v>BẬT NGAY BÂY GIỜ</v>
      </c>
      <c r="N111" s="4" t="str">
        <f>IFERROR(__xludf.DUMMYFUNCTION("GOOGLETRANSLATE(B111, ""en"", ""ne"")"),"अब नरोस्")</f>
        <v>अब नरोस्</v>
      </c>
      <c r="O111" s="4" t="str">
        <f>IFERROR(__xludf.DUMMYFUNCTION("GOOGLETRANSLATE(B111, ""en"", ""de"")"),"Mach es jetzt an")</f>
        <v>Mach es jetzt an</v>
      </c>
      <c r="P111" s="4" t="str">
        <f>IFERROR(__xludf.DUMMYFUNCTION("GOOGLETRANSLATE(B111, ""en"", ""he"")"),"להפעיל עכשיו")</f>
        <v>להפעיל עכשיו</v>
      </c>
      <c r="Q111" s="4" t="str">
        <f>IFERROR(__xludf.DUMMYFUNCTION("GOOGLETRANSLATE(B111, ""en"", ""cs"")"),"Teď zapnout")</f>
        <v>Teď zapnout</v>
      </c>
      <c r="R111" s="4" t="str">
        <f>IFERROR(__xludf.DUMMYFUNCTION("GOOGLETRANSLATE(B111, ""en"", ""it"")"),"Accendi ora")</f>
        <v>Accendi ora</v>
      </c>
      <c r="S111" s="4" t="str">
        <f>IFERROR(__xludf.DUMMYFUNCTION("GOOGLETRANSLATE(B111, ""en"", ""el"")"),"Ενεργοποιήστε τώρα")</f>
        <v>Ενεργοποιήστε τώρα</v>
      </c>
    </row>
    <row r="112" ht="15.75" customHeight="1">
      <c r="A112" s="4" t="s">
        <v>237</v>
      </c>
      <c r="B112" s="4" t="s">
        <v>238</v>
      </c>
      <c r="C112" s="4" t="str">
        <f>IFERROR(__xludf.DUMMYFUNCTION("GOOGLETRANSLATE(B112, ""en"", ""es"")"),"Esta aplicación puede grabar audio y es un riesgo para su privacidad.")</f>
        <v>Esta aplicación puede grabar audio y es un riesgo para su privacidad.</v>
      </c>
      <c r="D112" s="4" t="str">
        <f>IFERROR(__xludf.DUMMYFUNCTION("GOOGLETRANSLATE(B112, ""en"", ""pt"")"),"Esta aplicação pode gravar áudio e é um risco para sua privacidade.")</f>
        <v>Esta aplicação pode gravar áudio e é um risco para sua privacidade.</v>
      </c>
      <c r="E112" s="4" t="str">
        <f>IFERROR(__xludf.DUMMYFUNCTION("GOOGLETRANSLATE(B112, ""en"", ""ar"")"),"هذا التطبيق يمكن أن يسجل الصوت وهو مخاطر خصوصيتك.")</f>
        <v>هذا التطبيق يمكن أن يسجل الصوت وهو مخاطر خصوصيتك.</v>
      </c>
      <c r="F112" s="4" t="str">
        <f>IFERROR(__xludf.DUMMYFUNCTION("GOOGLETRANSLATE(B112, ""en"", ""km"")"),"កម្មវិធីនេះអាចថតសំលេងហើយជាហានិភ័យសម្រាប់ភាពឯកជនរបស់អ្នក។")</f>
        <v>កម្មវិធីនេះអាចថតសំលេងហើយជាហានិភ័យសម្រាប់ភាពឯកជនរបស់អ្នក។</v>
      </c>
      <c r="G112" s="4" t="str">
        <f>IFERROR(__xludf.DUMMYFUNCTION("GOOGLETRANSLATE(B112, ""en"", ""fr"")"),"Cette application peut enregistrer de l'audio et constitue un risque de confidentialité.")</f>
        <v>Cette application peut enregistrer de l'audio et constitue un risque de confidentialité.</v>
      </c>
      <c r="H112" s="4" t="str">
        <f>IFERROR(__xludf.DUMMYFUNCTION("GOOGLETRANSLATE(B112, ""en"", ""ro"")"),"Această aplicație poate înregistra audio și este un risc pentru confidențialitatea dvs.")</f>
        <v>Această aplicație poate înregistra audio și este un risc pentru confidențialitatea dvs.</v>
      </c>
      <c r="I112" s="4" t="str">
        <f>IFERROR(__xludf.DUMMYFUNCTION("GOOGLETRANSLATE(B112, ""en"", ""my"")"),"ဤအပလီကေးရှင်းသည်အသံကိုမှတ်တမ်းတင်နိုင်ပြီးသင်၏ privacy အတွက်အန္တရာယ်ရှိသည်။")</f>
        <v>ဤအပလီကေးရှင်းသည်အသံကိုမှတ်တမ်းတင်နိုင်ပြီးသင်၏ privacy အတွက်အန္တရာယ်ရှိသည်။</v>
      </c>
      <c r="J112" s="4" t="str">
        <f>IFERROR(__xludf.DUMMYFUNCTION("GOOGLETRANSLATE(B112, ""en"", ""sw"")"),"Programu hii inaweza kurekodi redio na ni hatari kwa faragha yako.")</f>
        <v>Programu hii inaweza kurekodi redio na ni hatari kwa faragha yako.</v>
      </c>
      <c r="K112" s="4" t="str">
        <f>IFERROR(__xludf.DUMMYFUNCTION("GOOGLETRANSLATE(B112, ""en"", ""th"")"),"แอปพลิเคชั่นนี้สามารถบันทึกเสียงและเป็นความเสี่ยงต่อความเป็นส่วนตัวของคุณ")</f>
        <v>แอปพลิเคชั่นนี้สามารถบันทึกเสียงและเป็นความเสี่ยงต่อความเป็นส่วนตัวของคุณ</v>
      </c>
      <c r="L112" s="4" t="str">
        <f>IFERROR(__xludf.DUMMYFUNCTION("GOOGLETRANSLATE(B112, ""en"", ""si"")"),"මෙම අයදුම්පතට ශ්රව්ය පටිගත කළ හැකි අතර ඔබේ පෞද්ගලිකත්වයට අවදානමක් ඇත.")</f>
        <v>මෙම අයදුම්පතට ශ්රව්ය පටිගත කළ හැකි අතර ඔබේ පෞද්ගලිකත්වයට අවදානමක් ඇත.</v>
      </c>
      <c r="M112" s="4" t="str">
        <f>IFERROR(__xludf.DUMMYFUNCTION("GOOGLETRANSLATE(B112, ""en"", ""vi"")"),"Ứng dụng này có thể ghi lại âm thanh và là một rủi ro cho sự riêng tư của bạn.")</f>
        <v>Ứng dụng này có thể ghi lại âm thanh và là một rủi ro cho sự riêng tư của bạn.</v>
      </c>
      <c r="N112" s="4" t="str">
        <f>IFERROR(__xludf.DUMMYFUNCTION("GOOGLETRANSLATE(B112, ""en"", ""ne"")"),"यस अनुप्रयोगले अडियो रेकर्ड गर्न सक्दछ र तपाईंको गोपनीयताका लागि जोखिम हो।")</f>
        <v>यस अनुप्रयोगले अडियो रेकर्ड गर्न सक्दछ र तपाईंको गोपनीयताका लागि जोखिम हो।</v>
      </c>
      <c r="O112" s="4" t="str">
        <f>IFERROR(__xludf.DUMMYFUNCTION("GOOGLETRANSLATE(B112, ""en"", ""de"")"),"Diese Anwendung kann Audio aufnehmen und ist ein Risiko für Ihre Privatsphäre.")</f>
        <v>Diese Anwendung kann Audio aufnehmen und ist ein Risiko für Ihre Privatsphäre.</v>
      </c>
      <c r="P112" s="4" t="str">
        <f>IFERROR(__xludf.DUMMYFUNCTION("GOOGLETRANSLATE(B112, ""en"", ""he"")"),"יישום זה יכול להקליט אודיו והוא סיכון לפרטיות שלך.")</f>
        <v>יישום זה יכול להקליט אודיו והוא סיכון לפרטיות שלך.</v>
      </c>
      <c r="Q112" s="4" t="str">
        <f>IFERROR(__xludf.DUMMYFUNCTION("GOOGLETRANSLATE(B112, ""en"", ""cs"")"),"Tato aplikace může nahrávat zvuk a je rizikem pro vaše soukromí.")</f>
        <v>Tato aplikace může nahrávat zvuk a je rizikem pro vaše soukromí.</v>
      </c>
      <c r="R112" s="4" t="str">
        <f>IFERROR(__xludf.DUMMYFUNCTION("GOOGLETRANSLATE(B112, ""en"", ""it"")"),"Questa applicazione può registrare l'audio ed è un rischio per la tua privacy.")</f>
        <v>Questa applicazione può registrare l'audio ed è un rischio per la tua privacy.</v>
      </c>
      <c r="S112" s="4" t="str">
        <f>IFERROR(__xludf.DUMMYFUNCTION("GOOGLETRANSLATE(B112, ""en"", ""el"")"),"Αυτή η εφαρμογή μπορεί να εγγράψει ήχο και αποτελεί κίνδυνο για το απόρρητό σας.")</f>
        <v>Αυτή η εφαρμογή μπορεί να εγγράψει ήχο και αποτελεί κίνδυνο για το απόρρητό σας.</v>
      </c>
    </row>
    <row r="113" ht="15.75" customHeight="1">
      <c r="A113" s="4" t="s">
        <v>239</v>
      </c>
      <c r="B113" s="4" t="s">
        <v>240</v>
      </c>
      <c r="C113" s="4" t="str">
        <f>IFERROR(__xludf.DUMMYFUNCTION("GOOGLETRANSLATE(B113, ""en"", ""es"")"),"Permiso de acceso de uso")</f>
        <v>Permiso de acceso de uso</v>
      </c>
      <c r="D113" s="4" t="str">
        <f>IFERROR(__xludf.DUMMYFUNCTION("GOOGLETRANSLATE(B113, ""en"", ""pt"")"),"Permissão de acesso de uso")</f>
        <v>Permissão de acesso de uso</v>
      </c>
      <c r="E113" s="4" t="str">
        <f>IFERROR(__xludf.DUMMYFUNCTION("GOOGLETRANSLATE(B113, ""en"", ""ar"")"),"إذن الوصول إلى الاستخدام")</f>
        <v>إذن الوصول إلى الاستخدام</v>
      </c>
      <c r="F113" s="4" t="str">
        <f>IFERROR(__xludf.DUMMYFUNCTION("GOOGLETRANSLATE(B113, ""en"", ""km"")"),"ការមានការអនុញ្ញាតចូលប្រើការប្រើប្រាស់")</f>
        <v>ការមានការអនុញ្ញាតចូលប្រើការប្រើប្រាស់</v>
      </c>
      <c r="G113" s="4" t="str">
        <f>IFERROR(__xludf.DUMMYFUNCTION("GOOGLETRANSLATE(B113, ""en"", ""fr"")"),"Autorisation d'accès d'utilisation")</f>
        <v>Autorisation d'accès d'utilisation</v>
      </c>
      <c r="H113" s="4" t="str">
        <f>IFERROR(__xludf.DUMMYFUNCTION("GOOGLETRANSLATE(B113, ""en"", ""ro"")"),"permisiunea de acces la utilizare")</f>
        <v>permisiunea de acces la utilizare</v>
      </c>
      <c r="I113" s="4" t="str">
        <f>IFERROR(__xludf.DUMMYFUNCTION("GOOGLETRANSLATE(B113, ""en"", ""my"")"),"အသုံးပြုမှု Access ကိုခွင့်ပြုချက်")</f>
        <v>အသုံးပြုမှု Access ကိုခွင့်ပြုချက်</v>
      </c>
      <c r="J113" s="4" t="str">
        <f>IFERROR(__xludf.DUMMYFUNCTION("GOOGLETRANSLATE(B113, ""en"", ""sw"")"),"Ruhusa ya upatikanaji wa matumizi.")</f>
        <v>Ruhusa ya upatikanaji wa matumizi.</v>
      </c>
      <c r="K113" s="4" t="str">
        <f>IFERROR(__xludf.DUMMYFUNCTION("GOOGLETRANSLATE(B113, ""en"", ""th"")"),"การอนุญาตการเข้าถึงการเข้าถึง")</f>
        <v>การอนุญาตการเข้าถึงการเข้าถึง</v>
      </c>
      <c r="L113" s="4" t="str">
        <f>IFERROR(__xludf.DUMMYFUNCTION("GOOGLETRANSLATE(B113, ""en"", ""si"")"),"භාවිත ප්රවේශවීමේ අවසරය")</f>
        <v>භාවිත ප්රවේශවීමේ අවසරය</v>
      </c>
      <c r="M113" s="4" t="str">
        <f>IFERROR(__xludf.DUMMYFUNCTION("GOOGLETRANSLATE(B113, ""en"", ""vi"")"),"quyền truy cập sử dụng")</f>
        <v>quyền truy cập sử dụng</v>
      </c>
      <c r="N113" s="4" t="str">
        <f>IFERROR(__xludf.DUMMYFUNCTION("GOOGLETRANSLATE(B113, ""en"", ""ne"")"),"उपयोग पहुँच अनुमति")</f>
        <v>उपयोग पहुँच अनुमति</v>
      </c>
      <c r="O113" s="4" t="str">
        <f>IFERROR(__xludf.DUMMYFUNCTION("GOOGLETRANSLATE(B113, ""en"", ""de"")"),"Zugriffserlaubnis der Nutzung")</f>
        <v>Zugriffserlaubnis der Nutzung</v>
      </c>
      <c r="P113" s="4" t="str">
        <f>IFERROR(__xludf.DUMMYFUNCTION("GOOGLETRANSLATE(B113, ""en"", ""he"")"),"הרשאת גישה לשימוש")</f>
        <v>הרשאת גישה לשימוש</v>
      </c>
      <c r="Q113" s="4" t="str">
        <f>IFERROR(__xludf.DUMMYFUNCTION("GOOGLETRANSLATE(B113, ""en"", ""cs"")"),"Oprávnění k použití")</f>
        <v>Oprávnění k použití</v>
      </c>
      <c r="R113" s="4" t="str">
        <f>IFERROR(__xludf.DUMMYFUNCTION("GOOGLETRANSLATE(B113, ""en"", ""it"")"),"Autorizzazione di accesso all'utilizzo.")</f>
        <v>Autorizzazione di accesso all'utilizzo.</v>
      </c>
      <c r="S113" s="4" t="str">
        <f>IFERROR(__xludf.DUMMYFUNCTION("GOOGLETRANSLATE(B113, ""en"", ""el"")"),"Άδεια πρόσβασης χρήσης")</f>
        <v>Άδεια πρόσβασης χρήσης</v>
      </c>
    </row>
    <row r="114" ht="15.75" customHeight="1">
      <c r="A114" s="4" t="s">
        <v>241</v>
      </c>
      <c r="B114" s="4" t="s">
        <v>242</v>
      </c>
      <c r="C114" s="4" t="str">
        <f>IFERROR(__xludf.DUMMYFUNCTION("GOOGLETRANSLATE(B114, ""en"", ""es"")"),"Archivos descargados")</f>
        <v>Archivos descargados</v>
      </c>
      <c r="D114" s="4" t="str">
        <f>IFERROR(__xludf.DUMMYFUNCTION("GOOGLETRANSLATE(B114, ""en"", ""pt"")"),"Arquivos baixados")</f>
        <v>Arquivos baixados</v>
      </c>
      <c r="E114" s="4" t="str">
        <f>IFERROR(__xludf.DUMMYFUNCTION("GOOGLETRANSLATE(B114, ""en"", ""ar"")"),"الملفات التي تم تنزيلها")</f>
        <v>الملفات التي تم تنزيلها</v>
      </c>
      <c r="F114" s="4" t="str">
        <f>IFERROR(__xludf.DUMMYFUNCTION("GOOGLETRANSLATE(B114, ""en"", ""km"")"),"ឯកសារដែលបានទាញយក")</f>
        <v>ឯកសារដែលបានទាញយក</v>
      </c>
      <c r="G114" s="4" t="str">
        <f>IFERROR(__xludf.DUMMYFUNCTION("GOOGLETRANSLATE(B114, ""en"", ""fr"")"),"Fichiers téléchargés")</f>
        <v>Fichiers téléchargés</v>
      </c>
      <c r="H114" s="4" t="str">
        <f>IFERROR(__xludf.DUMMYFUNCTION("GOOGLETRANSLATE(B114, ""en"", ""ro"")"),"Fișierele descărcate")</f>
        <v>Fișierele descărcate</v>
      </c>
      <c r="I114" s="4" t="str">
        <f>IFERROR(__xludf.DUMMYFUNCTION("GOOGLETRANSLATE(B114, ""en"", ""my"")"),"download လုပ်ထားသောဖိုင်များ")</f>
        <v>download လုပ်ထားသောဖိုင်များ</v>
      </c>
      <c r="J114" s="4" t="str">
        <f>IFERROR(__xludf.DUMMYFUNCTION("GOOGLETRANSLATE(B114, ""en"", ""sw"")"),"Faili zilizopakuliwa")</f>
        <v>Faili zilizopakuliwa</v>
      </c>
      <c r="K114" s="4" t="str">
        <f>IFERROR(__xludf.DUMMYFUNCTION("GOOGLETRANSLATE(B114, ""en"", ""th"")"),"ไฟล์ที่ดาวน์โหลด")</f>
        <v>ไฟล์ที่ดาวน์โหลด</v>
      </c>
      <c r="L114" s="4" t="str">
        <f>IFERROR(__xludf.DUMMYFUNCTION("GOOGLETRANSLATE(B114, ""en"", ""si"")"),"බාගත කළ ගොනු")</f>
        <v>බාගත කළ ගොනු</v>
      </c>
      <c r="M114" s="4" t="str">
        <f>IFERROR(__xludf.DUMMYFUNCTION("GOOGLETRANSLATE(B114, ""en"", ""vi"")"),"Tệp tải về")</f>
        <v>Tệp tải về</v>
      </c>
      <c r="N114" s="4" t="str">
        <f>IFERROR(__xludf.DUMMYFUNCTION("GOOGLETRANSLATE(B114, ""en"", ""ne"")"),"डाउनलोड फाईलहरू")</f>
        <v>डाउनलोड फाईलहरू</v>
      </c>
      <c r="O114" s="4" t="str">
        <f>IFERROR(__xludf.DUMMYFUNCTION("GOOGLETRANSLATE(B114, ""en"", ""de"")"),"Heruntergeladene Dateien")</f>
        <v>Heruntergeladene Dateien</v>
      </c>
      <c r="P114" s="4" t="str">
        <f>IFERROR(__xludf.DUMMYFUNCTION("GOOGLETRANSLATE(B114, ""en"", ""he"")"),"קבצים שהורדו")</f>
        <v>קבצים שהורדו</v>
      </c>
      <c r="Q114" s="4" t="str">
        <f>IFERROR(__xludf.DUMMYFUNCTION("GOOGLETRANSLATE(B114, ""en"", ""cs"")"),"Soubory stažených souborů")</f>
        <v>Soubory stažených souborů</v>
      </c>
      <c r="R114" s="4" t="str">
        <f>IFERROR(__xludf.DUMMYFUNCTION("GOOGLETRANSLATE(B114, ""en"", ""it"")"),"File scaricati")</f>
        <v>File scaricati</v>
      </c>
      <c r="S114" s="4" t="str">
        <f>IFERROR(__xludf.DUMMYFUNCTION("GOOGLETRANSLATE(B114, ""en"", ""el"")"),"Λήψη αρχείων")</f>
        <v>Λήψη αρχείων</v>
      </c>
    </row>
    <row r="115" ht="15.75" customHeight="1">
      <c r="A115" s="4" t="s">
        <v>243</v>
      </c>
      <c r="B115" s="4" t="s">
        <v>244</v>
      </c>
      <c r="C115" s="4" t="str">
        <f>IFERROR(__xludf.DUMMYFUNCTION("GOOGLETRANSLATE(B115, ""en"", ""es"")"),"Seleccione la aplicación para desinstalar")</f>
        <v>Seleccione la aplicación para desinstalar</v>
      </c>
      <c r="D115" s="4" t="str">
        <f>IFERROR(__xludf.DUMMYFUNCTION("GOOGLETRANSLATE(B115, ""en"", ""pt"")"),"Selecione o aplicativo para desinstalar")</f>
        <v>Selecione o aplicativo para desinstalar</v>
      </c>
      <c r="E115" s="4" t="str">
        <f>IFERROR(__xludf.DUMMYFUNCTION("GOOGLETRANSLATE(B115, ""en"", ""ar"")"),"حدد التطبيق لإلغاء التثبيت")</f>
        <v>حدد التطبيق لإلغاء التثبيت</v>
      </c>
      <c r="F115" s="4" t="str">
        <f>IFERROR(__xludf.DUMMYFUNCTION("GOOGLETRANSLATE(B115, ""en"", ""km"")"),"ជ្រើសរើសកម្មវិធីដើម្បីលុប")</f>
        <v>ជ្រើសរើសកម្មវិធីដើម្បីលុប</v>
      </c>
      <c r="G115" s="4" t="str">
        <f>IFERROR(__xludf.DUMMYFUNCTION("GOOGLETRANSLATE(B115, ""en"", ""fr"")"),"Sélectionnez l'application pour désinstaller")</f>
        <v>Sélectionnez l'application pour désinstaller</v>
      </c>
      <c r="H115" s="4" t="str">
        <f>IFERROR(__xludf.DUMMYFUNCTION("GOOGLETRANSLATE(B115, ""en"", ""ro"")"),"Selectați aplicația pentru a dezinstala")</f>
        <v>Selectați aplicația pentru a dezinstala</v>
      </c>
      <c r="I115" s="4" t="str">
        <f>IFERROR(__xludf.DUMMYFUNCTION("GOOGLETRANSLATE(B115, ""en"", ""my"")"),"uninstall ရန်လျှောက်လွှာကိုရွေးချယ်ပါ")</f>
        <v>uninstall ရန်လျှောက်လွှာကိုရွေးချယ်ပါ</v>
      </c>
      <c r="J115" s="4" t="str">
        <f>IFERROR(__xludf.DUMMYFUNCTION("GOOGLETRANSLATE(B115, ""en"", ""sw"")"),"Chagua programu ili kufuta")</f>
        <v>Chagua programu ili kufuta</v>
      </c>
      <c r="K115" s="4" t="str">
        <f>IFERROR(__xludf.DUMMYFUNCTION("GOOGLETRANSLATE(B115, ""en"", ""th"")"),"เลือกแอปพลิเคชันเพื่อถอนการติดตั้ง")</f>
        <v>เลือกแอปพลิเคชันเพื่อถอนการติดตั้ง</v>
      </c>
      <c r="L115" s="4" t="str">
        <f>IFERROR(__xludf.DUMMYFUNCTION("GOOGLETRANSLATE(B115, ""en"", ""si"")"),"අස්ථාපනය කිරීමට යෙදුම තෝරන්න")</f>
        <v>අස්ථාපනය කිරීමට යෙදුම තෝරන්න</v>
      </c>
      <c r="M115" s="4" t="str">
        <f>IFERROR(__xludf.DUMMYFUNCTION("GOOGLETRANSLATE(B115, ""en"", ""vi"")"),"Chọn ứng dụng để gỡ cài đặt")</f>
        <v>Chọn ứng dụng để gỡ cài đặt</v>
      </c>
      <c r="N115" s="4" t="str">
        <f>IFERROR(__xludf.DUMMYFUNCTION("GOOGLETRANSLATE(B115, ""en"", ""ne"")"),"स्थापना रद्द गर्न अनुप्रयोग चयन गर्नुहोस्")</f>
        <v>स्थापना रद्द गर्न अनुप्रयोग चयन गर्नुहोस्</v>
      </c>
      <c r="O115" s="4" t="str">
        <f>IFERROR(__xludf.DUMMYFUNCTION("GOOGLETRANSLATE(B115, ""en"", ""de"")"),"Wählen Sie die Anwendung, um deinstallieren zu können")</f>
        <v>Wählen Sie die Anwendung, um deinstallieren zu können</v>
      </c>
      <c r="P115" s="4" t="str">
        <f>IFERROR(__xludf.DUMMYFUNCTION("GOOGLETRANSLATE(B115, ""en"", ""he"")"),"בחר את היישום כדי להסיר את ההתקנה")</f>
        <v>בחר את היישום כדי להסיר את ההתקנה</v>
      </c>
      <c r="Q115" s="4" t="str">
        <f>IFERROR(__xludf.DUMMYFUNCTION("GOOGLETRANSLATE(B115, ""en"", ""cs"")"),"Vyberte aplikaci pro odinstalaci")</f>
        <v>Vyberte aplikaci pro odinstalaci</v>
      </c>
      <c r="R115" s="4" t="str">
        <f>IFERROR(__xludf.DUMMYFUNCTION("GOOGLETRANSLATE(B115, ""en"", ""it"")"),"Seleziona l'applicazione per disinstallare")</f>
        <v>Seleziona l'applicazione per disinstallare</v>
      </c>
      <c r="S115" s="4" t="str">
        <f>IFERROR(__xludf.DUMMYFUNCTION("GOOGLETRANSLATE(B115, ""en"", ""el"")"),"Επιλέξτε την εφαρμογή για απεγκατάσταση")</f>
        <v>Επιλέξτε την εφαρμογή για απεγκατάσταση</v>
      </c>
    </row>
    <row r="116" ht="15.75" customHeight="1">
      <c r="A116" s="4" t="s">
        <v>245</v>
      </c>
      <c r="B116" s="4" t="s">
        <v>246</v>
      </c>
      <c r="C116" s="4" t="str">
        <f>IFERROR(__xludf.DUMMYFUNCTION("GOOGLETRANSLATE(B116, ""en"", ""es"")"),"Permiso necesario")</f>
        <v>Permiso necesario</v>
      </c>
      <c r="D116" s="4" t="str">
        <f>IFERROR(__xludf.DUMMYFUNCTION("GOOGLETRANSLATE(B116, ""en"", ""pt"")"),"Permissão necessária")</f>
        <v>Permissão necessária</v>
      </c>
      <c r="E116" s="4" t="str">
        <f>IFERROR(__xludf.DUMMYFUNCTION("GOOGLETRANSLATE(B116, ""en"", ""ar"")"),"إذن حاجة")</f>
        <v>إذن حاجة</v>
      </c>
      <c r="F116" s="4" t="str">
        <f>IFERROR(__xludf.DUMMYFUNCTION("GOOGLETRANSLATE(B116, ""en"", ""km"")"),"ត្រូវការការអនុញ្ញាត")</f>
        <v>ត្រូវការការអនុញ្ញាត</v>
      </c>
      <c r="G116" s="4" t="str">
        <f>IFERROR(__xludf.DUMMYFUNCTION("GOOGLETRANSLATE(B116, ""en"", ""fr"")"),"Autorisation nécessaire")</f>
        <v>Autorisation nécessaire</v>
      </c>
      <c r="H116" s="4" t="str">
        <f>IFERROR(__xludf.DUMMYFUNCTION("GOOGLETRANSLATE(B116, ""en"", ""ro"")"),"Permisiunea necesară")</f>
        <v>Permisiunea necesară</v>
      </c>
      <c r="I116" s="4" t="str">
        <f>IFERROR(__xludf.DUMMYFUNCTION("GOOGLETRANSLATE(B116, ""en"", ""my"")"),"ခွင့်ပြုချက်လိုအပ်")</f>
        <v>ခွင့်ပြုချက်လိုအပ်</v>
      </c>
      <c r="J116" s="4" t="str">
        <f>IFERROR(__xludf.DUMMYFUNCTION("GOOGLETRANSLATE(B116, ""en"", ""sw"")"),"Ruhusa inahitajika")</f>
        <v>Ruhusa inahitajika</v>
      </c>
      <c r="K116" s="4" t="str">
        <f>IFERROR(__xludf.DUMMYFUNCTION("GOOGLETRANSLATE(B116, ""en"", ""th"")"),"จำเป็นต้องได้รับอนุญาต")</f>
        <v>จำเป็นต้องได้รับอนุญาต</v>
      </c>
      <c r="L116" s="4" t="str">
        <f>IFERROR(__xludf.DUMMYFUNCTION("GOOGLETRANSLATE(B116, ""en"", ""si"")"),"අවසරය අවශ්යයි")</f>
        <v>අවසරය අවශ්යයි</v>
      </c>
      <c r="M116" s="4" t="str">
        <f>IFERROR(__xludf.DUMMYFUNCTION("GOOGLETRANSLATE(B116, ""en"", ""vi"")"),"Sự cho phép")</f>
        <v>Sự cho phép</v>
      </c>
      <c r="N116" s="4" t="str">
        <f>IFERROR(__xludf.DUMMYFUNCTION("GOOGLETRANSLATE(B116, ""en"", ""ne"")"),"अनुमति आवश्यक छ")</f>
        <v>अनुमति आवश्यक छ</v>
      </c>
      <c r="O116" s="4" t="str">
        <f>IFERROR(__xludf.DUMMYFUNCTION("GOOGLETRANSLATE(B116, ""en"", ""de"")"),"Erlaubnis erforderlich")</f>
        <v>Erlaubnis erforderlich</v>
      </c>
      <c r="P116" s="4" t="str">
        <f>IFERROR(__xludf.DUMMYFUNCTION("GOOGLETRANSLATE(B116, ""en"", ""he"")"),"הרשאה הדרושה")</f>
        <v>הרשאה הדרושה</v>
      </c>
      <c r="Q116" s="4" t="str">
        <f>IFERROR(__xludf.DUMMYFUNCTION("GOOGLETRANSLATE(B116, ""en"", ""cs"")"),"Potřeba povolení")</f>
        <v>Potřeba povolení</v>
      </c>
      <c r="R116" s="4" t="str">
        <f>IFERROR(__xludf.DUMMYFUNCTION("GOOGLETRANSLATE(B116, ""en"", ""it"")"),"Autorizzazione necessaria")</f>
        <v>Autorizzazione necessaria</v>
      </c>
      <c r="S116" s="4" t="str">
        <f>IFERROR(__xludf.DUMMYFUNCTION("GOOGLETRANSLATE(B116, ""en"", ""el"")"),"Απαιτείται άδεια")</f>
        <v>Απαιτείται άδεια</v>
      </c>
    </row>
    <row r="117" ht="15.75" customHeight="1">
      <c r="A117" s="4" t="s">
        <v>247</v>
      </c>
      <c r="B117" s="4" t="s">
        <v>248</v>
      </c>
      <c r="C117" s="4" t="str">
        <f>IFERROR(__xludf.DUMMYFUNCTION("GOOGLETRANSLATE(B117, ""en"", ""es"")"),"Solicitud de red social")</f>
        <v>Solicitud de red social</v>
      </c>
      <c r="D117" s="4" t="str">
        <f>IFERROR(__xludf.DUMMYFUNCTION("GOOGLETRANSLATE(B117, ""en"", ""pt"")"),"Aplicação de rede social")</f>
        <v>Aplicação de rede social</v>
      </c>
      <c r="E117" s="4" t="str">
        <f>IFERROR(__xludf.DUMMYFUNCTION("GOOGLETRANSLATE(B117, ""en"", ""ar"")"),"تطبيق الشبكة الاجتماعية")</f>
        <v>تطبيق الشبكة الاجتماعية</v>
      </c>
      <c r="F117" s="4" t="str">
        <f>IFERROR(__xludf.DUMMYFUNCTION("GOOGLETRANSLATE(B117, ""en"", ""km"")"),"ពាក្យសុំបណ្តាញសង្គម")</f>
        <v>ពាក្យសុំបណ្តាញសង្គម</v>
      </c>
      <c r="G117" s="4" t="str">
        <f>IFERROR(__xludf.DUMMYFUNCTION("GOOGLETRANSLATE(B117, ""en"", ""fr"")"),"Application du réseau social")</f>
        <v>Application du réseau social</v>
      </c>
      <c r="H117" s="4" t="str">
        <f>IFERROR(__xludf.DUMMYFUNCTION("GOOGLETRANSLATE(B117, ""en"", ""ro"")"),"Aplicarea rețelei sociale")</f>
        <v>Aplicarea rețelei sociale</v>
      </c>
      <c r="I117" s="4" t="str">
        <f>IFERROR(__xludf.DUMMYFUNCTION("GOOGLETRANSLATE(B117, ""en"", ""my"")"),"လူမှုကွန်ယက်လျှောက်လွှာ")</f>
        <v>လူမှုကွန်ယက်လျှောက်လွှာ</v>
      </c>
      <c r="J117" s="4" t="str">
        <f>IFERROR(__xludf.DUMMYFUNCTION("GOOGLETRANSLATE(B117, ""en"", ""sw"")"),"Maombi ya Mtandao wa Jamii.")</f>
        <v>Maombi ya Mtandao wa Jamii.</v>
      </c>
      <c r="K117" s="4" t="str">
        <f>IFERROR(__xludf.DUMMYFUNCTION("GOOGLETRANSLATE(B117, ""en"", ""th"")"),"แอปพลิเคชันเครือข่ายสังคมออนไลน์")</f>
        <v>แอปพลิเคชันเครือข่ายสังคมออนไลน์</v>
      </c>
      <c r="L117" s="4" t="str">
        <f>IFERROR(__xludf.DUMMYFUNCTION("GOOGLETRANSLATE(B117, ""en"", ""si"")"),"සමාජ ජාල යෙදුම")</f>
        <v>සමාජ ජාල යෙදුම</v>
      </c>
      <c r="M117" s="4" t="str">
        <f>IFERROR(__xludf.DUMMYFUNCTION("GOOGLETRANSLATE(B117, ""en"", ""vi"")"),"Ứng dụng mạng xã hội")</f>
        <v>Ứng dụng mạng xã hội</v>
      </c>
      <c r="N117" s="4" t="str">
        <f>IFERROR(__xludf.DUMMYFUNCTION("GOOGLETRANSLATE(B117, ""en"", ""ne"")"),"सामाजिक नेटवर्क अनुप्रयोग")</f>
        <v>सामाजिक नेटवर्क अनुप्रयोग</v>
      </c>
      <c r="O117" s="4" t="str">
        <f>IFERROR(__xludf.DUMMYFUNCTION("GOOGLETRANSLATE(B117, ""en"", ""de"")"),"Antrag der sozialen Netzwerke.")</f>
        <v>Antrag der sozialen Netzwerke.</v>
      </c>
      <c r="P117" s="4" t="str">
        <f>IFERROR(__xludf.DUMMYFUNCTION("GOOGLETRANSLATE(B117, ""en"", ""he"")"),"יישומי רשת חברתית")</f>
        <v>יישומי רשת חברתית</v>
      </c>
      <c r="Q117" s="4" t="str">
        <f>IFERROR(__xludf.DUMMYFUNCTION("GOOGLETRANSLATE(B117, ""en"", ""cs"")"),"Aplikace sociální sítě")</f>
        <v>Aplikace sociální sítě</v>
      </c>
      <c r="R117" s="4" t="str">
        <f>IFERROR(__xludf.DUMMYFUNCTION("GOOGLETRANSLATE(B117, ""en"", ""it"")"),"Applicazione della rete sociale")</f>
        <v>Applicazione della rete sociale</v>
      </c>
      <c r="S117" s="4" t="str">
        <f>IFERROR(__xludf.DUMMYFUNCTION("GOOGLETRANSLATE(B117, ""en"", ""el"")"),"Εφαρμογή κοινωνικού δικτύου")</f>
        <v>Εφαρμογή κοινωνικού δικτύου</v>
      </c>
    </row>
    <row r="118" ht="15.75" customHeight="1">
      <c r="A118" s="4" t="s">
        <v>249</v>
      </c>
      <c r="B118" s="4" t="s">
        <v>250</v>
      </c>
      <c r="C118" s="4" t="str">
        <f>IFERROR(__xludf.DUMMYFUNCTION("GOOGLETRANSLATE(B118, ""en"", ""es"")"),"Notificación limpia")</f>
        <v>Notificación limpia</v>
      </c>
      <c r="D118" s="4" t="str">
        <f>IFERROR(__xludf.DUMMYFUNCTION("GOOGLETRANSLATE(B118, ""en"", ""pt"")"),"Notificação limpa")</f>
        <v>Notificação limpa</v>
      </c>
      <c r="E118" s="4" t="str">
        <f>IFERROR(__xludf.DUMMYFUNCTION("GOOGLETRANSLATE(B118, ""en"", ""ar"")"),"الإخطار النظيف")</f>
        <v>الإخطار النظيف</v>
      </c>
      <c r="F118" s="4" t="str">
        <f>IFERROR(__xludf.DUMMYFUNCTION("GOOGLETRANSLATE(B118, ""en"", ""km"")"),"ការជូនដំណឹងស្អាត")</f>
        <v>ការជូនដំណឹងស្អាត</v>
      </c>
      <c r="G118" s="4" t="str">
        <f>IFERROR(__xludf.DUMMYFUNCTION("GOOGLETRANSLATE(B118, ""en"", ""fr"")"),"Notification propre")</f>
        <v>Notification propre</v>
      </c>
      <c r="H118" s="4" t="str">
        <f>IFERROR(__xludf.DUMMYFUNCTION("GOOGLETRANSLATE(B118, ""en"", ""ro"")"),"Notificare curată")</f>
        <v>Notificare curată</v>
      </c>
      <c r="I118" s="4" t="str">
        <f>IFERROR(__xludf.DUMMYFUNCTION("GOOGLETRANSLATE(B118, ""en"", ""my"")"),"သန့်ရှင်းရေးအသိပေးချက်")</f>
        <v>သန့်ရှင်းရေးအသိပေးချက်</v>
      </c>
      <c r="J118" s="4" t="str">
        <f>IFERROR(__xludf.DUMMYFUNCTION("GOOGLETRANSLATE(B118, ""en"", ""sw"")"),"Arifa safi.")</f>
        <v>Arifa safi.</v>
      </c>
      <c r="K118" s="4" t="str">
        <f>IFERROR(__xludf.DUMMYFUNCTION("GOOGLETRANSLATE(B118, ""en"", ""th"")"),"แจ้งเตือนสะอาด")</f>
        <v>แจ้งเตือนสะอาด</v>
      </c>
      <c r="L118" s="4" t="str">
        <f>IFERROR(__xludf.DUMMYFUNCTION("GOOGLETRANSLATE(B118, ""en"", ""si"")"),"පිරිසිදු දැනුම්දීම")</f>
        <v>පිරිසිදු දැනුම්දීම</v>
      </c>
      <c r="M118" s="4" t="str">
        <f>IFERROR(__xludf.DUMMYFUNCTION("GOOGLETRANSLATE(B118, ""en"", ""vi"")"),"Thông báo sạch sẽ")</f>
        <v>Thông báo sạch sẽ</v>
      </c>
      <c r="N118" s="4" t="str">
        <f>IFERROR(__xludf.DUMMYFUNCTION("GOOGLETRANSLATE(B118, ""en"", ""ne"")"),"सफा सूचना")</f>
        <v>सफा सूचना</v>
      </c>
      <c r="O118" s="4" t="str">
        <f>IFERROR(__xludf.DUMMYFUNCTION("GOOGLETRANSLATE(B118, ""en"", ""de"")"),"Saubere Benachrichtigung")</f>
        <v>Saubere Benachrichtigung</v>
      </c>
      <c r="P118" s="4" t="str">
        <f>IFERROR(__xludf.DUMMYFUNCTION("GOOGLETRANSLATE(B118, ""en"", ""he"")"),"הודעה נקייה")</f>
        <v>הודעה נקייה</v>
      </c>
      <c r="Q118" s="4" t="str">
        <f>IFERROR(__xludf.DUMMYFUNCTION("GOOGLETRANSLATE(B118, ""en"", ""cs"")"),"Čisté oznámení")</f>
        <v>Čisté oznámení</v>
      </c>
      <c r="R118" s="4" t="str">
        <f>IFERROR(__xludf.DUMMYFUNCTION("GOOGLETRANSLATE(B118, ""en"", ""it"")"),"Notifica pulita")</f>
        <v>Notifica pulita</v>
      </c>
      <c r="S118" s="4" t="str">
        <f>IFERROR(__xludf.DUMMYFUNCTION("GOOGLETRANSLATE(B118, ""en"", ""el"")"),"Καθαρή ειδοποίηση")</f>
        <v>Καθαρή ειδοποίηση</v>
      </c>
    </row>
    <row r="119" ht="15.75" customHeight="1">
      <c r="A119" s="4" t="s">
        <v>251</v>
      </c>
      <c r="B119" s="4" t="s">
        <v>252</v>
      </c>
      <c r="C119" s="4" t="str">
        <f>IFERROR(__xludf.DUMMYFUNCTION("GOOGLETRANSLATE(B119, ""en"", ""es"")")," Hace 888 minuto")</f>
        <v> Hace 888 minuto</v>
      </c>
      <c r="D119" s="4" t="str">
        <f>IFERROR(__xludf.DUMMYFUNCTION("GOOGLETRANSLATE(B119, ""en"", ""pt"")")," 888 minutos atrás")</f>
        <v> 888 minutos atrás</v>
      </c>
      <c r="E119" s="4" t="str">
        <f>IFERROR(__xludf.DUMMYFUNCTION("GOOGLETRANSLATE(B119, ""en"", ""ar"")")," منذ 888 دقيقة")</f>
        <v> منذ 888 دقيقة</v>
      </c>
      <c r="F119" s="4" t="str">
        <f>IFERROR(__xludf.DUMMYFUNCTION("GOOGLETRANSLATE(B119, ""en"", ""km"")")," 888 នាទីមុន")</f>
        <v> 888 នាទីមុន</v>
      </c>
      <c r="G119" s="4" t="str">
        <f>IFERROR(__xludf.DUMMYFUNCTION("GOOGLETRANSLATE(B119, ""en"", ""fr"")")," Il y a 888 minutes")</f>
        <v> Il y a 888 minutes</v>
      </c>
      <c r="H119" s="4" t="str">
        <f>IFERROR(__xludf.DUMMYFUNCTION("GOOGLETRANSLATE(B119, ""en"", ""ro"")")," Acum 888 minute")</f>
        <v> Acum 888 minute</v>
      </c>
      <c r="I119" s="4" t="str">
        <f>IFERROR(__xludf.DUMMYFUNCTION("GOOGLETRANSLATE(B119, ""en"", ""my"")")," 888 မိနစ်အကြာ")</f>
        <v> 888 မိနစ်အကြာ</v>
      </c>
      <c r="J119" s="4" t="str">
        <f>IFERROR(__xludf.DUMMYFUNCTION("GOOGLETRANSLATE(B119, ""en"", ""sw"")")," Dakika 888 zilizopita.")</f>
        <v> Dakika 888 zilizopita.</v>
      </c>
      <c r="K119" s="4" t="str">
        <f>IFERROR(__xludf.DUMMYFUNCTION("GOOGLETRANSLATE(B119, ""en"", ""th"")")," 888 นาทีที่แล้ว")</f>
        <v> 888 นาทีที่แล้ว</v>
      </c>
      <c r="L119" s="4" t="str">
        <f>IFERROR(__xludf.DUMMYFUNCTION("GOOGLETRANSLATE(B119, ""en"", ""si"")")," මිනිත්තු 888 කට පෙර")</f>
        <v> මිනිත්තු 888 කට පෙර</v>
      </c>
      <c r="M119" s="4" t="str">
        <f>IFERROR(__xludf.DUMMYFUNCTION("GOOGLETRANSLATE(B119, ""en"", ""vi"")")," 888 phút trước")</f>
        <v> 888 phút trước</v>
      </c>
      <c r="N119" s="4" t="str">
        <f>IFERROR(__xludf.DUMMYFUNCTION("GOOGLETRANSLATE(B119, ""en"", ""ne"")")," 8 888 मिनेट पहिले")</f>
        <v> 8 888 मिनेट पहिले</v>
      </c>
      <c r="O119" s="4" t="str">
        <f>IFERROR(__xludf.DUMMYFUNCTION("GOOGLETRANSLATE(B119, ""en"", ""de"")")," Vor 888 kleiner Jahre.")</f>
        <v> Vor 888 kleiner Jahre.</v>
      </c>
      <c r="P119" s="4" t="str">
        <f>IFERROR(__xludf.DUMMYFUNCTION("GOOGLETRANSLATE(B119, ""en"", ""he"")")," לפני 888 דקות")</f>
        <v> לפני 888 דקות</v>
      </c>
      <c r="Q119" s="4" t="str">
        <f>IFERROR(__xludf.DUMMYFUNCTION("GOOGLETRANSLATE(B119, ""en"", ""cs"")")," 888 minut")</f>
        <v> 888 minut</v>
      </c>
      <c r="R119" s="4" t="str">
        <f>IFERROR(__xludf.DUMMYFUNCTION("GOOGLETRANSLATE(B119, ""en"", ""it"")")," 888 minuti fa")</f>
        <v> 888 minuti fa</v>
      </c>
      <c r="S119" s="4" t="str">
        <f>IFERROR(__xludf.DUMMYFUNCTION("GOOGLETRANSLATE(B119, ""en"", ""el"")")," 888 λεπτά πριν")</f>
        <v> 888 λεπτά πριν</v>
      </c>
    </row>
    <row r="120" ht="15.75" customHeight="1">
      <c r="A120" s="4" t="s">
        <v>253</v>
      </c>
      <c r="B120" s="4" t="s">
        <v>254</v>
      </c>
      <c r="C120" s="4" t="str">
        <f>IFERROR(__xludf.DUMMYFUNCTION("GOOGLETRANSLATE(B120, ""en"", ""es"")"),"Permiso de otorgamiento para escuchar las notificaciones del dispositivo")</f>
        <v>Permiso de otorgamiento para escuchar las notificaciones del dispositivo</v>
      </c>
      <c r="D120" s="4" t="str">
        <f>IFERROR(__xludf.DUMMYFUNCTION("GOOGLETRANSLATE(B120, ""en"", ""pt"")"),"Conceder permissão para ouvir notificações do dispositivo")</f>
        <v>Conceder permissão para ouvir notificações do dispositivo</v>
      </c>
      <c r="E120" s="4" t="str">
        <f>IFERROR(__xludf.DUMMYFUNCTION("GOOGLETRANSLATE(B120, ""en"", ""ar"")"),"إذن المنح للاستماع إلى إشعارات الجهاز")</f>
        <v>إذن المنح للاستماع إلى إشعارات الجهاز</v>
      </c>
      <c r="F120" s="4" t="str">
        <f>IFERROR(__xludf.DUMMYFUNCTION("GOOGLETRANSLATE(B120, ""en"", ""km"")"),"ផ្តល់ការអនុញ្ញាតឱ្យស្តាប់ការជូនដំណឹងអំពីឧបករណ៍")</f>
        <v>ផ្តល់ការអនុញ្ញាតឱ្យស្តាប់ការជូនដំណឹងអំពីឧបករណ៍</v>
      </c>
      <c r="G120" s="4" t="str">
        <f>IFERROR(__xludf.DUMMYFUNCTION("GOOGLETRANSLATE(B120, ""en"", ""fr"")"),"Autorisation de subvention pour écouter les notifications de périphérique")</f>
        <v>Autorisation de subvention pour écouter les notifications de périphérique</v>
      </c>
      <c r="H120" s="4" t="str">
        <f>IFERROR(__xludf.DUMMYFUNCTION("GOOGLETRANSLATE(B120, ""en"", ""ro"")"),"Acordați permisiunea de a asculta notificările dispozitivului")</f>
        <v>Acordați permisiunea de a asculta notificările dispozitivului</v>
      </c>
      <c r="I120" s="4" t="str">
        <f>IFERROR(__xludf.DUMMYFUNCTION("GOOGLETRANSLATE(B120, ""en"", ""my"")"),"Device Notifications ကိုနားထောင်ရန်ခွင့်ပြုချက်")</f>
        <v>Device Notifications ကိုနားထောင်ရန်ခွင့်ပြုချက်</v>
      </c>
      <c r="J120" s="4" t="str">
        <f>IFERROR(__xludf.DUMMYFUNCTION("GOOGLETRANSLATE(B120, ""en"", ""sw"")"),"Ruhusu idhini ya kusikiliza arifa za kifaa")</f>
        <v>Ruhusu idhini ya kusikiliza arifa za kifaa</v>
      </c>
      <c r="K120" s="4" t="str">
        <f>IFERROR(__xludf.DUMMYFUNCTION("GOOGLETRANSLATE(B120, ""en"", ""th"")"),"อนุญาตให้ฟังการแจ้งเตือนอุปกรณ์")</f>
        <v>อนุญาตให้ฟังการแจ้งเตือนอุปกรณ์</v>
      </c>
      <c r="L120" s="4" t="str">
        <f>IFERROR(__xludf.DUMMYFUNCTION("GOOGLETRANSLATE(B120, ""en"", ""si"")"),"උපාංග දැනුම්දීම්වලට සවන් දීමට අවසර ලබා දීම")</f>
        <v>උපාංග දැනුම්දීම්වලට සවන් දීමට අවසර ලබා දීම</v>
      </c>
      <c r="M120" s="4" t="str">
        <f>IFERROR(__xludf.DUMMYFUNCTION("GOOGLETRANSLATE(B120, ""en"", ""vi"")"),"Cấp phép để nghe thông báo thiết bị")</f>
        <v>Cấp phép để nghe thông báo thiết bị</v>
      </c>
      <c r="N120" s="4" t="str">
        <f>IFERROR(__xludf.DUMMYFUNCTION("GOOGLETRANSLATE(B120, ""en"", ""ne"")"),"उपकरण अधिसूचनाहरू सुन्न अनुमति प्रदान गर्नुहोस्")</f>
        <v>उपकरण अधिसूचनाहरू सुन्न अनुमति प्रदान गर्नुहोस्</v>
      </c>
      <c r="O120" s="4" t="str">
        <f>IFERROR(__xludf.DUMMYFUNCTION("GOOGLETRANSLATE(B120, ""en"", ""de"")"),"Ertragsberechtigung zum Anhören von Gerätebenachrichtigungen")</f>
        <v>Ertragsberechtigung zum Anhören von Gerätebenachrichtigungen</v>
      </c>
      <c r="P120" s="4" t="str">
        <f>IFERROR(__xludf.DUMMYFUNCTION("GOOGLETRANSLATE(B120, ""en"", ""he"")"),"להעניק הרשאות להאזין להודעות התקן")</f>
        <v>להעניק הרשאות להאזין להודעות התקן</v>
      </c>
      <c r="Q120" s="4" t="str">
        <f>IFERROR(__xludf.DUMMYFUNCTION("GOOGLETRANSLATE(B120, ""en"", ""cs"")"),"Udělení povolení k poslechu oznámení o zařízení")</f>
        <v>Udělení povolení k poslechu oznámení o zařízení</v>
      </c>
      <c r="R120" s="4" t="str">
        <f>IFERROR(__xludf.DUMMYFUNCTION("GOOGLETRANSLATE(B120, ""en"", ""it"")"),"Concedere il permesso di ascoltare le notifiche dei dispositivi")</f>
        <v>Concedere il permesso di ascoltare le notifiche dei dispositivi</v>
      </c>
      <c r="S120" s="4" t="str">
        <f>IFERROR(__xludf.DUMMYFUNCTION("GOOGLETRANSLATE(B120, ""en"", ""el"")"),"Χωρίς άδεια για να ακούσετε ειδοποιήσεις συσκευών")</f>
        <v>Χωρίς άδεια για να ακούσετε ειδοποιήσεις συσκευών</v>
      </c>
    </row>
    <row r="121" ht="15.75" customHeight="1">
      <c r="A121" s="4" t="s">
        <v>255</v>
      </c>
      <c r="B121" s="4" t="s">
        <v>256</v>
      </c>
      <c r="C121" s="4" t="str">
        <f>IFERROR(__xludf.DUMMYFUNCTION("GOOGLETRANSLATE(B121, ""en"", ""es"")"),"Puede leer sus SMS")</f>
        <v>Puede leer sus SMS</v>
      </c>
      <c r="D121" s="4" t="str">
        <f>IFERROR(__xludf.DUMMYFUNCTION("GOOGLETRANSLATE(B121, ""en"", ""pt"")"),"Pode ler o seu SMS")</f>
        <v>Pode ler o seu SMS</v>
      </c>
      <c r="E121" s="4" t="str">
        <f>IFERROR(__xludf.DUMMYFUNCTION("GOOGLETRANSLATE(B121, ""en"", ""ar"")"),"يمكن قراءة الرسائل القصيرة الخاصة بك")</f>
        <v>يمكن قراءة الرسائل القصيرة الخاصة بك</v>
      </c>
      <c r="F121" s="4" t="str">
        <f>IFERROR(__xludf.DUMMYFUNCTION("GOOGLETRANSLATE(B121, ""en"", ""km"")"),"អាចអានសារ SMS របស់អ្នក")</f>
        <v>អាចអានសារ SMS របស់អ្នក</v>
      </c>
      <c r="G121" s="4" t="str">
        <f>IFERROR(__xludf.DUMMYFUNCTION("GOOGLETRANSLATE(B121, ""en"", ""fr"")"),"Peut lire vos SMS")</f>
        <v>Peut lire vos SMS</v>
      </c>
      <c r="H121" s="4" t="str">
        <f>IFERROR(__xludf.DUMMYFUNCTION("GOOGLETRANSLATE(B121, ""en"", ""ro"")"),"Vă poate citi SMS-urile")</f>
        <v>Vă poate citi SMS-urile</v>
      </c>
      <c r="I121" s="4" t="str">
        <f>IFERROR(__xludf.DUMMYFUNCTION("GOOGLETRANSLATE(B121, ""en"", ""my"")"),"သင်၏ SMS ကိုဖတ်နိုင်သည်")</f>
        <v>သင်၏ SMS ကိုဖတ်နိုင်သည်</v>
      </c>
      <c r="J121" s="4" t="str">
        <f>IFERROR(__xludf.DUMMYFUNCTION("GOOGLETRANSLATE(B121, ""en"", ""sw"")"),"Inaweza kusoma SMS yako")</f>
        <v>Inaweza kusoma SMS yako</v>
      </c>
      <c r="K121" s="4" t="str">
        <f>IFERROR(__xludf.DUMMYFUNCTION("GOOGLETRANSLATE(B121, ""en"", ""th"")"),"สามารถอ่าน SMS ของคุณ")</f>
        <v>สามารถอ่าน SMS ของคุณ</v>
      </c>
      <c r="L121" s="4" t="str">
        <f>IFERROR(__xludf.DUMMYFUNCTION("GOOGLETRANSLATE(B121, ""en"", ""si"")"),"ඔබේ කෙටි පණිවුඩය කියවිය හැකිය")</f>
        <v>ඔබේ කෙටි පණිවුඩය කියවිය හැකිය</v>
      </c>
      <c r="M121" s="4" t="str">
        <f>IFERROR(__xludf.DUMMYFUNCTION("GOOGLETRANSLATE(B121, ""en"", ""vi"")"),"Có thể đọc sms của bạn")</f>
        <v>Có thể đọc sms của bạn</v>
      </c>
      <c r="N121" s="4" t="str">
        <f>IFERROR(__xludf.DUMMYFUNCTION("GOOGLETRANSLATE(B121, ""en"", ""ne"")"),"तपाईंको एसएमएस पढ्न सक्नुहुन्छ")</f>
        <v>तपाईंको एसएमएस पढ्न सक्नुहुन्छ</v>
      </c>
      <c r="O121" s="4" t="str">
        <f>IFERROR(__xludf.DUMMYFUNCTION("GOOGLETRANSLATE(B121, ""en"", ""de"")"),"Kann deine SMS lesen")</f>
        <v>Kann deine SMS lesen</v>
      </c>
      <c r="P121" s="4" t="str">
        <f>IFERROR(__xludf.DUMMYFUNCTION("GOOGLETRANSLATE(B121, ""en"", ""he"")"),"יכול לקרוא את ה- SMS שלך")</f>
        <v>יכול לקרוא את ה- SMS שלך</v>
      </c>
      <c r="Q121" s="4" t="str">
        <f>IFERROR(__xludf.DUMMYFUNCTION("GOOGLETRANSLATE(B121, ""en"", ""cs"")"),"Může číst vaše SMS")</f>
        <v>Může číst vaše SMS</v>
      </c>
      <c r="R121" s="4" t="str">
        <f>IFERROR(__xludf.DUMMYFUNCTION("GOOGLETRANSLATE(B121, ""en"", ""it"")"),"Può leggere il tuo SMS")</f>
        <v>Può leggere il tuo SMS</v>
      </c>
      <c r="S121" s="4" t="str">
        <f>IFERROR(__xludf.DUMMYFUNCTION("GOOGLETRANSLATE(B121, ""en"", ""el"")"),"Μπορεί να διαβάσει τα SMS σας")</f>
        <v>Μπορεί να διαβάσει τα SMS σας</v>
      </c>
    </row>
    <row r="122" ht="15.75" customHeight="1">
      <c r="A122" s="4" t="s">
        <v>257</v>
      </c>
      <c r="B122" s="4" t="s">
        <v>258</v>
      </c>
      <c r="C122" s="4" t="str">
        <f>IFERROR(__xludf.DUMMYFUNCTION("GOOGLETRANSLATE(B122, ""en"", ""es"")"),"Resolver ahora")</f>
        <v>Resolver ahora</v>
      </c>
      <c r="D122" s="4" t="str">
        <f>IFERROR(__xludf.DUMMYFUNCTION("GOOGLETRANSLATE(B122, ""en"", ""pt"")"),"Resolver agora")</f>
        <v>Resolver agora</v>
      </c>
      <c r="E122" s="4" t="str">
        <f>IFERROR(__xludf.DUMMYFUNCTION("GOOGLETRANSLATE(B122, ""en"", ""ar"")"),"حل الآن")</f>
        <v>حل الآن</v>
      </c>
      <c r="F122" s="4" t="str">
        <f>IFERROR(__xludf.DUMMYFUNCTION("GOOGLETRANSLATE(B122, ""en"", ""km"")"),"ការតាំងចិត្ត")</f>
        <v>ការតាំងចិត្ត</v>
      </c>
      <c r="G122" s="4" t="str">
        <f>IFERROR(__xludf.DUMMYFUNCTION("GOOGLETRANSLATE(B122, ""en"", ""fr"")"),"Résoudre maintenant")</f>
        <v>Résoudre maintenant</v>
      </c>
      <c r="H122" s="4" t="str">
        <f>IFERROR(__xludf.DUMMYFUNCTION("GOOGLETRANSLATE(B122, ""en"", ""ro"")"),"Rezolvați acum")</f>
        <v>Rezolvați acum</v>
      </c>
      <c r="I122" s="4" t="str">
        <f>IFERROR(__xludf.DUMMYFUNCTION("GOOGLETRANSLATE(B122, ""en"", ""my"")"),"ယခုဆုံးဖြတ်ချက်")</f>
        <v>ယခုဆုံးဖြတ်ချက်</v>
      </c>
      <c r="J122" s="4" t="str">
        <f>IFERROR(__xludf.DUMMYFUNCTION("GOOGLETRANSLATE(B122, ""en"", ""sw"")"),"Tatua sasa")</f>
        <v>Tatua sasa</v>
      </c>
      <c r="K122" s="4" t="str">
        <f>IFERROR(__xludf.DUMMYFUNCTION("GOOGLETRANSLATE(B122, ""en"", ""th"")"),"แก้ไขตอนนี้")</f>
        <v>แก้ไขตอนนี้</v>
      </c>
      <c r="L122" s="4" t="str">
        <f>IFERROR(__xludf.DUMMYFUNCTION("GOOGLETRANSLATE(B122, ""en"", ""si"")"),"දැන් විසඳන්න")</f>
        <v>දැන් විසඳන්න</v>
      </c>
      <c r="M122" s="4" t="str">
        <f>IFERROR(__xludf.DUMMYFUNCTION("GOOGLETRANSLATE(B122, ""en"", ""vi"")"),"Giải quyết ngay bây giờ")</f>
        <v>Giải quyết ngay bây giờ</v>
      </c>
      <c r="N122" s="4" t="str">
        <f>IFERROR(__xludf.DUMMYFUNCTION("GOOGLETRANSLATE(B122, ""en"", ""ne"")"),"अब समाधान गर")</f>
        <v>अब समाधान गर</v>
      </c>
      <c r="O122" s="4" t="str">
        <f>IFERROR(__xludf.DUMMYFUNCTION("GOOGLETRANSLATE(B122, ""en"", ""de"")"),"Jetzt auflösen")</f>
        <v>Jetzt auflösen</v>
      </c>
      <c r="P122" s="4" t="str">
        <f>IFERROR(__xludf.DUMMYFUNCTION("GOOGLETRANSLATE(B122, ""en"", ""he"")"),"פתור עכשיו")</f>
        <v>פתור עכשיו</v>
      </c>
      <c r="Q122" s="4" t="str">
        <f>IFERROR(__xludf.DUMMYFUNCTION("GOOGLETRANSLATE(B122, ""en"", ""cs"")"),"Vyřešit nyní")</f>
        <v>Vyřešit nyní</v>
      </c>
      <c r="R122" s="4" t="str">
        <f>IFERROR(__xludf.DUMMYFUNCTION("GOOGLETRANSLATE(B122, ""en"", ""it"")"),"Risolvi ora")</f>
        <v>Risolvi ora</v>
      </c>
      <c r="S122" s="4" t="str">
        <f>IFERROR(__xludf.DUMMYFUNCTION("GOOGLETRANSLATE(B122, ""en"", ""el"")"),"Επιλύστε τώρα")</f>
        <v>Επιλύστε τώρα</v>
      </c>
    </row>
    <row r="123" ht="15.75" customHeight="1">
      <c r="A123" s="4" t="s">
        <v>259</v>
      </c>
      <c r="B123" s="4" t="s">
        <v>260</v>
      </c>
      <c r="C123" s="4" t="str">
        <f>IFERROR(__xludf.DUMMYFUNCTION("GOOGLETRANSLATE(B123, ""en"", ""es"")"),"BOSTING ...")</f>
        <v>BOSTING ...</v>
      </c>
      <c r="D123" s="4" t="str">
        <f>IFERROR(__xludf.DUMMYFUNCTION("GOOGLETRANSLATE(B123, ""en"", ""pt"")"),"Impulsionando ...")</f>
        <v>Impulsionando ...</v>
      </c>
      <c r="E123" s="4" t="str">
        <f>IFERROR(__xludf.DUMMYFUNCTION("GOOGLETRANSLATE(B123, ""en"", ""ar"")"),"تعزيز ...")</f>
        <v>تعزيز ...</v>
      </c>
      <c r="F123" s="4" t="str">
        <f>IFERROR(__xludf.DUMMYFUNCTION("GOOGLETRANSLATE(B123, ""en"", ""km"")"),"ការជំរុញ ...")</f>
        <v>ការជំរុញ ...</v>
      </c>
      <c r="G123" s="4" t="str">
        <f>IFERROR(__xludf.DUMMYFUNCTION("GOOGLETRANSLATE(B123, ""en"", ""fr"")"),"Booster ...")</f>
        <v>Booster ...</v>
      </c>
      <c r="H123" s="4" t="str">
        <f>IFERROR(__xludf.DUMMYFUNCTION("GOOGLETRANSLATE(B123, ""en"", ""ro"")"),"Boosting ...")</f>
        <v>Boosting ...</v>
      </c>
      <c r="I123" s="4" t="str">
        <f>IFERROR(__xludf.DUMMYFUNCTION("GOOGLETRANSLATE(B123, ""en"", ""my"")"),"တိုးမြှင့် ...")</f>
        <v>တိုးမြှင့် ...</v>
      </c>
      <c r="J123" s="4" t="str">
        <f>IFERROR(__xludf.DUMMYFUNCTION("GOOGLETRANSLATE(B123, ""en"", ""sw"")"),"Kukuza ...")</f>
        <v>Kukuza ...</v>
      </c>
      <c r="K123" s="4" t="str">
        <f>IFERROR(__xludf.DUMMYFUNCTION("GOOGLETRANSLATE(B123, ""en"", ""th"")"),"เพิ่ม ...")</f>
        <v>เพิ่ม ...</v>
      </c>
      <c r="L123" s="4" t="str">
        <f>IFERROR(__xludf.DUMMYFUNCTION("GOOGLETRANSLATE(B123, ""en"", ""si"")"),"වැඩි කිරීම ...")</f>
        <v>වැඩි කිරීම ...</v>
      </c>
      <c r="M123" s="4" t="str">
        <f>IFERROR(__xludf.DUMMYFUNCTION("GOOGLETRANSLATE(B123, ""en"", ""vi"")"),"Tăng cường ...")</f>
        <v>Tăng cường ...</v>
      </c>
      <c r="N123" s="4" t="str">
        <f>IFERROR(__xludf.DUMMYFUNCTION("GOOGLETRANSLATE(B123, ""en"", ""ne"")"),"बढ्दो ...")</f>
        <v>बढ्दो ...</v>
      </c>
      <c r="O123" s="4" t="str">
        <f>IFERROR(__xludf.DUMMYFUNCTION("GOOGLETRANSLATE(B123, ""en"", ""de"")"),"Erhöhen...")</f>
        <v>Erhöhen...</v>
      </c>
      <c r="P123" s="4" t="str">
        <f>IFERROR(__xludf.DUMMYFUNCTION("GOOGLETRANSLATE(B123, ""en"", ""he"")"),"Boosting ...")</f>
        <v>Boosting ...</v>
      </c>
      <c r="Q123" s="4" t="str">
        <f>IFERROR(__xludf.DUMMYFUNCTION("GOOGLETRANSLATE(B123, ""en"", ""cs"")"),"Posílení ...")</f>
        <v>Posílení ...</v>
      </c>
      <c r="R123" s="4" t="str">
        <f>IFERROR(__xludf.DUMMYFUNCTION("GOOGLETRANSLATE(B123, ""en"", ""it"")"),"Aumentando ...")</f>
        <v>Aumentando ...</v>
      </c>
      <c r="S123" s="4" t="str">
        <f>IFERROR(__xludf.DUMMYFUNCTION("GOOGLETRANSLATE(B123, ""en"", ""el"")"),"Ενισχύοντας ...")</f>
        <v>Ενισχύοντας ...</v>
      </c>
    </row>
    <row r="124" ht="15.75" customHeight="1">
      <c r="A124" s="4" t="s">
        <v>261</v>
      </c>
      <c r="B124" s="4" t="s">
        <v>262</v>
      </c>
      <c r="C124" s="4" t="str">
        <f>IFERROR(__xludf.DUMMYFUNCTION("GOOGLETRANSLATE(B124, ""en"", ""es"")"),"Ser premium")</f>
        <v>Ser premium</v>
      </c>
      <c r="D124" s="4" t="str">
        <f>IFERROR(__xludf.DUMMYFUNCTION("GOOGLETRANSLATE(B124, ""en"", ""pt"")"),"Tornar-se premium")</f>
        <v>Tornar-se premium</v>
      </c>
      <c r="E124" s="4" t="str">
        <f>IFERROR(__xludf.DUMMYFUNCTION("GOOGLETRANSLATE(B124, ""en"", ""ar"")"),"تصبح بريميوم")</f>
        <v>تصبح بريميوم</v>
      </c>
      <c r="F124" s="4" t="str">
        <f>IFERROR(__xludf.DUMMYFUNCTION("GOOGLETRANSLATE(B124, ""en"", ""km"")"),"ក្លាយជាបុព្វលាភ")</f>
        <v>ក្លាយជាបុព្វលាភ</v>
      </c>
      <c r="G124" s="4" t="str">
        <f>IFERROR(__xludf.DUMMYFUNCTION("GOOGLETRANSLATE(B124, ""en"", ""fr"")"),"Devenir prime")</f>
        <v>Devenir prime</v>
      </c>
      <c r="H124" s="4" t="str">
        <f>IFERROR(__xludf.DUMMYFUNCTION("GOOGLETRANSLATE(B124, ""en"", ""ro"")"),"Deveni premium.")</f>
        <v>Deveni premium.</v>
      </c>
      <c r="I124" s="4" t="str">
        <f>IFERROR(__xludf.DUMMYFUNCTION("GOOGLETRANSLATE(B124, ""en"", ""my"")"),"ပရီမီယံဖြစ်လာသည်")</f>
        <v>ပရီမီယံဖြစ်လာသည်</v>
      </c>
      <c r="J124" s="4" t="str">
        <f>IFERROR(__xludf.DUMMYFUNCTION("GOOGLETRANSLATE(B124, ""en"", ""sw"")"),"Kuwa premium.")</f>
        <v>Kuwa premium.</v>
      </c>
      <c r="K124" s="4" t="str">
        <f>IFERROR(__xludf.DUMMYFUNCTION("GOOGLETRANSLATE(B124, ""en"", ""th"")"),"เป็นพรีเมี่ยม")</f>
        <v>เป็นพรีเมี่ยม</v>
      </c>
      <c r="L124" s="4" t="str">
        <f>IFERROR(__xludf.DUMMYFUNCTION("GOOGLETRANSLATE(B124, ""en"", ""si"")"),"වාරික වන්න")</f>
        <v>වාරික වන්න</v>
      </c>
      <c r="M124" s="4" t="str">
        <f>IFERROR(__xludf.DUMMYFUNCTION("GOOGLETRANSLATE(B124, ""en"", ""vi"")"),"Trở thành phí bảo hiểm")</f>
        <v>Trở thành phí bảo hiểm</v>
      </c>
      <c r="N124" s="4" t="str">
        <f>IFERROR(__xludf.DUMMYFUNCTION("GOOGLETRANSLATE(B124, ""en"", ""ne"")"),"प्रीमियम बन्नुहोस्")</f>
        <v>प्रीमियम बन्नुहोस्</v>
      </c>
      <c r="O124" s="4" t="str">
        <f>IFERROR(__xludf.DUMMYFUNCTION("GOOGLETRANSLATE(B124, ""en"", ""de"")"),"Sich ersticken")</f>
        <v>Sich ersticken</v>
      </c>
      <c r="P124" s="4" t="str">
        <f>IFERROR(__xludf.DUMMYFUNCTION("GOOGLETRANSLATE(B124, ""en"", ""he"")"),"להיות פרמיה")</f>
        <v>להיות פרמיה</v>
      </c>
      <c r="Q124" s="4" t="str">
        <f>IFERROR(__xludf.DUMMYFUNCTION("GOOGLETRANSLATE(B124, ""en"", ""cs"")"),"Prémií")</f>
        <v>Prémií</v>
      </c>
      <c r="R124" s="4" t="str">
        <f>IFERROR(__xludf.DUMMYFUNCTION("GOOGLETRANSLATE(B124, ""en"", ""it"")"),"Diventare premium.")</f>
        <v>Diventare premium.</v>
      </c>
      <c r="S124" s="4" t="str">
        <f>IFERROR(__xludf.DUMMYFUNCTION("GOOGLETRANSLATE(B124, ""en"", ""el"")"),"Να γίνει ασφάλιστρο")</f>
        <v>Να γίνει ασφάλιστρο</v>
      </c>
    </row>
    <row r="125" ht="15.75" customHeight="1">
      <c r="A125" s="4" t="s">
        <v>263</v>
      </c>
      <c r="B125" s="4" t="s">
        <v>264</v>
      </c>
      <c r="C125" s="4" t="str">
        <f>IFERROR(__xludf.DUMMYFUNCTION("GOOGLETRANSLATE(B125, ""en"", ""es"")"),"Seguridad y Privacidad")</f>
        <v>Seguridad y Privacidad</v>
      </c>
      <c r="D125" s="4" t="str">
        <f>IFERROR(__xludf.DUMMYFUNCTION("GOOGLETRANSLATE(B125, ""en"", ""pt"")"),"segurança e privacidade")</f>
        <v>segurança e privacidade</v>
      </c>
      <c r="E125" s="4" t="str">
        <f>IFERROR(__xludf.DUMMYFUNCTION("GOOGLETRANSLATE(B125, ""en"", ""ar"")"),"الأمانة و أمبير؛ خصوصية")</f>
        <v>الأمانة و أمبير؛ خصوصية</v>
      </c>
      <c r="F125" s="4" t="str">
        <f>IFERROR(__xludf.DUMMYFUNCTION("GOOGLETRANSLATE(B125, ""en"", ""km"")"),"សុវត្ថិភាពនិងភាពឯកជន")</f>
        <v>សុវត្ថិភាពនិងភាពឯកជន</v>
      </c>
      <c r="G125" s="4" t="str">
        <f>IFERROR(__xludf.DUMMYFUNCTION("GOOGLETRANSLATE(B125, ""en"", ""fr"")"),"Sécurité et vie privée")</f>
        <v>Sécurité et vie privée</v>
      </c>
      <c r="H125" s="4" t="str">
        <f>IFERROR(__xludf.DUMMYFUNCTION("GOOGLETRANSLATE(B125, ""en"", ""ro"")"),"Securitate și confidențialitate")</f>
        <v>Securitate și confidențialitate</v>
      </c>
      <c r="I125" s="4" t="str">
        <f>IFERROR(__xludf.DUMMYFUNCTION("GOOGLETRANSLATE(B125, ""en"", ""my"")"),"လုံခြုံရေးနှင့်သီးသန့်တည်ရှိမှု")</f>
        <v>လုံခြုံရေးနှင့်သီးသန့်တည်ရှိမှု</v>
      </c>
      <c r="J125" s="4" t="str">
        <f>IFERROR(__xludf.DUMMYFUNCTION("GOOGLETRANSLATE(B125, ""en"", ""sw"")"),"Usalama na Faragha.")</f>
        <v>Usalama na Faragha.</v>
      </c>
      <c r="K125" s="4" t="str">
        <f>IFERROR(__xludf.DUMMYFUNCTION("GOOGLETRANSLATE(B125, ""en"", ""th"")"),"ความปลอดภัยและความเป็นส่วนตัว")</f>
        <v>ความปลอดภัยและความเป็นส่วนตัว</v>
      </c>
      <c r="L125" s="4" t="str">
        <f>IFERROR(__xludf.DUMMYFUNCTION("GOOGLETRANSLATE(B125, ""en"", ""si"")"),"ආරක්ෂාව සහ පෞද්ගලිකත්වය")</f>
        <v>ආරක්ෂාව සහ පෞද්ගලිකත්වය</v>
      </c>
      <c r="M125" s="4" t="str">
        <f>IFERROR(__xludf.DUMMYFUNCTION("GOOGLETRANSLATE(B125, ""en"", ""vi"")"),"Bảo mật &amp; Quyền riêng tư")</f>
        <v>Bảo mật &amp; Quyền riêng tư</v>
      </c>
      <c r="N125" s="4" t="str">
        <f>IFERROR(__xludf.DUMMYFUNCTION("GOOGLETRANSLATE(B125, ""en"", ""ne"")"),"सुरक्षा र गोपनीयता")</f>
        <v>सुरक्षा र गोपनीयता</v>
      </c>
      <c r="O125" s="4" t="str">
        <f>IFERROR(__xludf.DUMMYFUNCTION("GOOGLETRANSLATE(B125, ""en"", ""de"")"),"Sicherheit")</f>
        <v>Sicherheit</v>
      </c>
      <c r="P125" s="4" t="str">
        <f>IFERROR(__xludf.DUMMYFUNCTION("GOOGLETRANSLATE(B125, ""en"", ""he"")"),"אבטחה ופרטיות")</f>
        <v>אבטחה ופרטיות</v>
      </c>
      <c r="Q125" s="4" t="str">
        <f>IFERROR(__xludf.DUMMYFUNCTION("GOOGLETRANSLATE(B125, ""en"", ""cs"")"),"Bezpečnost a soukromí")</f>
        <v>Bezpečnost a soukromí</v>
      </c>
      <c r="R125" s="4" t="str">
        <f>IFERROR(__xludf.DUMMYFUNCTION("GOOGLETRANSLATE(B125, ""en"", ""it"")"),"Sicurezza e privacy.")</f>
        <v>Sicurezza e privacy.</v>
      </c>
      <c r="S125" s="4" t="str">
        <f>IFERROR(__xludf.DUMMYFUNCTION("GOOGLETRANSLATE(B125, ""en"", ""el"")"),"Ασφάλεια &amp; Προστασία Προσωπικών Δεδομένων")</f>
        <v>Ασφάλεια &amp; Προστασία Προσωπικών Δεδομένων</v>
      </c>
    </row>
    <row r="126" ht="15.75" customHeight="1">
      <c r="A126" s="4" t="s">
        <v>265</v>
      </c>
      <c r="B126" s="4" t="s">
        <v>266</v>
      </c>
      <c r="C126" s="4" t="str">
        <f>IFERROR(__xludf.DUMMYFUNCTION("GOOGLETRANSLATE(B126, ""en"", ""es"")"),"Patrón ha sido guardado")</f>
        <v>Patrón ha sido guardado</v>
      </c>
      <c r="D126" s="4" t="str">
        <f>IFERROR(__xludf.DUMMYFUNCTION("GOOGLETRANSLATE(B126, ""en"", ""pt"")"),"Padrão foi salvo")</f>
        <v>Padrão foi salvo</v>
      </c>
      <c r="E126" s="4" t="str">
        <f>IFERROR(__xludf.DUMMYFUNCTION("GOOGLETRANSLATE(B126, ""en"", ""ar"")"),"تم حفظ النمط")</f>
        <v>تم حفظ النمط</v>
      </c>
      <c r="F126" s="4" t="str">
        <f>IFERROR(__xludf.DUMMYFUNCTION("GOOGLETRANSLATE(B126, ""en"", ""km"")"),"លំនាំត្រូវបានរក្សាទុក")</f>
        <v>លំនាំត្រូវបានរក្សាទុក</v>
      </c>
      <c r="G126" s="4" t="str">
        <f>IFERROR(__xludf.DUMMYFUNCTION("GOOGLETRANSLATE(B126, ""en"", ""fr"")"),"Modèle a été sauvé")</f>
        <v>Modèle a été sauvé</v>
      </c>
      <c r="H126" s="4" t="str">
        <f>IFERROR(__xludf.DUMMYFUNCTION("GOOGLETRANSLATE(B126, ""en"", ""ro"")"),"Modelul a fost salvat")</f>
        <v>Modelul a fost salvat</v>
      </c>
      <c r="I126" s="4" t="str">
        <f>IFERROR(__xludf.DUMMYFUNCTION("GOOGLETRANSLATE(B126, ""en"", ""my"")"),"ပုံစံကယ်တင်ခြင်းသို့ရောက်ပြီ")</f>
        <v>ပုံစံကယ်တင်ခြင်းသို့ရောက်ပြီ</v>
      </c>
      <c r="J126" s="4" t="str">
        <f>IFERROR(__xludf.DUMMYFUNCTION("GOOGLETRANSLATE(B126, ""en"", ""sw"")"),"Mfano umehifadhiwa.")</f>
        <v>Mfano umehifadhiwa.</v>
      </c>
      <c r="K126" s="4" t="str">
        <f>IFERROR(__xludf.DUMMYFUNCTION("GOOGLETRANSLATE(B126, ""en"", ""th"")"),"รูปแบบได้รับการบันทึกแล้ว")</f>
        <v>รูปแบบได้รับการบันทึกแล้ว</v>
      </c>
      <c r="L126" s="4" t="str">
        <f>IFERROR(__xludf.DUMMYFUNCTION("GOOGLETRANSLATE(B126, ""en"", ""si"")"),"රටාව සුරකින ලදි")</f>
        <v>රටාව සුරකින ලදි</v>
      </c>
      <c r="M126" s="4" t="str">
        <f>IFERROR(__xludf.DUMMYFUNCTION("GOOGLETRANSLATE(B126, ""en"", ""vi"")"),"Mẫu đã được lưu")</f>
        <v>Mẫu đã được lưu</v>
      </c>
      <c r="N126" s="4" t="str">
        <f>IFERROR(__xludf.DUMMYFUNCTION("GOOGLETRANSLATE(B126, ""en"", ""ne"")"),"ढाँचा बचत गरिएको छ")</f>
        <v>ढाँचा बचत गरिएको छ</v>
      </c>
      <c r="O126" s="4" t="str">
        <f>IFERROR(__xludf.DUMMYFUNCTION("GOOGLETRANSLATE(B126, ""en"", ""de"")"),"Muster wurde gespeichert")</f>
        <v>Muster wurde gespeichert</v>
      </c>
      <c r="P126" s="4" t="str">
        <f>IFERROR(__xludf.DUMMYFUNCTION("GOOGLETRANSLATE(B126, ""en"", ""he"")"),"דפוס נשמר")</f>
        <v>דפוס נשמר</v>
      </c>
      <c r="Q126" s="4" t="str">
        <f>IFERROR(__xludf.DUMMYFUNCTION("GOOGLETRANSLATE(B126, ""en"", ""cs"")"),"Vzor byl uložen")</f>
        <v>Vzor byl uložen</v>
      </c>
      <c r="R126" s="4" t="str">
        <f>IFERROR(__xludf.DUMMYFUNCTION("GOOGLETRANSLATE(B126, ""en"", ""it"")"),"Il modello è stato salvato")</f>
        <v>Il modello è stato salvato</v>
      </c>
      <c r="S126" s="4" t="str">
        <f>IFERROR(__xludf.DUMMYFUNCTION("GOOGLETRANSLATE(B126, ""en"", ""el"")"),"Το σχέδιο έχει αποθηκευτεί")</f>
        <v>Το σχέδιο έχει αποθηκευτεί</v>
      </c>
    </row>
    <row r="127" ht="15.75" customHeight="1">
      <c r="A127" s="4" t="s">
        <v>267</v>
      </c>
      <c r="B127" s="4" t="s">
        <v>268</v>
      </c>
      <c r="C127" s="4" t="str">
        <f>IFERROR(__xludf.DUMMYFUNCTION("GOOGLETRANSLATE(B127, ""en"", ""es"")"),"Sin datos")</f>
        <v>Sin datos</v>
      </c>
      <c r="D127" s="4" t="str">
        <f>IFERROR(__xludf.DUMMYFUNCTION("GOOGLETRANSLATE(B127, ""en"", ""pt"")"),"Sem dados")</f>
        <v>Sem dados</v>
      </c>
      <c r="E127" s="4" t="str">
        <f>IFERROR(__xludf.DUMMYFUNCTION("GOOGLETRANSLATE(B127, ""en"", ""ar"")"),"لايوجد بيانات")</f>
        <v>لايوجد بيانات</v>
      </c>
      <c r="F127" s="4" t="str">
        <f>IFERROR(__xludf.DUMMYFUNCTION("GOOGLETRANSLATE(B127, ""en"", ""km"")"),"គ្មាន​ទិន្នន័យ")</f>
        <v>គ្មាន​ទិន្នន័យ</v>
      </c>
      <c r="G127" s="4" t="str">
        <f>IFERROR(__xludf.DUMMYFUNCTION("GOOGLETRANSLATE(B127, ""en"", ""fr"")"),"Pas de données")</f>
        <v>Pas de données</v>
      </c>
      <c r="H127" s="4" t="str">
        <f>IFERROR(__xludf.DUMMYFUNCTION("GOOGLETRANSLATE(B127, ""en"", ""ro"")"),"Nu există date")</f>
        <v>Nu există date</v>
      </c>
      <c r="I127" s="4" t="str">
        <f>IFERROR(__xludf.DUMMYFUNCTION("GOOGLETRANSLATE(B127, ""en"", ""my"")"),"ဒေတာမရှိပါ")</f>
        <v>ဒေတာမရှိပါ</v>
      </c>
      <c r="J127" s="4" t="str">
        <f>IFERROR(__xludf.DUMMYFUNCTION("GOOGLETRANSLATE(B127, ""en"", ""sw"")"),"Hakuna data.")</f>
        <v>Hakuna data.</v>
      </c>
      <c r="K127" s="4" t="str">
        <f>IFERROR(__xludf.DUMMYFUNCTION("GOOGLETRANSLATE(B127, ""en"", ""th"")"),"ไม่มีข้อมูล")</f>
        <v>ไม่มีข้อมูล</v>
      </c>
      <c r="L127" s="4" t="str">
        <f>IFERROR(__xludf.DUMMYFUNCTION("GOOGLETRANSLATE(B127, ""en"", ""si"")"),"දත්ත නැත")</f>
        <v>දත්ත නැත</v>
      </c>
      <c r="M127" s="4" t="str">
        <f>IFERROR(__xludf.DUMMYFUNCTION("GOOGLETRANSLATE(B127, ""en"", ""vi"")"),"Không có dữ liệu")</f>
        <v>Không có dữ liệu</v>
      </c>
      <c r="N127" s="4" t="str">
        <f>IFERROR(__xludf.DUMMYFUNCTION("GOOGLETRANSLATE(B127, ""en"", ""ne"")"),"डाटा छैन")</f>
        <v>डाटा छैन</v>
      </c>
      <c r="O127" s="4" t="str">
        <f>IFERROR(__xludf.DUMMYFUNCTION("GOOGLETRANSLATE(B127, ""en"", ""de"")"),"Keine Daten")</f>
        <v>Keine Daten</v>
      </c>
      <c r="P127" s="4" t="str">
        <f>IFERROR(__xludf.DUMMYFUNCTION("GOOGLETRANSLATE(B127, ""en"", ""he"")"),"אין מידע")</f>
        <v>אין מידע</v>
      </c>
      <c r="Q127" s="4" t="str">
        <f>IFERROR(__xludf.DUMMYFUNCTION("GOOGLETRANSLATE(B127, ""en"", ""cs"")"),"Žádná data")</f>
        <v>Žádná data</v>
      </c>
      <c r="R127" s="4" t="str">
        <f>IFERROR(__xludf.DUMMYFUNCTION("GOOGLETRANSLATE(B127, ""en"", ""it"")"),"Nessun dato")</f>
        <v>Nessun dato</v>
      </c>
      <c r="S127" s="4" t="str">
        <f>IFERROR(__xludf.DUMMYFUNCTION("GOOGLETRANSLATE(B127, ""en"", ""el"")"),"Χωρίς δεδομένα")</f>
        <v>Χωρίς δεδομένα</v>
      </c>
    </row>
    <row r="128" ht="15.75" customHeight="1">
      <c r="A128" s="4" t="s">
        <v>269</v>
      </c>
      <c r="B128" s="4" t="s">
        <v>270</v>
      </c>
      <c r="C128" s="4" t="str">
        <f>IFERROR(__xludf.DUMMYFUNCTION("GOOGLETRANSLATE(B128, ""en"", ""es"")"),"Apagar")</f>
        <v>Apagar</v>
      </c>
      <c r="D128" s="4" t="str">
        <f>IFERROR(__xludf.DUMMYFUNCTION("GOOGLETRANSLATE(B128, ""en"", ""pt"")"),"Desligar")</f>
        <v>Desligar</v>
      </c>
      <c r="E128" s="4" t="str">
        <f>IFERROR(__xludf.DUMMYFUNCTION("GOOGLETRANSLATE(B128, ""en"", ""ar"")"),"يطفىء")</f>
        <v>يطفىء</v>
      </c>
      <c r="F128" s="4" t="str">
        <f>IFERROR(__xludf.DUMMYFUNCTION("GOOGLETRANSLATE(B128, ""en"", ""km"")"),"បិទ")</f>
        <v>បិទ</v>
      </c>
      <c r="G128" s="4" t="str">
        <f>IFERROR(__xludf.DUMMYFUNCTION("GOOGLETRANSLATE(B128, ""en"", ""fr"")"),"Éteindre")</f>
        <v>Éteindre</v>
      </c>
      <c r="H128" s="4" t="str">
        <f>IFERROR(__xludf.DUMMYFUNCTION("GOOGLETRANSLATE(B128, ""en"", ""ro"")"),"Opriți")</f>
        <v>Opriți</v>
      </c>
      <c r="I128" s="4" t="str">
        <f>IFERROR(__xludf.DUMMYFUNCTION("GOOGLETRANSLATE(B128, ""en"", ""my"")"),"ပိတ်ထား")</f>
        <v>ပိတ်ထား</v>
      </c>
      <c r="J128" s="4" t="str">
        <f>IFERROR(__xludf.DUMMYFUNCTION("GOOGLETRANSLATE(B128, ""en"", ""sw"")"),"Kuzima")</f>
        <v>Kuzima</v>
      </c>
      <c r="K128" s="4" t="str">
        <f>IFERROR(__xludf.DUMMYFUNCTION("GOOGLETRANSLATE(B128, ""en"", ""th"")"),"ปิด")</f>
        <v>ปิด</v>
      </c>
      <c r="L128" s="4" t="str">
        <f>IFERROR(__xludf.DUMMYFUNCTION("GOOGLETRANSLATE(B128, ""en"", ""si"")"),"නිවා දමන්න")</f>
        <v>නිවා දමන්න</v>
      </c>
      <c r="M128" s="4" t="str">
        <f>IFERROR(__xludf.DUMMYFUNCTION("GOOGLETRANSLATE(B128, ""en"", ""vi"")"),"Tắt")</f>
        <v>Tắt</v>
      </c>
      <c r="N128" s="4" t="str">
        <f>IFERROR(__xludf.DUMMYFUNCTION("GOOGLETRANSLATE(B128, ""en"", ""ne"")"),"बन्द गर्नुहोस्")</f>
        <v>बन्द गर्नुहोस्</v>
      </c>
      <c r="O128" s="4" t="str">
        <f>IFERROR(__xludf.DUMMYFUNCTION("GOOGLETRANSLATE(B128, ""en"", ""de"")"),"Schalte aus")</f>
        <v>Schalte aus</v>
      </c>
      <c r="P128" s="4" t="str">
        <f>IFERROR(__xludf.DUMMYFUNCTION("GOOGLETRANSLATE(B128, ""en"", ""he"")"),"לכבות")</f>
        <v>לכבות</v>
      </c>
      <c r="Q128" s="4" t="str">
        <f>IFERROR(__xludf.DUMMYFUNCTION("GOOGLETRANSLATE(B128, ""en"", ""cs"")"),"Vypnout")</f>
        <v>Vypnout</v>
      </c>
      <c r="R128" s="4" t="str">
        <f>IFERROR(__xludf.DUMMYFUNCTION("GOOGLETRANSLATE(B128, ""en"", ""it"")"),"Spegnere")</f>
        <v>Spegnere</v>
      </c>
      <c r="S128" s="4" t="str">
        <f>IFERROR(__xludf.DUMMYFUNCTION("GOOGLETRANSLATE(B128, ""en"", ""el"")"),"Σβήνω")</f>
        <v>Σβήνω</v>
      </c>
    </row>
    <row r="129" ht="15.75" customHeight="1">
      <c r="A129" s="4" t="s">
        <v>271</v>
      </c>
      <c r="B129" s="4" t="s">
        <v>272</v>
      </c>
      <c r="C129" s="4" t="str">
        <f>IFERROR(__xludf.DUMMYFUNCTION("GOOGLETRANSLATE(B129, ""en"", ""es"")"),"APAGADO EN")</f>
        <v>APAGADO EN</v>
      </c>
      <c r="D129" s="4" t="str">
        <f>IFERROR(__xludf.DUMMYFUNCTION("GOOGLETRANSLATE(B129, ""en"", ""pt"")"),"OFF / ON")</f>
        <v>OFF / ON</v>
      </c>
      <c r="E129" s="4" t="str">
        <f>IFERROR(__xludf.DUMMYFUNCTION("GOOGLETRANSLATE(B129, ""en"", ""ar"")"),"مغلق يعمل")</f>
        <v>مغلق يعمل</v>
      </c>
      <c r="F129" s="4" t="str">
        <f>IFERROR(__xludf.DUMMYFUNCTION("GOOGLETRANSLATE(B129, ""en"", ""km"")"),"បិទ / បើក")</f>
        <v>បិទ / បើក</v>
      </c>
      <c r="G129" s="4" t="str">
        <f>IFERROR(__xludf.DUMMYFUNCTION("GOOGLETRANSLATE(B129, ""en"", ""fr"")"),"ÉTEINT ALLUMÉ")</f>
        <v>ÉTEINT ALLUMÉ</v>
      </c>
      <c r="H129" s="4" t="str">
        <f>IFERROR(__xludf.DUMMYFUNCTION("GOOGLETRANSLATE(B129, ""en"", ""ro"")"),"Off / on.")</f>
        <v>Off / on.</v>
      </c>
      <c r="I129" s="4" t="str">
        <f>IFERROR(__xludf.DUMMYFUNCTION("GOOGLETRANSLATE(B129, ""en"", ""my"")"),"OFF / ON")</f>
        <v>OFF / ON</v>
      </c>
      <c r="J129" s="4" t="str">
        <f>IFERROR(__xludf.DUMMYFUNCTION("GOOGLETRANSLATE(B129, ""en"", ""sw"")"),"OFF / ON.")</f>
        <v>OFF / ON.</v>
      </c>
      <c r="K129" s="4" t="str">
        <f>IFERROR(__xludf.DUMMYFUNCTION("GOOGLETRANSLATE(B129, ""en"", ""th"")"),"ปิดเปิด")</f>
        <v>ปิดเปิด</v>
      </c>
      <c r="L129" s="4" t="str">
        <f>IFERROR(__xludf.DUMMYFUNCTION("GOOGLETRANSLATE(B129, ""en"", ""si"")"),"ඕෆ් / ඔන්")</f>
        <v>ඕෆ් / ඔන්</v>
      </c>
      <c r="M129" s="4" t="str">
        <f>IFERROR(__xludf.DUMMYFUNCTION("GOOGLETRANSLATE(B129, ""en"", ""vi"")"),"TẮT MỞ")</f>
        <v>TẮT MỞ</v>
      </c>
      <c r="N129" s="4" t="str">
        <f>IFERROR(__xludf.DUMMYFUNCTION("GOOGLETRANSLATE(B129, ""en"", ""ne"")"),"निवाउने बाल्ने")</f>
        <v>निवाउने बाल्ने</v>
      </c>
      <c r="O129" s="4" t="str">
        <f>IFERROR(__xludf.DUMMYFUNCTION("GOOGLETRANSLATE(B129, ""en"", ""de"")"),"AUS AN")</f>
        <v>AUS AN</v>
      </c>
      <c r="P129" s="4" t="str">
        <f>IFERROR(__xludf.DUMMYFUNCTION("GOOGLETRANSLATE(B129, ""en"", ""he"")"),"כבוי מודלק")</f>
        <v>כבוי מודלק</v>
      </c>
      <c r="Q129" s="4" t="str">
        <f>IFERROR(__xludf.DUMMYFUNCTION("GOOGLETRANSLATE(B129, ""en"", ""cs"")"),"VYPNOUT ZAPNOUT")</f>
        <v>VYPNOUT ZAPNOUT</v>
      </c>
      <c r="R129" s="4" t="str">
        <f>IFERROR(__xludf.DUMMYFUNCTION("GOOGLETRANSLATE(B129, ""en"", ""it"")"),"SPENTO ACCESO")</f>
        <v>SPENTO ACCESO</v>
      </c>
      <c r="S129" s="4" t="str">
        <f>IFERROR(__xludf.DUMMYFUNCTION("GOOGLETRANSLATE(B129, ""en"", ""el"")"),"ΚΛΕΙΣΤΟ ΑΝΟΙΧΤΟ")</f>
        <v>ΚΛΕΙΣΤΟ ΑΝΟΙΧΤΟ</v>
      </c>
    </row>
    <row r="130" ht="15.75" customHeight="1">
      <c r="A130" s="4" t="s">
        <v>273</v>
      </c>
      <c r="B130" s="4" t="s">
        <v>274</v>
      </c>
      <c r="C130" s="4" t="str">
        <f>IFERROR(__xludf.DUMMYFUNCTION("GOOGLETRANSLATE(B130, ""en"", ""es"")"),"Cheque")</f>
        <v>Cheque</v>
      </c>
      <c r="D130" s="4" t="str">
        <f>IFERROR(__xludf.DUMMYFUNCTION("GOOGLETRANSLATE(B130, ""en"", ""pt"")"),"Verificar")</f>
        <v>Verificar</v>
      </c>
      <c r="E130" s="4" t="str">
        <f>IFERROR(__xludf.DUMMYFUNCTION("GOOGLETRANSLATE(B130, ""en"", ""ar"")"),"التحقق من")</f>
        <v>التحقق من</v>
      </c>
      <c r="F130" s="4" t="str">
        <f>IFERROR(__xludf.DUMMYFUNCTION("GOOGLETRANSLATE(B130, ""en"", ""km"")"),"ការបិនិត្យ")</f>
        <v>ការបិនិត្យ</v>
      </c>
      <c r="G130" s="4" t="str">
        <f>IFERROR(__xludf.DUMMYFUNCTION("GOOGLETRANSLATE(B130, ""en"", ""fr"")"),"Vérifier")</f>
        <v>Vérifier</v>
      </c>
      <c r="H130" s="4" t="str">
        <f>IFERROR(__xludf.DUMMYFUNCTION("GOOGLETRANSLATE(B130, ""en"", ""ro"")"),"Verifica")</f>
        <v>Verifica</v>
      </c>
      <c r="I130" s="4" t="str">
        <f>IFERROR(__xludf.DUMMYFUNCTION("GOOGLETRANSLATE(B130, ""en"", ""my"")"),"ဘဏ်ငေွထုတ်လက်မှတ်")</f>
        <v>ဘဏ်ငေွထုတ်လက်မှတ်</v>
      </c>
      <c r="J130" s="4" t="str">
        <f>IFERROR(__xludf.DUMMYFUNCTION("GOOGLETRANSLATE(B130, ""en"", ""sw"")"),"Angalia")</f>
        <v>Angalia</v>
      </c>
      <c r="K130" s="4" t="str">
        <f>IFERROR(__xludf.DUMMYFUNCTION("GOOGLETRANSLATE(B130, ""en"", ""th"")"),"ตรวจสอบ")</f>
        <v>ตรวจสอบ</v>
      </c>
      <c r="L130" s="4" t="str">
        <f>IFERROR(__xludf.DUMMYFUNCTION("GOOGLETRANSLATE(B130, ""en"", ""si"")"),"චෙක් පත")</f>
        <v>චෙක් පත</v>
      </c>
      <c r="M130" s="4" t="str">
        <f>IFERROR(__xludf.DUMMYFUNCTION("GOOGLETRANSLATE(B130, ""en"", ""vi"")"),"Đánh dấu")</f>
        <v>Đánh dấu</v>
      </c>
      <c r="N130" s="4" t="str">
        <f>IFERROR(__xludf.DUMMYFUNCTION("GOOGLETRANSLATE(B130, ""en"", ""ne"")"),"नियन्त्रण")</f>
        <v>नियन्त्रण</v>
      </c>
      <c r="O130" s="4" t="str">
        <f>IFERROR(__xludf.DUMMYFUNCTION("GOOGLETRANSLATE(B130, ""en"", ""de"")"),"Prüfen")</f>
        <v>Prüfen</v>
      </c>
      <c r="P130" s="4" t="str">
        <f>IFERROR(__xludf.DUMMYFUNCTION("GOOGLETRANSLATE(B130, ""en"", ""he"")"),"חשבון")</f>
        <v>חשבון</v>
      </c>
      <c r="Q130" s="4" t="str">
        <f>IFERROR(__xludf.DUMMYFUNCTION("GOOGLETRANSLATE(B130, ""en"", ""cs"")"),"Šek")</f>
        <v>Šek</v>
      </c>
      <c r="R130" s="4" t="str">
        <f>IFERROR(__xludf.DUMMYFUNCTION("GOOGLETRANSLATE(B130, ""en"", ""it"")"),"Dai un'occhiata")</f>
        <v>Dai un'occhiata</v>
      </c>
      <c r="S130" s="4" t="str">
        <f>IFERROR(__xludf.DUMMYFUNCTION("GOOGLETRANSLATE(B130, ""en"", ""el"")"),"Ελεγχος")</f>
        <v>Ελεγχος</v>
      </c>
    </row>
    <row r="131" ht="15.75" customHeight="1">
      <c r="A131" s="4" t="s">
        <v>275</v>
      </c>
      <c r="B131" s="4" t="s">
        <v>276</v>
      </c>
      <c r="C131" s="4" t="str">
        <f>IFERROR(__xludf.DUMMYFUNCTION("GOOGLETRANSLATE(B131, ""en"", ""es"")"),"Pruebe las 777 características")</f>
        <v>Pruebe las 777 características</v>
      </c>
      <c r="D131" s="4" t="str">
        <f>IFERROR(__xludf.DUMMYFUNCTION("GOOGLETRANSLATE(B131, ""en"", ""pt"")"),"Experimente todos os recursos 777")</f>
        <v>Experimente todos os recursos 777</v>
      </c>
      <c r="E131" s="4" t="str">
        <f>IFERROR(__xludf.DUMMYFUNCTION("GOOGLETRANSLATE(B131, ""en"", ""ar"")"),"جرب جميع الميزات 777")</f>
        <v>جرب جميع الميزات 777</v>
      </c>
      <c r="F131" s="4" t="str">
        <f>IFERROR(__xludf.DUMMYFUNCTION("GOOGLETRANSLATE(B131, ""en"", ""km"")"),"សាកល្បងលក្ខណៈពិសេសទាំងអស់ 777")</f>
        <v>សាកល្បងលក្ខណៈពិសេសទាំងអស់ 777</v>
      </c>
      <c r="G131" s="4" t="str">
        <f>IFERROR(__xludf.DUMMYFUNCTION("GOOGLETRANSLATE(B131, ""en"", ""fr"")"),"Essayez toutes les 777 fonctionnalités")</f>
        <v>Essayez toutes les 777 fonctionnalités</v>
      </c>
      <c r="H131" s="4" t="str">
        <f>IFERROR(__xludf.DUMMYFUNCTION("GOOGLETRANSLATE(B131, ""en"", ""ro"")"),"Încercați toate cele 777 de caracteristici")</f>
        <v>Încercați toate cele 777 de caracteristici</v>
      </c>
      <c r="I131" s="4" t="str">
        <f>IFERROR(__xludf.DUMMYFUNCTION("GOOGLETRANSLATE(B131, ""en"", ""my"")"),"အင်္ဂါရပ် 777 ခုစလုံးကြိုးစားကြည့်ပါ")</f>
        <v>အင်္ဂါရပ် 777 ခုစလုံးကြိုးစားကြည့်ပါ</v>
      </c>
      <c r="J131" s="4" t="str">
        <f>IFERROR(__xludf.DUMMYFUNCTION("GOOGLETRANSLATE(B131, ""en"", ""sw"")"),"Jaribu makala 777.")</f>
        <v>Jaribu makala 777.</v>
      </c>
      <c r="K131" s="4" t="str">
        <f>IFERROR(__xludf.DUMMYFUNCTION("GOOGLETRANSLATE(B131, ""en"", ""th"")"),"ลองใช้คุณสมบัติทั้งหมด 777")</f>
        <v>ลองใช้คุณสมบัติทั้งหมด 777</v>
      </c>
      <c r="L131" s="4" t="str">
        <f>IFERROR(__xludf.DUMMYFUNCTION("GOOGLETRANSLATE(B131, ""en"", ""si"")"),"සියලුම විශේෂාංග 777 උත්සාහ කරන්න")</f>
        <v>සියලුම විශේෂාංග 777 උත්සාහ කරන්න</v>
      </c>
      <c r="M131" s="4" t="str">
        <f>IFERROR(__xludf.DUMMYFUNCTION("GOOGLETRANSLATE(B131, ""en"", ""vi"")"),"Hãy thử tất cả 777 tính năng")</f>
        <v>Hãy thử tất cả 777 tính năng</v>
      </c>
      <c r="N131" s="4" t="str">
        <f>IFERROR(__xludf.DUMMYFUNCTION("GOOGLETRANSLATE(B131, ""en"", ""ne"")"),"सबै 7777 सुविधाहरू प्रयास गर्नुहोस्")</f>
        <v>सबै 7777 सुविधाहरू प्रयास गर्नुहोस्</v>
      </c>
      <c r="O131" s="4" t="str">
        <f>IFERROR(__xludf.DUMMYFUNCTION("GOOGLETRANSLATE(B131, ""en"", ""de"")"),"Probieren Sie alle 777 Funktionen aus")</f>
        <v>Probieren Sie alle 777 Funktionen aus</v>
      </c>
      <c r="P131" s="4" t="str">
        <f>IFERROR(__xludf.DUMMYFUNCTION("GOOGLETRANSLATE(B131, ""en"", ""he"")"),"נסה את כל התכונות 777")</f>
        <v>נסה את כל התכונות 777</v>
      </c>
      <c r="Q131" s="4" t="str">
        <f>IFERROR(__xludf.DUMMYFUNCTION("GOOGLETRANSLATE(B131, ""en"", ""cs"")"),"Vyzkoušejte všechny funkce 777")</f>
        <v>Vyzkoušejte všechny funkce 777</v>
      </c>
      <c r="R131" s="4" t="str">
        <f>IFERROR(__xludf.DUMMYFUNCTION("GOOGLETRANSLATE(B131, ""en"", ""it"")"),"Prova tutte le 777 Caratteristiche")</f>
        <v>Prova tutte le 777 Caratteristiche</v>
      </c>
      <c r="S131" s="4" t="str">
        <f>IFERROR(__xludf.DUMMYFUNCTION("GOOGLETRANSLATE(B131, ""en"", ""el"")"),"Δοκιμάστε και τα 777 χαρακτηριστικά")</f>
        <v>Δοκιμάστε και τα 777 χαρακτηριστικά</v>
      </c>
    </row>
    <row r="132" ht="15.75" customHeight="1">
      <c r="A132" s="4" t="s">
        <v>277</v>
      </c>
      <c r="B132" s="4" t="s">
        <v>278</v>
      </c>
      <c r="C132" s="4" t="str">
        <f>IFERROR(__xludf.DUMMYFUNCTION("GOOGLETRANSLATE(B132, ""en"", ""es"")"),"Usa herramientas más flexibles.")</f>
        <v>Usa herramientas más flexibles.</v>
      </c>
      <c r="D132" s="4" t="str">
        <f>IFERROR(__xludf.DUMMYFUNCTION("GOOGLETRANSLATE(B132, ""en"", ""pt"")"),"Use ferramentas mais flexíveis")</f>
        <v>Use ferramentas mais flexíveis</v>
      </c>
      <c r="E132" s="4" t="str">
        <f>IFERROR(__xludf.DUMMYFUNCTION("GOOGLETRANSLATE(B132, ""en"", ""ar"")"),"استخدام أدوات أكثر مرونة")</f>
        <v>استخدام أدوات أكثر مرونة</v>
      </c>
      <c r="F132" s="4" t="str">
        <f>IFERROR(__xludf.DUMMYFUNCTION("GOOGLETRANSLATE(B132, ""en"", ""km"")"),"ប្រើឧបករណ៍ដែលអាចបត់បែនបានជាងនេះ")</f>
        <v>ប្រើឧបករណ៍ដែលអាចបត់បែនបានជាងនេះ</v>
      </c>
      <c r="G132" s="4" t="str">
        <f>IFERROR(__xludf.DUMMYFUNCTION("GOOGLETRANSLATE(B132, ""en"", ""fr"")"),"Utilisez des outils plus flexibles")</f>
        <v>Utilisez des outils plus flexibles</v>
      </c>
      <c r="H132" s="4" t="str">
        <f>IFERROR(__xludf.DUMMYFUNCTION("GOOGLETRANSLATE(B132, ""en"", ""ro"")"),"Utilizați instrumente mai flexibile")</f>
        <v>Utilizați instrumente mai flexibile</v>
      </c>
      <c r="I132" s="4" t="str">
        <f>IFERROR(__xludf.DUMMYFUNCTION("GOOGLETRANSLATE(B132, ""en"", ""my"")"),"ပိုမိုပြောင်းလွယ်ပြင်လွယ်ကိရိယာများကိုသုံးပါ")</f>
        <v>ပိုမိုပြောင်းလွယ်ပြင်လွယ်ကိရိယာများကိုသုံးပါ</v>
      </c>
      <c r="J132" s="4" t="str">
        <f>IFERROR(__xludf.DUMMYFUNCTION("GOOGLETRANSLATE(B132, ""en"", ""sw"")"),"Tumia zana rahisi zaidi")</f>
        <v>Tumia zana rahisi zaidi</v>
      </c>
      <c r="K132" s="4" t="str">
        <f>IFERROR(__xludf.DUMMYFUNCTION("GOOGLETRANSLATE(B132, ""en"", ""th"")"),"ใช้เครื่องมือที่ยืดหยุ่นมากขึ้น")</f>
        <v>ใช้เครื่องมือที่ยืดหยุ่นมากขึ้น</v>
      </c>
      <c r="L132" s="4" t="str">
        <f>IFERROR(__xludf.DUMMYFUNCTION("GOOGLETRANSLATE(B132, ""en"", ""si"")"),"වඩාත් නම්යශීලී මෙවලම් භාවිතා කරන්න")</f>
        <v>වඩාත් නම්යශීලී මෙවලම් භාවිතා කරන්න</v>
      </c>
      <c r="M132" s="4" t="str">
        <f>IFERROR(__xludf.DUMMYFUNCTION("GOOGLETRANSLATE(B132, ""en"", ""vi"")"),"Sử dụng nhiều công cụ linh hoạt hơn")</f>
        <v>Sử dụng nhiều công cụ linh hoạt hơn</v>
      </c>
      <c r="N132" s="4" t="str">
        <f>IFERROR(__xludf.DUMMYFUNCTION("GOOGLETRANSLATE(B132, ""en"", ""ne"")"),"अधिक लचिलो उपकरणहरू प्रयोग गर्नुहोस्")</f>
        <v>अधिक लचिलो उपकरणहरू प्रयोग गर्नुहोस्</v>
      </c>
      <c r="O132" s="4" t="str">
        <f>IFERROR(__xludf.DUMMYFUNCTION("GOOGLETRANSLATE(B132, ""en"", ""de"")"),"Verwenden Sie flexiblere Werkzeuge")</f>
        <v>Verwenden Sie flexiblere Werkzeuge</v>
      </c>
      <c r="P132" s="4" t="str">
        <f>IFERROR(__xludf.DUMMYFUNCTION("GOOGLETRANSLATE(B132, ""en"", ""he"")"),"השתמש בכלים גמישים יותר")</f>
        <v>השתמש בכלים גמישים יותר</v>
      </c>
      <c r="Q132" s="4" t="str">
        <f>IFERROR(__xludf.DUMMYFUNCTION("GOOGLETRANSLATE(B132, ""en"", ""cs"")"),"Použijte flexibilnější nástroje")</f>
        <v>Použijte flexibilnější nástroje</v>
      </c>
      <c r="R132" s="4" t="str">
        <f>IFERROR(__xludf.DUMMYFUNCTION("GOOGLETRANSLATE(B132, ""en"", ""it"")"),"Usa strumenti più flessibili")</f>
        <v>Usa strumenti più flessibili</v>
      </c>
      <c r="S132" s="4" t="str">
        <f>IFERROR(__xludf.DUMMYFUNCTION("GOOGLETRANSLATE(B132, ""en"", ""el"")"),"Χρησιμοποιήστε πιο ευέλικτα εργαλεία")</f>
        <v>Χρησιμοποιήστε πιο ευέλικτα εργαλεία</v>
      </c>
    </row>
    <row r="133" ht="15.75" customHeight="1">
      <c r="A133" s="4" t="s">
        <v>279</v>
      </c>
      <c r="B133" s="4" t="s">
        <v>280</v>
      </c>
      <c r="C133" s="4" t="str">
        <f>IFERROR(__xludf.DUMMYFUNCTION("GOOGLETRANSLATE(B133, ""en"", ""es"")"),"Guarda la carga de la batería al cerrar las aplicaciones que consumen de energía.")</f>
        <v>Guarda la carga de la batería al cerrar las aplicaciones que consumen de energía.</v>
      </c>
      <c r="D133" s="4" t="str">
        <f>IFERROR(__xludf.DUMMYFUNCTION("GOOGLETRANSLATE(B133, ""en"", ""pt"")"),"Economiza carga da bateria fechando aplicativos que consomem de energia")</f>
        <v>Economiza carga da bateria fechando aplicativos que consomem de energia</v>
      </c>
      <c r="E133" s="4" t="str">
        <f>IFERROR(__xludf.DUMMYFUNCTION("GOOGLETRANSLATE(B133, ""en"", ""ar"")"),"يحفظ رسوم البطارية عن طريق إغلاق التطبيقات التي تستهلك الطاقة")</f>
        <v>يحفظ رسوم البطارية عن طريق إغلاق التطبيقات التي تستهلك الطاقة</v>
      </c>
      <c r="F133" s="4" t="str">
        <f>IFERROR(__xludf.DUMMYFUNCTION("GOOGLETRANSLATE(B133, ""en"", ""km"")"),"រក្សាទុកការចោទប្រកាន់ថ្មដោយបិទកម្មវិធីដែលប្រើប្រាស់ថាមពល")</f>
        <v>រក្សាទុកការចោទប្រកាន់ថ្មដោយបិទកម្មវិធីដែលប្រើប្រាស់ថាមពល</v>
      </c>
      <c r="G133" s="4" t="str">
        <f>IFERROR(__xludf.DUMMYFUNCTION("GOOGLETRANSLATE(B133, ""en"", ""fr"")"),"Enregistre la charge de la batterie en fermant les applications qui consomment de l'énergie")</f>
        <v>Enregistre la charge de la batterie en fermant les applications qui consomment de l'énergie</v>
      </c>
      <c r="H133" s="4" t="str">
        <f>IFERROR(__xludf.DUMMYFUNCTION("GOOGLETRANSLATE(B133, ""en"", ""ro"")"),"Salvează încărcarea bateriei prin închiderea aplicațiilor care consumă energie")</f>
        <v>Salvează încărcarea bateriei prin închiderea aplicațiilor care consumă energie</v>
      </c>
      <c r="I133" s="4" t="str">
        <f>IFERROR(__xludf.DUMMYFUNCTION("GOOGLETRANSLATE(B133, ""en"", ""my"")"),"စွမ်းအင်သုံးစွဲသော application များကိုပိတ်ခြင်းဖြင့်ဘက်ထရီအားသွင်းသည်")</f>
        <v>စွမ်းအင်သုံးစွဲသော application များကိုပိတ်ခြင်းဖြင့်ဘက်ထရီအားသွင်းသည်</v>
      </c>
      <c r="J133" s="4" t="str">
        <f>IFERROR(__xludf.DUMMYFUNCTION("GOOGLETRANSLATE(B133, ""en"", ""sw"")"),"Anaokoa malipo ya betri kwa kufunga maombi ambayo hutumia nishati")</f>
        <v>Anaokoa malipo ya betri kwa kufunga maombi ambayo hutumia nishati</v>
      </c>
      <c r="K133" s="4" t="str">
        <f>IFERROR(__xludf.DUMMYFUNCTION("GOOGLETRANSLATE(B133, ""en"", ""th"")"),"บันทึกการชาร์จแบตเตอรี่โดยการปิดแอปพลิเคชันที่ใช้พลังงาน")</f>
        <v>บันทึกการชาร์จแบตเตอรี่โดยการปิดแอปพลิเคชันที่ใช้พลังงาน</v>
      </c>
      <c r="L133" s="4" t="str">
        <f>IFERROR(__xludf.DUMMYFUNCTION("GOOGLETRANSLATE(B133, ""en"", ""si"")"),"බලශක්තිය පරිභෝජනය කරන යෙදුම් සංවෘත අයදුම්පත් අවසන් කිරීමෙන් බැටරි ගාස්තුව ඉතිරි කරයි")</f>
        <v>බලශක්තිය පරිභෝජනය කරන යෙදුම් සංවෘත අයදුම්පත් අවසන් කිරීමෙන් බැටරි ගාස්තුව ඉතිරි කරයි</v>
      </c>
      <c r="M133" s="4" t="str">
        <f>IFERROR(__xludf.DUMMYFUNCTION("GOOGLETRANSLATE(B133, ""en"", ""vi"")"),"Tiết kiệm phí pin bằng cách đóng các ứng dụng tiêu thụ năng lượng")</f>
        <v>Tiết kiệm phí pin bằng cách đóng các ứng dụng tiêu thụ năng lượng</v>
      </c>
      <c r="N133" s="4" t="str">
        <f>IFERROR(__xludf.DUMMYFUNCTION("GOOGLETRANSLATE(B133, ""en"", ""ne"")"),"अनुप्रयोगहरूको अनुसरण गरेर ब्याट्री शुल्क बचत गर्दछ जुन ऊर्जाको उपभोग गर्दछ")</f>
        <v>अनुप्रयोगहरूको अनुसरण गरेर ब्याट्री शुल्क बचत गर्दछ जुन ऊर्जाको उपभोग गर्दछ</v>
      </c>
      <c r="O133" s="4" t="str">
        <f>IFERROR(__xludf.DUMMYFUNCTION("GOOGLETRANSLATE(B133, ""en"", ""de"")"),"Spart Batteriebelastung durch Schließen von Anwendungen, die Energieverbraucher konsumieren")</f>
        <v>Spart Batteriebelastung durch Schließen von Anwendungen, die Energieverbraucher konsumieren</v>
      </c>
      <c r="P133" s="4" t="str">
        <f>IFERROR(__xludf.DUMMYFUNCTION("GOOGLETRANSLATE(B133, ""en"", ""he"")"),"חוסך טעינת סוללה על ידי סגירת יישומים הצורכים של אנרגיה")</f>
        <v>חוסך טעינת סוללה על ידי סגירת יישומים הצורכים של אנרגיה</v>
      </c>
      <c r="Q133" s="4" t="str">
        <f>IFERROR(__xludf.DUMMYFUNCTION("GOOGLETRANSLATE(B133, ""en"", ""cs"")"),"Uloží náboj baterie uzavřenými aplikacemi, které spotřebovávají energii")</f>
        <v>Uloží náboj baterie uzavřenými aplikacemi, které spotřebovávají energii</v>
      </c>
      <c r="R133" s="4" t="str">
        <f>IFERROR(__xludf.DUMMYFUNCTION("GOOGLETRANSLATE(B133, ""en"", ""it"")"),"Salva la carica della batteria chiudendo le applicazioni che consumano energia")</f>
        <v>Salva la carica della batteria chiudendo le applicazioni che consumano energia</v>
      </c>
      <c r="S133" s="4" t="str">
        <f>IFERROR(__xludf.DUMMYFUNCTION("GOOGLETRANSLATE(B133, ""en"", ""el"")"),"Αποθηκεύει τη φόρτιση της μπαταρίας, κλείνοντας τις εφαρμογές που καταναλώνουν ενέργεια")</f>
        <v>Αποθηκεύει τη φόρτιση της μπαταρίας, κλείνοντας τις εφαρμογές που καταναλώνουν ενέργεια</v>
      </c>
    </row>
    <row r="134" ht="15.75" customHeight="1">
      <c r="A134" s="4" t="s">
        <v>281</v>
      </c>
      <c r="B134" s="4" t="s">
        <v>282</v>
      </c>
      <c r="C134" s="4" t="str">
        <f>IFERROR(__xludf.DUMMYFUNCTION("GOOGLETRANSLATE(B134, ""en"", ""es"")"),"Echa un vistazo a las aplicaciones que tienen permisos pueden dañar su dispositivo")</f>
        <v>Echa un vistazo a las aplicaciones que tienen permisos pueden dañar su dispositivo</v>
      </c>
      <c r="D134" s="4" t="str">
        <f>IFERROR(__xludf.DUMMYFUNCTION("GOOGLETRANSLATE(B134, ""en"", ""pt"")"),"Confira aplicativos que têm permissões podem prejudicar seu dispositivo")</f>
        <v>Confira aplicativos que têm permissões podem prejudicar seu dispositivo</v>
      </c>
      <c r="E134" s="4" t="str">
        <f>IFERROR(__xludf.DUMMYFUNCTION("GOOGLETRANSLATE(B134, ""en"", ""ar"")"),"تحقق من التطبيقات التي لديها أذونات قد تضر جهازك")</f>
        <v>تحقق من التطبيقات التي لديها أذونات قد تضر جهازك</v>
      </c>
      <c r="F134" s="4" t="str">
        <f>IFERROR(__xludf.DUMMYFUNCTION("GOOGLETRANSLATE(B134, ""en"", ""km"")"),"ពិនិត្យមើលកម្មវិធីដែលមានសិទ្ធិអាចធ្វើឱ្យប៉ះពាល់ដល់ឧបករណ៍របស់អ្នក")</f>
        <v>ពិនិត្យមើលកម្មវិធីដែលមានសិទ្ធិអាចធ្វើឱ្យប៉ះពាល់ដល់ឧបករណ៍របស់អ្នក</v>
      </c>
      <c r="G134" s="4" t="str">
        <f>IFERROR(__xludf.DUMMYFUNCTION("GOOGLETRANSLATE(B134, ""en"", ""fr"")"),"Découvrez les applications qui ont des autorisations peuvent nuire à votre appareil")</f>
        <v>Découvrez les applications qui ont des autorisations peuvent nuire à votre appareil</v>
      </c>
      <c r="H134" s="4" t="str">
        <f>IFERROR(__xludf.DUMMYFUNCTION("GOOGLETRANSLATE(B134, ""en"", ""ro"")"),"Verificați aplicațiile care au permisiuni pot afecta dispozitivul dvs.")</f>
        <v>Verificați aplicațiile care au permisiuni pot afecta dispozitivul dvs.</v>
      </c>
      <c r="I134" s="4" t="str">
        <f>IFERROR(__xludf.DUMMYFUNCTION("GOOGLETRANSLATE(B134, ""en"", ""my"")"),"ခွင့်ပြုချက်ရှိသည့်အက်ပ်များကိုစစ်ဆေးပါသင်၏စက်ပစ္စည်းကိုထိခိုက်စေနိုင်သည်")</f>
        <v>ခွင့်ပြုချက်ရှိသည့်အက်ပ်များကိုစစ်ဆေးပါသင်၏စက်ပစ္စည်းကိုထိခိုက်စေနိုင်သည်</v>
      </c>
      <c r="J134" s="4" t="str">
        <f>IFERROR(__xludf.DUMMYFUNCTION("GOOGLETRANSLATE(B134, ""en"", ""sw"")"),"Angalia programu ambazo zina ruhusa zinaweza kuharibu kifaa chako")</f>
        <v>Angalia programu ambazo zina ruhusa zinaweza kuharibu kifaa chako</v>
      </c>
      <c r="K134" s="4" t="str">
        <f>IFERROR(__xludf.DUMMYFUNCTION("GOOGLETRANSLATE(B134, ""en"", ""th"")"),"ตรวจสอบแอพที่มีสิทธิ์อาจเป็นอันตรายต่ออุปกรณ์ของคุณ")</f>
        <v>ตรวจสอบแอพที่มีสิทธิ์อาจเป็นอันตรายต่ออุปกรณ์ของคุณ</v>
      </c>
      <c r="L134" s="4" t="str">
        <f>IFERROR(__xludf.DUMMYFUNCTION("GOOGLETRANSLATE(B134, ""en"", ""si"")"),"අවසර පත්ර ඇති යෙදුම් පරීක්ෂා කරන්න ඔබගේ උපාංගයට හානි කළ හැකිය")</f>
        <v>අවසර පත්ර ඇති යෙදුම් පරීක්ෂා කරන්න ඔබගේ උපාංගයට හානි කළ හැකිය</v>
      </c>
      <c r="M134" s="4" t="str">
        <f>IFERROR(__xludf.DUMMYFUNCTION("GOOGLETRANSLATE(B134, ""en"", ""vi"")"),"Kiểm tra các ứng dụng có quyền có thể gây hại cho thiết bị của bạn")</f>
        <v>Kiểm tra các ứng dụng có quyền có thể gây hại cho thiết bị của bạn</v>
      </c>
      <c r="N134" s="4" t="str">
        <f>IFERROR(__xludf.DUMMYFUNCTION("GOOGLETRANSLATE(B134, ""en"", ""ne"")"),"अनुप्रयोगहरू जाँच गर्नुहोस् जुन अनुमति छ तपाईंको उपकरणलाई हानी गर्न सक्छ")</f>
        <v>अनुप्रयोगहरू जाँच गर्नुहोस् जुन अनुमति छ तपाईंको उपकरणलाई हानी गर्न सक्छ</v>
      </c>
      <c r="O134" s="4" t="str">
        <f>IFERROR(__xludf.DUMMYFUNCTION("GOOGLETRANSLATE(B134, ""en"", ""de"")"),"Überprüfen Sie die Apps mit den Berechtigungen, die Ihr Gerät schädigen können")</f>
        <v>Überprüfen Sie die Apps mit den Berechtigungen, die Ihr Gerät schädigen können</v>
      </c>
      <c r="P134" s="4" t="str">
        <f>IFERROR(__xludf.DUMMYFUNCTION("GOOGLETRANSLATE(B134, ""en"", ""he"")"),"בדוק את האפליקציות שיש להן הרשאות לפגוע במכשיר שלך")</f>
        <v>בדוק את האפליקציות שיש להן הרשאות לפגוע במכשיר שלך</v>
      </c>
      <c r="Q134" s="4" t="str">
        <f>IFERROR(__xludf.DUMMYFUNCTION("GOOGLETRANSLATE(B134, ""en"", ""cs"")"),"Podívejte se na aplikace, které mají oprávnění poškodit vaše zařízení")</f>
        <v>Podívejte se na aplikace, které mají oprávnění poškodit vaše zařízení</v>
      </c>
      <c r="R134" s="4" t="str">
        <f>IFERROR(__xludf.DUMMYFUNCTION("GOOGLETRANSLATE(B134, ""en"", ""it"")"),"Scopri le app che hanno le autorizzazioni possono danneggiare il tuo dispositivo")</f>
        <v>Scopri le app che hanno le autorizzazioni possono danneggiare il tuo dispositivo</v>
      </c>
      <c r="S134" s="4" t="str">
        <f>IFERROR(__xludf.DUMMYFUNCTION("GOOGLETRANSLATE(B134, ""en"", ""el"")"),"Ελέγξτε τις εφαρμογές που έχουν δικαιώματα μπορεί να βλάψουν τη συσκευή σας")</f>
        <v>Ελέγξτε τις εφαρμογές που έχουν δικαιώματα μπορεί να βλάψουν τη συσκευή σας</v>
      </c>
    </row>
    <row r="135" ht="15.75" customHeight="1">
      <c r="A135" s="4" t="s">
        <v>283</v>
      </c>
      <c r="B135" s="4" t="s">
        <v>284</v>
      </c>
      <c r="C135" s="4" t="str">
        <f>IFERROR(__xludf.DUMMYFUNCTION("GOOGLETRANSLATE(B135, ""en"", ""es"")"),"Suscribir")</f>
        <v>Suscribir</v>
      </c>
      <c r="D135" s="4" t="str">
        <f>IFERROR(__xludf.DUMMYFUNCTION("GOOGLETRANSLATE(B135, ""en"", ""pt"")"),"Se inscrever")</f>
        <v>Se inscrever</v>
      </c>
      <c r="E135" s="4" t="str">
        <f>IFERROR(__xludf.DUMMYFUNCTION("GOOGLETRANSLATE(B135, ""en"", ""ar"")"),"الإشتراك")</f>
        <v>الإشتراك</v>
      </c>
      <c r="F135" s="4" t="str">
        <f>IFERROR(__xludf.DUMMYFUNCTION("GOOGLETRANSLATE(B135, ""en"", ""km"")"),"ជាវ")</f>
        <v>ជាវ</v>
      </c>
      <c r="G135" s="4" t="str">
        <f>IFERROR(__xludf.DUMMYFUNCTION("GOOGLETRANSLATE(B135, ""en"", ""fr"")"),"S'abonner")</f>
        <v>S'abonner</v>
      </c>
      <c r="H135" s="4" t="str">
        <f>IFERROR(__xludf.DUMMYFUNCTION("GOOGLETRANSLATE(B135, ""en"", ""ro"")"),"Abonati-va")</f>
        <v>Abonati-va</v>
      </c>
      <c r="I135" s="4" t="str">
        <f>IFERROR(__xludf.DUMMYFUNCTION("GOOGLETRANSLATE(B135, ""en"", ""my"")"),"စာရင်းသွင်းပါ")</f>
        <v>စာရင်းသွင်းပါ</v>
      </c>
      <c r="J135" s="4" t="str">
        <f>IFERROR(__xludf.DUMMYFUNCTION("GOOGLETRANSLATE(B135, ""en"", ""sw"")"),"Jisajili")</f>
        <v>Jisajili</v>
      </c>
      <c r="K135" s="4" t="str">
        <f>IFERROR(__xludf.DUMMYFUNCTION("GOOGLETRANSLATE(B135, ""en"", ""th"")"),"ติดตาม")</f>
        <v>ติดตาม</v>
      </c>
      <c r="L135" s="4" t="str">
        <f>IFERROR(__xludf.DUMMYFUNCTION("GOOGLETRANSLATE(B135, ""en"", ""si"")"),"දායක වන්න")</f>
        <v>දායක වන්න</v>
      </c>
      <c r="M135" s="4" t="str">
        <f>IFERROR(__xludf.DUMMYFUNCTION("GOOGLETRANSLATE(B135, ""en"", ""vi"")"),"Đặt mua")</f>
        <v>Đặt mua</v>
      </c>
      <c r="N135" s="4" t="str">
        <f>IFERROR(__xludf.DUMMYFUNCTION("GOOGLETRANSLATE(B135, ""en"", ""ne"")"),"सदस्यता लिनुहोस्")</f>
        <v>सदस्यता लिनुहोस्</v>
      </c>
      <c r="O135" s="4" t="str">
        <f>IFERROR(__xludf.DUMMYFUNCTION("GOOGLETRANSLATE(B135, ""en"", ""de"")"),"Abonnieren")</f>
        <v>Abonnieren</v>
      </c>
      <c r="P135" s="4" t="str">
        <f>IFERROR(__xludf.DUMMYFUNCTION("GOOGLETRANSLATE(B135, ""en"", ""he"")"),"תירגעו")</f>
        <v>תירגעו</v>
      </c>
      <c r="Q135" s="4" t="str">
        <f>IFERROR(__xludf.DUMMYFUNCTION("GOOGLETRANSLATE(B135, ""en"", ""cs"")"),"předplatit")</f>
        <v>předplatit</v>
      </c>
      <c r="R135" s="4" t="str">
        <f>IFERROR(__xludf.DUMMYFUNCTION("GOOGLETRANSLATE(B135, ""en"", ""it"")"),"sottoscrivi")</f>
        <v>sottoscrivi</v>
      </c>
      <c r="S135" s="4" t="str">
        <f>IFERROR(__xludf.DUMMYFUNCTION("GOOGLETRANSLATE(B135, ""en"", ""el"")"),"Εγγραφείτε")</f>
        <v>Εγγραφείτε</v>
      </c>
    </row>
    <row r="136" ht="15.75" customHeight="1">
      <c r="A136" s="4" t="s">
        <v>285</v>
      </c>
      <c r="B136" s="4" t="s">
        <v>286</v>
      </c>
      <c r="C136" s="4" t="str">
        <f>IFERROR(__xludf.DUMMYFUNCTION("GOOGLETRANSLATE(B136, ""en"", ""es"")"),"Recuérdame cuando CPU se sobrecaliente")</f>
        <v>Recuérdame cuando CPU se sobrecaliente</v>
      </c>
      <c r="D136" s="4" t="str">
        <f>IFERROR(__xludf.DUMMYFUNCTION("GOOGLETRANSLATE(B136, ""en"", ""pt"")"),"Lembre-me quando o superaquecimento da CPU")</f>
        <v>Lembre-me quando o superaquecimento da CPU</v>
      </c>
      <c r="E136" s="4" t="str">
        <f>IFERROR(__xludf.DUMMYFUNCTION("GOOGLETRANSLATE(B136, ""en"", ""ar"")"),"تذكرني عند ارتفاع درجة الحرارة CPU")</f>
        <v>تذكرني عند ارتفاع درجة الحرارة CPU</v>
      </c>
      <c r="F136" s="4" t="str">
        <f>IFERROR(__xludf.DUMMYFUNCTION("GOOGLETRANSLATE(B136, ""en"", ""km"")"),"រំ me កខ្ញុំនៅពេលស៊ីភីយូឡើងកំដៅខ្លាំង")</f>
        <v>រំ me កខ្ញុំនៅពេលស៊ីភីយូឡើងកំដៅខ្លាំង</v>
      </c>
      <c r="G136" s="4" t="str">
        <f>IFERROR(__xludf.DUMMYFUNCTION("GOOGLETRANSLATE(B136, ""en"", ""fr"")"),"Rappelez-moi quand la CPU surchauffe")</f>
        <v>Rappelez-moi quand la CPU surchauffe</v>
      </c>
      <c r="H136" s="4" t="str">
        <f>IFERROR(__xludf.DUMMYFUNCTION("GOOGLETRANSLATE(B136, ""en"", ""ro"")"),"Amintește-mi când CPU a supraîncălzi")</f>
        <v>Amintește-mi când CPU a supraîncălzi</v>
      </c>
      <c r="I136" s="4" t="str">
        <f>IFERROR(__xludf.DUMMYFUNCTION("GOOGLETRANSLATE(B136, ""en"", ""my"")"),"CPU overheating အခါငါ့ကိုသတိပေးပါ")</f>
        <v>CPU overheating အခါငါ့ကိုသတိပေးပါ</v>
      </c>
      <c r="J136" s="4" t="str">
        <f>IFERROR(__xludf.DUMMYFUNCTION("GOOGLETRANSLATE(B136, ""en"", ""sw"")"),"Nikumbushe wakati CPU overheating.")</f>
        <v>Nikumbushe wakati CPU overheating.</v>
      </c>
      <c r="K136" s="4" t="str">
        <f>IFERROR(__xludf.DUMMYFUNCTION("GOOGLETRANSLATE(B136, ""en"", ""th"")"),"เตือนฉันเมื่อ CPU ร้อนเกินไป")</f>
        <v>เตือนฉันเมื่อ CPU ร้อนเกินไป</v>
      </c>
      <c r="L136" s="4" t="str">
        <f>IFERROR(__xludf.DUMMYFUNCTION("GOOGLETRANSLATE(B136, ""en"", ""si"")"),"CPU අධික උනුසුම් වූ විට මට මතක් කරන්න")</f>
        <v>CPU අධික උනුසුම් වූ විට මට මතක් කරන්න</v>
      </c>
      <c r="M136" s="4" t="str">
        <f>IFERROR(__xludf.DUMMYFUNCTION("GOOGLETRANSLATE(B136, ""en"", ""vi"")"),"Nhắc nhở tôi khi CPU quá nóng")</f>
        <v>Nhắc nhở tôi khi CPU quá nóng</v>
      </c>
      <c r="N136" s="4" t="str">
        <f>IFERROR(__xludf.DUMMYFUNCTION("GOOGLETRANSLATE(B136, ""en"", ""ne"")"),"मलाई CPU हेर्ने कुरा सम्झाउनुहोस्")</f>
        <v>मलाई CPU हेर्ने कुरा सम्झाउनुहोस्</v>
      </c>
      <c r="O136" s="4" t="str">
        <f>IFERROR(__xludf.DUMMYFUNCTION("GOOGLETRANSLATE(B136, ""en"", ""de"")"),"Erinnere mich daran, wenn die CPU überhitzt")</f>
        <v>Erinnere mich daran, wenn die CPU überhitzt</v>
      </c>
      <c r="P136" s="4" t="str">
        <f>IFERROR(__xludf.DUMMYFUNCTION("GOOGLETRANSLATE(B136, ""en"", ""he"")"),"להזכיר לי כאשר CPU התחממות יתר")</f>
        <v>להזכיר לי כאשר CPU התחממות יתר</v>
      </c>
      <c r="Q136" s="4" t="str">
        <f>IFERROR(__xludf.DUMMYFUNCTION("GOOGLETRANSLATE(B136, ""en"", ""cs"")"),"Připomeň mi, kdy CPU přehřátí")</f>
        <v>Připomeň mi, kdy CPU přehřátí</v>
      </c>
      <c r="R136" s="4" t="str">
        <f>IFERROR(__xludf.DUMMYFUNCTION("GOOGLETRANSLATE(B136, ""en"", ""it"")"),"Ricordami quando il surriscaldamento della CPU")</f>
        <v>Ricordami quando il surriscaldamento della CPU</v>
      </c>
      <c r="S136" s="4" t="str">
        <f>IFERROR(__xludf.DUMMYFUNCTION("GOOGLETRANSLATE(B136, ""en"", ""el"")"),"Θυμηθείτε μου όταν υπερθέρμανση της CPU")</f>
        <v>Θυμηθείτε μου όταν υπερθέρμανση της CPU</v>
      </c>
    </row>
    <row r="137" ht="15.75" customHeight="1">
      <c r="A137" s="4" t="s">
        <v>287</v>
      </c>
      <c r="B137" s="4" t="s">
        <v>288</v>
      </c>
      <c r="C137" s="4" t="str">
        <f>IFERROR(__xludf.DUMMYFUNCTION("GOOGLETRANSLATE(B137, ""en"", ""es"")"),"Configuraciones más flexibles")</f>
        <v>Configuraciones más flexibles</v>
      </c>
      <c r="D137" s="4" t="str">
        <f>IFERROR(__xludf.DUMMYFUNCTION("GOOGLETRANSLATE(B137, ""en"", ""pt"")"),"Configurações mais flexíveis")</f>
        <v>Configurações mais flexíveis</v>
      </c>
      <c r="E137" s="4" t="str">
        <f>IFERROR(__xludf.DUMMYFUNCTION("GOOGLETRANSLATE(B137, ""en"", ""ar"")"),"إعدادات أكثر مرونة")</f>
        <v>إعدادات أكثر مرونة</v>
      </c>
      <c r="F137" s="4" t="str">
        <f>IFERROR(__xludf.DUMMYFUNCTION("GOOGLETRANSLATE(B137, ""en"", ""km"")"),"ការកំណត់ដែលអាចបត់បែនបានជាង")</f>
        <v>ការកំណត់ដែលអាចបត់បែនបានជាង</v>
      </c>
      <c r="G137" s="4" t="str">
        <f>IFERROR(__xludf.DUMMYFUNCTION("GOOGLETRANSLATE(B137, ""en"", ""fr"")"),"Paramètres plus flexibles")</f>
        <v>Paramètres plus flexibles</v>
      </c>
      <c r="H137" s="4" t="str">
        <f>IFERROR(__xludf.DUMMYFUNCTION("GOOGLETRANSLATE(B137, ""en"", ""ro"")"),"Setări mai flexibile")</f>
        <v>Setări mai flexibile</v>
      </c>
      <c r="I137" s="4" t="str">
        <f>IFERROR(__xludf.DUMMYFUNCTION("GOOGLETRANSLATE(B137, ""en"", ""my"")"),"ပိုပြီးပြောင်းလွယ်ပြင်လွယ် settings ကို")</f>
        <v>ပိုပြီးပြောင်းလွယ်ပြင်လွယ် settings ကို</v>
      </c>
      <c r="J137" s="4" t="str">
        <f>IFERROR(__xludf.DUMMYFUNCTION("GOOGLETRANSLATE(B137, ""en"", ""sw"")"),"Mipangilio ya kubadilika zaidi.")</f>
        <v>Mipangilio ya kubadilika zaidi.</v>
      </c>
      <c r="K137" s="4" t="str">
        <f>IFERROR(__xludf.DUMMYFUNCTION("GOOGLETRANSLATE(B137, ""en"", ""th"")"),"การตั้งค่าที่ยืดหยุ่นมากขึ้น")</f>
        <v>การตั้งค่าที่ยืดหยุ่นมากขึ้น</v>
      </c>
      <c r="L137" s="4" t="str">
        <f>IFERROR(__xludf.DUMMYFUNCTION("GOOGLETRANSLATE(B137, ""en"", ""si"")"),"වඩාත් නම්යශීලී සැකසුම්")</f>
        <v>වඩාත් නම්යශීලී සැකසුම්</v>
      </c>
      <c r="M137" s="4" t="str">
        <f>IFERROR(__xludf.DUMMYFUNCTION("GOOGLETRANSLATE(B137, ""en"", ""vi"")"),"Cài đặt linh hoạt hơn")</f>
        <v>Cài đặt linh hoạt hơn</v>
      </c>
      <c r="N137" s="4" t="str">
        <f>IFERROR(__xludf.DUMMYFUNCTION("GOOGLETRANSLATE(B137, ""en"", ""ne"")"),"अधिक लचिलो सेटिंग्स")</f>
        <v>अधिक लचिलो सेटिंग्स</v>
      </c>
      <c r="O137" s="4" t="str">
        <f>IFERROR(__xludf.DUMMYFUNCTION("GOOGLETRANSLATE(B137, ""en"", ""de"")"),"Weitere flexiblere Einstellungen")</f>
        <v>Weitere flexiblere Einstellungen</v>
      </c>
      <c r="P137" s="4" t="str">
        <f>IFERROR(__xludf.DUMMYFUNCTION("GOOGLETRANSLATE(B137, ""en"", ""he"")"),"הגדרות גמישות יותר")</f>
        <v>הגדרות גמישות יותר</v>
      </c>
      <c r="Q137" s="4" t="str">
        <f>IFERROR(__xludf.DUMMYFUNCTION("GOOGLETRANSLATE(B137, ""en"", ""cs"")"),"Flexibilní nastavení")</f>
        <v>Flexibilní nastavení</v>
      </c>
      <c r="R137" s="4" t="str">
        <f>IFERROR(__xludf.DUMMYFUNCTION("GOOGLETRANSLATE(B137, ""en"", ""it"")"),"Impostazioni più flessibili")</f>
        <v>Impostazioni più flessibili</v>
      </c>
      <c r="S137" s="4" t="str">
        <f>IFERROR(__xludf.DUMMYFUNCTION("GOOGLETRANSLATE(B137, ""en"", ""el"")"),"Πιο ευέλικτες ρυθμίσεις")</f>
        <v>Πιο ευέλικτες ρυθμίσεις</v>
      </c>
    </row>
    <row r="138" ht="15.75" customHeight="1">
      <c r="A138" s="4" t="s">
        <v>289</v>
      </c>
      <c r="B138" s="4" t="s">
        <v>290</v>
      </c>
      <c r="C138" s="4" t="str">
        <f>IFERROR(__xludf.DUMMYFUNCTION("GOOGLETRANSLATE(B138, ""en"", ""es"")"),"Bateria BAJA")</f>
        <v>Bateria BAJA</v>
      </c>
      <c r="D138" s="4" t="str">
        <f>IFERROR(__xludf.DUMMYFUNCTION("GOOGLETRANSLATE(B138, ""en"", ""pt"")"),"Bateria baixa.")</f>
        <v>Bateria baixa.</v>
      </c>
      <c r="E138" s="4" t="str">
        <f>IFERROR(__xludf.DUMMYFUNCTION("GOOGLETRANSLATE(B138, ""en"", ""ar"")"),"البطارية منخفضة")</f>
        <v>البطارية منخفضة</v>
      </c>
      <c r="F138" s="4" t="str">
        <f>IFERROR(__xludf.DUMMYFUNCTION("GOOGLETRANSLATE(B138, ""en"", ""km"")"),"អស់​ថ្ម")</f>
        <v>អស់​ថ្ម</v>
      </c>
      <c r="G138" s="4" t="str">
        <f>IFERROR(__xludf.DUMMYFUNCTION("GOOGLETRANSLATE(B138, ""en"", ""fr"")"),"Batterie faible")</f>
        <v>Batterie faible</v>
      </c>
      <c r="H138" s="4" t="str">
        <f>IFERROR(__xludf.DUMMYFUNCTION("GOOGLETRANSLATE(B138, ""en"", ""ro"")"),"Baterie descărcată")</f>
        <v>Baterie descărcată</v>
      </c>
      <c r="I138" s="4" t="str">
        <f>IFERROR(__xludf.DUMMYFUNCTION("GOOGLETRANSLATE(B138, ""en"", ""my"")"),"ဘက်ထရီနိမ့်")</f>
        <v>ဘက်ထရီနိမ့်</v>
      </c>
      <c r="J138" s="4" t="str">
        <f>IFERROR(__xludf.DUMMYFUNCTION("GOOGLETRANSLATE(B138, ""en"", ""sw"")"),"Betri chini")</f>
        <v>Betri chini</v>
      </c>
      <c r="K138" s="4" t="str">
        <f>IFERROR(__xludf.DUMMYFUNCTION("GOOGLETRANSLATE(B138, ""en"", ""th"")"),"แบตเตอรี่ต่ำ")</f>
        <v>แบตเตอรี่ต่ำ</v>
      </c>
      <c r="L138" s="4" t="str">
        <f>IFERROR(__xludf.DUMMYFUNCTION("GOOGLETRANSLATE(B138, ""en"", ""si"")"),"බැටරි පහත්")</f>
        <v>බැටරි පහත්</v>
      </c>
      <c r="M138" s="4" t="str">
        <f>IFERROR(__xludf.DUMMYFUNCTION("GOOGLETRANSLATE(B138, ""en"", ""vi"")"),"Pin yếu")</f>
        <v>Pin yếu</v>
      </c>
      <c r="N138" s="4" t="str">
        <f>IFERROR(__xludf.DUMMYFUNCTION("GOOGLETRANSLATE(B138, ""en"", ""ne"")"),"ब्याट्री कम")</f>
        <v>ब्याट्री कम</v>
      </c>
      <c r="O138" s="4" t="str">
        <f>IFERROR(__xludf.DUMMYFUNCTION("GOOGLETRANSLATE(B138, ""en"", ""de"")"),"Batterie schwach")</f>
        <v>Batterie schwach</v>
      </c>
      <c r="P138" s="4" t="str">
        <f>IFERROR(__xludf.DUMMYFUNCTION("GOOGLETRANSLATE(B138, ""en"", ""he"")"),"סוללה חלשה")</f>
        <v>סוללה חלשה</v>
      </c>
      <c r="Q138" s="4" t="str">
        <f>IFERROR(__xludf.DUMMYFUNCTION("GOOGLETRANSLATE(B138, ""en"", ""cs"")"),"Slabá baterie")</f>
        <v>Slabá baterie</v>
      </c>
      <c r="R138" s="4" t="str">
        <f>IFERROR(__xludf.DUMMYFUNCTION("GOOGLETRANSLATE(B138, ""en"", ""it"")"),"Batteria scarica")</f>
        <v>Batteria scarica</v>
      </c>
      <c r="S138" s="4" t="str">
        <f>IFERROR(__xludf.DUMMYFUNCTION("GOOGLETRANSLATE(B138, ""en"", ""el"")"),"Χαμηλή μπαταρία")</f>
        <v>Χαμηλή μπαταρία</v>
      </c>
    </row>
    <row r="139" ht="15.75" customHeight="1">
      <c r="A139" s="4" t="s">
        <v>291</v>
      </c>
      <c r="B139" s="4" t="s">
        <v>292</v>
      </c>
      <c r="C139" s="4" t="str">
        <f>IFERROR(__xludf.DUMMYFUNCTION("GOOGLETRANSLATE(B139, ""en"", ""es"")"),"Por favor, siéntase libre de expresar su disgusto. Si se adopta la opinión, habrá un gran premio (requerido)")</f>
        <v>Por favor, siéntase libre de expresar su disgusto. Si se adopta la opinión, habrá un gran premio (requerido)</v>
      </c>
      <c r="D139" s="4" t="str">
        <f>IFERROR(__xludf.DUMMYFUNCTION("GOOGLETRANSLATE(B139, ""en"", ""pt"")"),"Por favor, sinta-se livre para expressar seu descontentamento. Se a opinião for adotada, haverá um grande prêmio (obrigatório)")</f>
        <v>Por favor, sinta-se livre para expressar seu descontentamento. Se a opinião for adotada, haverá um grande prêmio (obrigatório)</v>
      </c>
      <c r="E139" s="4" t="str">
        <f>IFERROR(__xludf.DUMMYFUNCTION("GOOGLETRANSLATE(B139, ""en"", ""ar"")"),"لا تتردد في التعبير عن استيائك. إذا تم اعتماد الرأي، فستكون هناك جائزة كبيرة (مطلوب)")</f>
        <v>لا تتردد في التعبير عن استيائك. إذا تم اعتماد الرأي، فستكون هناك جائزة كبيرة (مطلوب)</v>
      </c>
      <c r="F139" s="4" t="str">
        <f>IFERROR(__xludf.DUMMYFUNCTION("GOOGLETRANSLATE(B139, ""en"", ""km"")"),"សូមមានអារម្មណ៍សេរីក្នុងការបង្ហាញពីការមិនពេញចិត្តរបស់អ្នក។ ប្រសិនបើមតិត្រូវបានអនុម័តវានឹងមានរង្វាន់ធំ (ចាំបាច់)")</f>
        <v>សូមមានអារម្មណ៍សេរីក្នុងការបង្ហាញពីការមិនពេញចិត្តរបស់អ្នក។ ប្រសិនបើមតិត្រូវបានអនុម័តវានឹងមានរង្វាន់ធំ (ចាំបាច់)</v>
      </c>
      <c r="G139" s="4" t="str">
        <f>IFERROR(__xludf.DUMMYFUNCTION("GOOGLETRANSLATE(B139, ""en"", ""fr"")"),"S'il vous plaît n'hésitez pas à exprimer votre mécontentement. Si l'opinion est adoptée, il y aura un gros prix (obligatoire)")</f>
        <v>S'il vous plaît n'hésitez pas à exprimer votre mécontentement. Si l'opinion est adoptée, il y aura un gros prix (obligatoire)</v>
      </c>
      <c r="H139" s="4" t="str">
        <f>IFERROR(__xludf.DUMMYFUNCTION("GOOGLETRANSLATE(B139, ""en"", ""ro"")"),"Vă rugăm să nu ezitați să vă exprimați nemulțumirea. În cazul în care opinia este adoptată, va exista un premiu mare (obligatoriu)")</f>
        <v>Vă rugăm să nu ezitați să vă exprimați nemulțumirea. În cazul în care opinia este adoptată, va exista un premiu mare (obligatoriu)</v>
      </c>
      <c r="I139" s="4" t="str">
        <f>IFERROR(__xludf.DUMMYFUNCTION("GOOGLETRANSLATE(B139, ""en"", ""my"")"),"ကျေးဇူးပြုပြီးသင့်စိတ်မရှိသောအရာကိုထုတ်ဖော်ပြောဆိုရန်အခမဲ့ဖြစ်ပါစေ။ အကယ်. ထင်မြင်ချက်ကိုမွေးစားပါကကြီးမားသောဆုတစ်ခုရှိလိမ့်မည် (လိုအပ်သည်)")</f>
        <v>ကျေးဇူးပြုပြီးသင့်စိတ်မရှိသောအရာကိုထုတ်ဖော်ပြောဆိုရန်အခမဲ့ဖြစ်ပါစေ။ အကယ်. ထင်မြင်ချက်ကိုမွေးစားပါကကြီးမားသောဆုတစ်ခုရှိလိမ့်မည် (လိုအပ်သည်)</v>
      </c>
      <c r="J139" s="4" t="str">
        <f>IFERROR(__xludf.DUMMYFUNCTION("GOOGLETRANSLATE(B139, ""en"", ""sw"")"),"Tafadhali jisikie huru kuelezea hasira yako. Ikiwa maoni yanapitishwa, kutakuwa na tuzo kubwa (inahitajika)")</f>
        <v>Tafadhali jisikie huru kuelezea hasira yako. Ikiwa maoni yanapitishwa, kutakuwa na tuzo kubwa (inahitajika)</v>
      </c>
      <c r="K139" s="4" t="str">
        <f>IFERROR(__xludf.DUMMYFUNCTION("GOOGLETRANSLATE(B139, ""en"", ""th"")"),"โปรดแสดงความไม่พอใจของคุณ หากมีการใช้ความเห็นจะมีรางวัลใหญ่ (จำเป็น)")</f>
        <v>โปรดแสดงความไม่พอใจของคุณ หากมีการใช้ความเห็นจะมีรางวัลใหญ่ (จำเป็น)</v>
      </c>
      <c r="L139" s="4" t="str">
        <f>IFERROR(__xludf.DUMMYFUNCTION("GOOGLETRANSLATE(B139, ""en"", ""si"")"),"කරුණාකර ඔබේ අප්රසාදය ප්රකාශ කිරීමට නිදහස් වන්න. මතය අනුගමනය කරන්නේ නම්, විශාල ත්යාගයක් ලැබෙනු ඇත (අවශ්ය)")</f>
        <v>කරුණාකර ඔබේ අප්රසාදය ප්රකාශ කිරීමට නිදහස් වන්න. මතය අනුගමනය කරන්නේ නම්, විශාල ත්යාගයක් ලැබෙනු ඇත (අවශ්ය)</v>
      </c>
      <c r="M139" s="4" t="str">
        <f>IFERROR(__xludf.DUMMYFUNCTION("GOOGLETRANSLATE(B139, ""en"", ""vi"")"),"Xin vui lòng thể hiện sự bất mãn của bạn. Nếu ý kiến ​​được thông qua, sẽ có một giải thưởng lớn (bắt buộc)")</f>
        <v>Xin vui lòng thể hiện sự bất mãn của bạn. Nếu ý kiến ​​được thông qua, sẽ có một giải thưởng lớn (bắt buộc)</v>
      </c>
      <c r="N139" s="4" t="str">
        <f>IFERROR(__xludf.DUMMYFUNCTION("GOOGLETRANSLATE(B139, ""en"", ""ne"")"),"कृपया तपाईको असन्तुष्टि व्यक्त गर्न स्वतन्त्र महसुस गर्नुहोस्। यदि धारणा अपनाइएको छ भने, त्यहाँ एक ठूलो पुरस्कार हुनेछ (आवश्यक)")</f>
        <v>कृपया तपाईको असन्तुष्टि व्यक्त गर्न स्वतन्त्र महसुस गर्नुहोस्। यदि धारणा अपनाइएको छ भने, त्यहाँ एक ठूलो पुरस्कार हुनेछ (आवश्यक)</v>
      </c>
      <c r="O139" s="4" t="str">
        <f>IFERROR(__xludf.DUMMYFUNCTION("GOOGLETRANSLATE(B139, ""en"", ""de"")"),"Bitte zögern Sie nicht, Ihre Missbrauch zu äußern. Wenn die Meinung angenommen wird, wird es einen großen Preis geben (erforderlich)")</f>
        <v>Bitte zögern Sie nicht, Ihre Missbrauch zu äußern. Wenn die Meinung angenommen wird, wird es einen großen Preis geben (erforderlich)</v>
      </c>
      <c r="P139" s="4" t="str">
        <f>IFERROR(__xludf.DUMMYFUNCTION("GOOGLETRANSLATE(B139, ""en"", ""he"")"),"אל תהסס לפצות את אי שביעות רצון שלך. אם הדעה מאומצת, תהיה פרס גדול (חובה)")</f>
        <v>אל תהסס לפצות את אי שביעות רצון שלך. אם הדעה מאומצת, תהיה פרס גדול (חובה)</v>
      </c>
      <c r="Q139" s="4" t="str">
        <f>IFERROR(__xludf.DUMMYFUNCTION("GOOGLETRANSLATE(B139, ""en"", ""cs"")"),"Prosím, neváhejte vyjádřit svou nespokojenost. Pokud je stanovisko přijato, bude velká cena (povinná)")</f>
        <v>Prosím, neváhejte vyjádřit svou nespokojenost. Pokud je stanovisko přijato, bude velká cena (povinná)</v>
      </c>
      <c r="R139" s="4" t="str">
        <f>IFERROR(__xludf.DUMMYFUNCTION("GOOGLETRANSLATE(B139, ""en"", ""it"")"),"Non esitate a esprimere il tuo dispiacere. Se il parere è adottato, ci sarà un grande premio (richiesto)")</f>
        <v>Non esitate a esprimere il tuo dispiacere. Se il parere è adottato, ci sarà un grande premio (richiesto)</v>
      </c>
      <c r="S139" s="4" t="str">
        <f>IFERROR(__xludf.DUMMYFUNCTION("GOOGLETRANSLATE(B139, ""en"", ""el"")"),"Μη διστάσετε να εκφράσετε τη δυσαρέσκεια σας. Εάν εγκριθεί η γνώμη, θα υπάρχει ένα μεγάλο βραβείο (απαιτείται)")</f>
        <v>Μη διστάσετε να εκφράσετε τη δυσαρέσκεια σας. Εάν εγκριθεί η γνώμη, θα υπάρχει ένα μεγάλο βραβείο (απαιτείται)</v>
      </c>
    </row>
    <row r="140" ht="15.75" customHeight="1">
      <c r="A140" s="4" t="s">
        <v>293</v>
      </c>
      <c r="B140" s="4" t="s">
        <v>294</v>
      </c>
      <c r="C140" s="4" t="str">
        <f>IFERROR(__xludf.DUMMYFUNCTION("GOOGLETRANSLATE(B140, ""en"", ""es"")"),"Esta aplicación de tarea de antecedentes")</f>
        <v>Esta aplicación de tarea de antecedentes</v>
      </c>
      <c r="D140" s="4" t="str">
        <f>IFERROR(__xludf.DUMMYFUNCTION("GOOGLETRANSLATE(B140, ""en"", ""pt"")"),"Esta tarefa de fundo do aplicativo")</f>
        <v>Esta tarefa de fundo do aplicativo</v>
      </c>
      <c r="E140" s="4" t="str">
        <f>IFERROR(__xludf.DUMMYFUNCTION("GOOGLETRANSLATE(B140, ""en"", ""ar"")"),"هذه مهمة خلفية التطبيق")</f>
        <v>هذه مهمة خلفية التطبيق</v>
      </c>
      <c r="F140" s="4" t="str">
        <f>IFERROR(__xludf.DUMMYFUNCTION("GOOGLETRANSLATE(B140, ""en"", ""km"")"),"ភារកិច្ចផ្ទៃខាងក្រោយកម្មវិធីនេះ")</f>
        <v>ភារកិច្ចផ្ទៃខាងក្រោយកម្មវិធីនេះ</v>
      </c>
      <c r="G140" s="4" t="str">
        <f>IFERROR(__xludf.DUMMYFUNCTION("GOOGLETRANSLATE(B140, ""en"", ""fr"")"),"Cette application d'application")</f>
        <v>Cette application d'application</v>
      </c>
      <c r="H140" s="4" t="str">
        <f>IFERROR(__xludf.DUMMYFUNCTION("GOOGLETRANSLATE(B140, ""en"", ""ro"")"),"Această sarcină de fond de aplicație")</f>
        <v>Această sarcină de fond de aplicație</v>
      </c>
      <c r="I140" s="4" t="str">
        <f>IFERROR(__xludf.DUMMYFUNCTION("GOOGLETRANSLATE(B140, ""en"", ""my"")"),"ဤအက်ပလီကေးရှင်းနောက်ခံအလုပ်")</f>
        <v>ဤအက်ပလီကေးရှင်းနောက်ခံအလုပ်</v>
      </c>
      <c r="J140" s="4" t="str">
        <f>IFERROR(__xludf.DUMMYFUNCTION("GOOGLETRANSLATE(B140, ""en"", ""sw"")"),"Kazi hii ya background ya programu.")</f>
        <v>Kazi hii ya background ya programu.</v>
      </c>
      <c r="K140" s="4" t="str">
        <f>IFERROR(__xludf.DUMMYFUNCTION("GOOGLETRANSLATE(B140, ""en"", ""th"")"),"งานพื้นหลังของแอพนี้")</f>
        <v>งานพื้นหลังของแอพนี้</v>
      </c>
      <c r="L140" s="4" t="str">
        <f>IFERROR(__xludf.DUMMYFUNCTION("GOOGLETRANSLATE(B140, ""en"", ""si"")"),"මෙම යෙදුම පසුබිම් කාර්යය")</f>
        <v>මෙම යෙදුම පසුබිම් කාර්යය</v>
      </c>
      <c r="M140" s="4" t="str">
        <f>IFERROR(__xludf.DUMMYFUNCTION("GOOGLETRANSLATE(B140, ""en"", ""vi"")"),"Nhiệm vụ nền ứng dụng này")</f>
        <v>Nhiệm vụ nền ứng dụng này</v>
      </c>
      <c r="N140" s="4" t="str">
        <f>IFERROR(__xludf.DUMMYFUNCTION("GOOGLETRANSLATE(B140, ""en"", ""ne"")"),"यो अनुप्रयोग पृष्ठभूमि कार्य")</f>
        <v>यो अनुप्रयोग पृष्ठभूमि कार्य</v>
      </c>
      <c r="O140" s="4" t="str">
        <f>IFERROR(__xludf.DUMMYFUNCTION("GOOGLETRANSLATE(B140, ""en"", ""de"")"),"Diese App-Hintergrundaufgabe")</f>
        <v>Diese App-Hintergrundaufgabe</v>
      </c>
      <c r="P140" s="4" t="str">
        <f>IFERROR(__xludf.DUMMYFUNCTION("GOOGLETRANSLATE(B140, ""en"", ""he"")"),"זה משחק רקע App")</f>
        <v>זה משחק רקע App</v>
      </c>
      <c r="Q140" s="4" t="str">
        <f>IFERROR(__xludf.DUMMYFUNCTION("GOOGLETRANSLATE(B140, ""en"", ""cs"")"),"Tato aplikace pozadí")</f>
        <v>Tato aplikace pozadí</v>
      </c>
      <c r="R140" s="4" t="str">
        <f>IFERROR(__xludf.DUMMYFUNCTION("GOOGLETRANSLATE(B140, ""en"", ""it"")"),"Questa attività di sfondo app")</f>
        <v>Questa attività di sfondo app</v>
      </c>
      <c r="S140" s="4" t="str">
        <f>IFERROR(__xludf.DUMMYFUNCTION("GOOGLETRANSLATE(B140, ""en"", ""el"")"),"Αυτή η εργασία φόντου εφαρμογής")</f>
        <v>Αυτή η εργασία φόντου εφαρμογής</v>
      </c>
    </row>
    <row r="141" ht="15.75" customHeight="1">
      <c r="A141" s="4" t="s">
        <v>295</v>
      </c>
      <c r="B141" s="4" t="s">
        <v>296</v>
      </c>
      <c r="C141" s="4" t="str">
        <f>IFERROR(__xludf.DUMMYFUNCTION("GOOGLETRANSLATE(B141, ""en"", ""es"")"),"Dibuje el patrón para desbloquear")</f>
        <v>Dibuje el patrón para desbloquear</v>
      </c>
      <c r="D141" s="4" t="str">
        <f>IFERROR(__xludf.DUMMYFUNCTION("GOOGLETRANSLATE(B141, ""en"", ""pt"")"),"Desenhar padrão para desbloquear")</f>
        <v>Desenhar padrão para desbloquear</v>
      </c>
      <c r="E141" s="4" t="str">
        <f>IFERROR(__xludf.DUMMYFUNCTION("GOOGLETRANSLATE(B141, ""en"", ""ar"")"),"ارسم أنموذجا لتلغي الاقفال")</f>
        <v>ارسم أنموذجا لتلغي الاقفال</v>
      </c>
      <c r="F141" s="4" t="str">
        <f>IFERROR(__xludf.DUMMYFUNCTION("GOOGLETRANSLATE(B141, ""en"", ""km"")"),"គូរលំនាំដើម្បីដោះសោ")</f>
        <v>គូរលំនាំដើម្បីដោះសោ</v>
      </c>
      <c r="G141" s="4" t="str">
        <f>IFERROR(__xludf.DUMMYFUNCTION("GOOGLETRANSLATE(B141, ""en"", ""fr"")"),"Motif de dessin pour déverrouiller")</f>
        <v>Motif de dessin pour déverrouiller</v>
      </c>
      <c r="H141" s="4" t="str">
        <f>IFERROR(__xludf.DUMMYFUNCTION("GOOGLETRANSLATE(B141, ""en"", ""ro"")"),"Desenați modelul pentru a debloca")</f>
        <v>Desenați modelul pentru a debloca</v>
      </c>
      <c r="I141" s="4" t="str">
        <f>IFERROR(__xludf.DUMMYFUNCTION("GOOGLETRANSLATE(B141, ""en"", ""my"")"),"သော့ဖွင့်ရန်ပုံစံဆွဲပါ")</f>
        <v>သော့ဖွင့်ရန်ပုံစံဆွဲပါ</v>
      </c>
      <c r="J141" s="4" t="str">
        <f>IFERROR(__xludf.DUMMYFUNCTION("GOOGLETRANSLATE(B141, ""en"", ""sw"")"),"Chora muundo wa kufungua.")</f>
        <v>Chora muundo wa kufungua.</v>
      </c>
      <c r="K141" s="4" t="str">
        <f>IFERROR(__xludf.DUMMYFUNCTION("GOOGLETRANSLATE(B141, ""en"", ""th"")"),"วาดรูปแบบเพื่อปลดล็อค")</f>
        <v>วาดรูปแบบเพื่อปลดล็อค</v>
      </c>
      <c r="L141" s="4" t="str">
        <f>IFERROR(__xludf.DUMMYFUNCTION("GOOGLETRANSLATE(B141, ""en"", ""si"")"),"අගුළු ඇරීමට රටාව අඳින්න")</f>
        <v>අගුළු ඇරීමට රටාව අඳින්න</v>
      </c>
      <c r="M141" s="4" t="str">
        <f>IFERROR(__xludf.DUMMYFUNCTION("GOOGLETRANSLATE(B141, ""en"", ""vi"")"),"Vẽ hình để mở khóa")</f>
        <v>Vẽ hình để mở khóa</v>
      </c>
      <c r="N141" s="4" t="str">
        <f>IFERROR(__xludf.DUMMYFUNCTION("GOOGLETRANSLATE(B141, ""en"", ""ne"")"),"अनलक गर्न बान्की कोर्नुहोस्")</f>
        <v>अनलक गर्न बान्की कोर्नुहोस्</v>
      </c>
      <c r="O141" s="4" t="str">
        <f>IFERROR(__xludf.DUMMYFUNCTION("GOOGLETRANSLATE(B141, ""en"", ""de"")"),"Muster zeichnen, um freizuschalten")</f>
        <v>Muster zeichnen, um freizuschalten</v>
      </c>
      <c r="P141" s="4" t="str">
        <f>IFERROR(__xludf.DUMMYFUNCTION("GOOGLETRANSLATE(B141, ""en"", ""he"")"),"צייר תבנית כדי לפתוח")</f>
        <v>צייר תבנית כדי לפתוח</v>
      </c>
      <c r="Q141" s="4" t="str">
        <f>IFERROR(__xludf.DUMMYFUNCTION("GOOGLETRANSLATE(B141, ""en"", ""cs"")"),"Draw vzor k odemknutí")</f>
        <v>Draw vzor k odemknutí</v>
      </c>
      <c r="R141" s="4" t="str">
        <f>IFERROR(__xludf.DUMMYFUNCTION("GOOGLETRANSLATE(B141, ""en"", ""it"")"),"Disegna il modello da sbloccare")</f>
        <v>Disegna il modello da sbloccare</v>
      </c>
      <c r="S141" s="4" t="str">
        <f>IFERROR(__xludf.DUMMYFUNCTION("GOOGLETRANSLATE(B141, ""en"", ""el"")"),"Σχεδιάστε το μοτίβο για να ξεκλειδώσετε")</f>
        <v>Σχεδιάστε το μοτίβο για να ξεκλειδώσετε</v>
      </c>
    </row>
    <row r="142" ht="15.75" customHeight="1">
      <c r="A142" s="4" t="s">
        <v>297</v>
      </c>
      <c r="B142" s="4" t="s">
        <v>298</v>
      </c>
      <c r="C142" s="4" t="str">
        <f>IFERROR(__xludf.DUMMYFUNCTION("GOOGLETRANSLATE(B142, ""en"", ""es"")"),"Esta aplicación puede enviar SMS. Esto puede agregar cargos al plan de datos y es un alto riesgo de privacidad.")</f>
        <v>Esta aplicación puede enviar SMS. Esto puede agregar cargos al plan de datos y es un alto riesgo de privacidad.</v>
      </c>
      <c r="D142" s="4" t="str">
        <f>IFERROR(__xludf.DUMMYFUNCTION("GOOGLETRANSLATE(B142, ""en"", ""pt"")"),"Esta aplicação pode enviar SMS. Isso pode adicionar taxas ao plano de dados e é um alto risco de privacidade.")</f>
        <v>Esta aplicação pode enviar SMS. Isso pode adicionar taxas ao plano de dados e é um alto risco de privacidade.</v>
      </c>
      <c r="E142" s="4" t="str">
        <f>IFERROR(__xludf.DUMMYFUNCTION("GOOGLETRANSLATE(B142, ""en"", ""ar"")"),"هذا التطبيق يمكن أن يرسل الرسائل القصيرة. هذا يمكن أن يضيف رسوم إلى خطة البيانات وهي مخاطر عالية الخصوصية.")</f>
        <v>هذا التطبيق يمكن أن يرسل الرسائل القصيرة. هذا يمكن أن يضيف رسوم إلى خطة البيانات وهي مخاطر عالية الخصوصية.</v>
      </c>
      <c r="F142" s="4" t="str">
        <f>IFERROR(__xludf.DUMMYFUNCTION("GOOGLETRANSLATE(B142, ""en"", ""km"")"),"កម្មវិធីនេះអាចផ្ញើសារ SMS ។ នេះអាចបន្ថែមការគិតថ្លៃលើផែនការទិន្នន័យនិងហានិភ័យនៃភាពឯកជនខ្ពស់។")</f>
        <v>កម្មវិធីនេះអាចផ្ញើសារ SMS ។ នេះអាចបន្ថែមការគិតថ្លៃលើផែនការទិន្នន័យនិងហានិភ័យនៃភាពឯកជនខ្ពស់។</v>
      </c>
      <c r="G142" s="4" t="str">
        <f>IFERROR(__xludf.DUMMYFUNCTION("GOOGLETRANSLATE(B142, ""en"", ""fr"")"),"Cette application peut envoyer des SMS. Cela peut ajouter des frais au plan de données et constitue un risque de confidentialité élevé.")</f>
        <v>Cette application peut envoyer des SMS. Cela peut ajouter des frais au plan de données et constitue un risque de confidentialité élevé.</v>
      </c>
      <c r="H142" s="4" t="str">
        <f>IFERROR(__xludf.DUMMYFUNCTION("GOOGLETRANSLATE(B142, ""en"", ""ro"")"),"Această aplicație poate trimite SMS-uri. Acest lucru poate adăuga taxe la planul de date și este un risc ridicat de confidențialitate.")</f>
        <v>Această aplicație poate trimite SMS-uri. Acest lucru poate adăuga taxe la planul de date și este un risc ridicat de confidențialitate.</v>
      </c>
      <c r="I142" s="4" t="str">
        <f>IFERROR(__xludf.DUMMYFUNCTION("GOOGLETRANSLATE(B142, ""en"", ""my"")"),"ဤလျှောက်လွှာသည် SMS ပို့နိုင်သည်။ ၎င်းသည်ဒေတာအစီအစဉ်ကိုစွဲချက်တင်နိုင်ပြီးအလွန်အမင်း privacy ကိုအန္တရာယ်ရှိနိုင်သည်။")</f>
        <v>ဤလျှောက်လွှာသည် SMS ပို့နိုင်သည်။ ၎င်းသည်ဒေတာအစီအစဉ်ကိုစွဲချက်တင်နိုင်ပြီးအလွန်အမင်း privacy ကိုအန္တရာယ်ရှိနိုင်သည်။</v>
      </c>
      <c r="J142" s="4" t="str">
        <f>IFERROR(__xludf.DUMMYFUNCTION("GOOGLETRANSLATE(B142, ""en"", ""sw"")"),"Programu hii inaweza kutuma SMS. Hii inaweza kuongeza mashtaka kwa mpango wa data na ni hatari ya faragha ya juu.")</f>
        <v>Programu hii inaweza kutuma SMS. Hii inaweza kuongeza mashtaka kwa mpango wa data na ni hatari ya faragha ya juu.</v>
      </c>
      <c r="K142" s="4" t="str">
        <f>IFERROR(__xludf.DUMMYFUNCTION("GOOGLETRANSLATE(B142, ""en"", ""th"")"),"แอปพลิเคชันนี้สามารถส่ง SMS สิ่งนี้สามารถเพิ่มค่าใช้จ่ายในแผนข้อมูลและมีความเสี่ยงด้านความเป็นส่วนตัวสูง")</f>
        <v>แอปพลิเคชันนี้สามารถส่ง SMS สิ่งนี้สามารถเพิ่มค่าใช้จ่ายในแผนข้อมูลและมีความเสี่ยงด้านความเป็นส่วนตัวสูง</v>
      </c>
      <c r="L142" s="4" t="str">
        <f>IFERROR(__xludf.DUMMYFUNCTION("GOOGLETRANSLATE(B142, ""en"", ""si"")"),"මෙම යෙදුමට කෙටි පණිවුඩ යැවිය හැකිය. මෙය දත්ත සැලැස්මට ගාස්තු එකතු කළ හැකි අතර එය ඉහළ රහස්යතා අවදානමකි.")</f>
        <v>මෙම යෙදුමට කෙටි පණිවුඩ යැවිය හැකිය. මෙය දත්ත සැලැස්මට ගාස්තු එකතු කළ හැකි අතර එය ඉහළ රහස්යතා අවදානමකි.</v>
      </c>
      <c r="M142" s="4" t="str">
        <f>IFERROR(__xludf.DUMMYFUNCTION("GOOGLETRANSLATE(B142, ""en"", ""vi"")"),"Ứng dụng này có thể gửi SMS. Điều này có thể thêm phí vào gói dữ liệu và là một rủi ro quyền riêng tư cao.")</f>
        <v>Ứng dụng này có thể gửi SMS. Điều này có thể thêm phí vào gói dữ liệu và là một rủi ro quyền riêng tư cao.</v>
      </c>
      <c r="N142" s="4" t="str">
        <f>IFERROR(__xludf.DUMMYFUNCTION("GOOGLETRANSLATE(B142, ""en"", ""ne"")"),"यो अनुप्रयोगले एसएमएस पठाउन सक्छ। यसले डाटा योजनामा ​​शुल्क थप्न सक्छ र एक उच्च गोपनीयता जोखिम हो।")</f>
        <v>यो अनुप्रयोगले एसएमएस पठाउन सक्छ। यसले डाटा योजनामा ​​शुल्क थप्न सक्छ र एक उच्च गोपनीयता जोखिम हो।</v>
      </c>
      <c r="O142" s="4" t="str">
        <f>IFERROR(__xludf.DUMMYFUNCTION("GOOGLETRANSLATE(B142, ""en"", ""de"")"),"Diese Anwendung kann SMS senden. Dies kann Angelegenheiten für den Datenplan hinzufügen und ein hohes Datenschutzrisiko.")</f>
        <v>Diese Anwendung kann SMS senden. Dies kann Angelegenheiten für den Datenplan hinzufügen und ein hohes Datenschutzrisiko.</v>
      </c>
      <c r="P142" s="4" t="str">
        <f>IFERROR(__xludf.DUMMYFUNCTION("GOOGLETRANSLATE(B142, ""en"", ""he"")"),"יישום זה יכול לשלוח SMS. זה יכול להוסיף חיובים לתוכנית נתונים והוא סיכון פרטיות גבוה.")</f>
        <v>יישום זה יכול לשלוח SMS. זה יכול להוסיף חיובים לתוכנית נתונים והוא סיכון פרטיות גבוה.</v>
      </c>
      <c r="Q142" s="4" t="str">
        <f>IFERROR(__xludf.DUMMYFUNCTION("GOOGLETRANSLATE(B142, ""en"", ""cs"")"),"Tato aplikace může posílat SMS. To může přidávat poplatky do plánu dat a je vysokým rizikem soukromí.")</f>
        <v>Tato aplikace může posílat SMS. To může přidávat poplatky do plánu dat a je vysokým rizikem soukromí.</v>
      </c>
      <c r="R142" s="4" t="str">
        <f>IFERROR(__xludf.DUMMYFUNCTION("GOOGLETRANSLATE(B142, ""en"", ""it"")"),"Questa applicazione può inviare SMS. Questo può aggiungere addebiti al piano dati ed è un alto rischio di privacy.")</f>
        <v>Questa applicazione può inviare SMS. Questo può aggiungere addebiti al piano dati ed è un alto rischio di privacy.</v>
      </c>
      <c r="S142" s="4" t="str">
        <f>IFERROR(__xludf.DUMMYFUNCTION("GOOGLETRANSLATE(B142, ""en"", ""el"")"),"Αυτή η εφαρμογή μπορεί να στείλει SMS. Αυτό μπορεί να προσθέσει χρεώσεις στο σχέδιο δεδομένων και είναι ένας υψηλός κίνδυνος απορρήτου.")</f>
        <v>Αυτή η εφαρμογή μπορεί να στείλει SMS. Αυτό μπορεί να προσθέσει χρεώσεις στο σχέδιο δεδομένων και είναι ένας υψηλός κίνδυνος απορρήτου.</v>
      </c>
    </row>
    <row r="143" ht="15.75" customHeight="1">
      <c r="A143" s="4" t="s">
        <v>299</v>
      </c>
      <c r="B143" s="4" t="s">
        <v>300</v>
      </c>
      <c r="C143" s="4" t="str">
        <f>IFERROR(__xludf.DUMMYFUNCTION("GOOGLETRANSLATE(B143, ""en"", ""es"")"),"Incompleto")</f>
        <v>Incompleto</v>
      </c>
      <c r="D143" s="4" t="str">
        <f>IFERROR(__xludf.DUMMYFUNCTION("GOOGLETRANSLATE(B143, ""en"", ""pt"")"),"Incompleto")</f>
        <v>Incompleto</v>
      </c>
      <c r="E143" s="4" t="str">
        <f>IFERROR(__xludf.DUMMYFUNCTION("GOOGLETRANSLATE(B143, ""en"", ""ar"")"),"غير مكتمل")</f>
        <v>غير مكتمل</v>
      </c>
      <c r="F143" s="4" t="str">
        <f>IFERROR(__xludf.DUMMYFUNCTION("GOOGLETRANSLATE(B143, ""en"", ""km"")"),"ដេលមិនរបមលេម")</f>
        <v>ដេលមិនរបមលេម</v>
      </c>
      <c r="G143" s="4" t="str">
        <f>IFERROR(__xludf.DUMMYFUNCTION("GOOGLETRANSLATE(B143, ""en"", ""fr"")"),"Inachevé")</f>
        <v>Inachevé</v>
      </c>
      <c r="H143" s="4" t="str">
        <f>IFERROR(__xludf.DUMMYFUNCTION("GOOGLETRANSLATE(B143, ""en"", ""ro"")"),"Nelegat")</f>
        <v>Nelegat</v>
      </c>
      <c r="I143" s="4" t="str">
        <f>IFERROR(__xludf.DUMMYFUNCTION("GOOGLETRANSLATE(B143, ""en"", ""my"")"),"မမှန်မကန်")</f>
        <v>မမှန်မကန်</v>
      </c>
      <c r="J143" s="4" t="str">
        <f>IFERROR(__xludf.DUMMYFUNCTION("GOOGLETRANSLATE(B143, ""en"", ""sw"")"),"Usipinduliwa")</f>
        <v>Usipinduliwa</v>
      </c>
      <c r="K143" s="4" t="str">
        <f>IFERROR(__xludf.DUMMYFUNCTION("GOOGLETRANSLATE(B143, ""en"", ""th"")"),"ไม่สมบูรณ์")</f>
        <v>ไม่สมบูรณ์</v>
      </c>
      <c r="L143" s="4" t="str">
        <f>IFERROR(__xludf.DUMMYFUNCTION("GOOGLETRANSLATE(B143, ""en"", ""si"")"),"සම්පුර්ණයි")</f>
        <v>සම්පුර්ණයි</v>
      </c>
      <c r="M143" s="4" t="str">
        <f>IFERROR(__xludf.DUMMYFUNCTION("GOOGLETRANSLATE(B143, ""en"", ""vi"")"),"Chưa hoàn thành.")</f>
        <v>Chưa hoàn thành.</v>
      </c>
      <c r="N143" s="4" t="str">
        <f>IFERROR(__xludf.DUMMYFUNCTION("GOOGLETRANSLATE(B143, ""en"", ""ne"")"),"अक्षम्य")</f>
        <v>अक्षम्य</v>
      </c>
      <c r="O143" s="4" t="str">
        <f>IFERROR(__xludf.DUMMYFUNCTION("GOOGLETRANSLATE(B143, ""en"", ""de"")"),"Unvollendet")</f>
        <v>Unvollendet</v>
      </c>
      <c r="P143" s="4" t="str">
        <f>IFERROR(__xludf.DUMMYFUNCTION("GOOGLETRANSLATE(B143, ""en"", ""he"")"),"לא מושלם")</f>
        <v>לא מושלם</v>
      </c>
      <c r="Q143" s="4" t="str">
        <f>IFERROR(__xludf.DUMMYFUNCTION("GOOGLETRANSLATE(B143, ""en"", ""cs"")"),"Nedokončený")</f>
        <v>Nedokončený</v>
      </c>
      <c r="R143" s="4" t="str">
        <f>IFERROR(__xludf.DUMMYFUNCTION("GOOGLETRANSLATE(B143, ""en"", ""it"")"),"Non agitato")</f>
        <v>Non agitato</v>
      </c>
      <c r="S143" s="4" t="str">
        <f>IFERROR(__xludf.DUMMYFUNCTION("GOOGLETRANSLATE(B143, ""en"", ""el"")"),"Ασυμπλήρωτος")</f>
        <v>Ασυμπλήρωτος</v>
      </c>
    </row>
    <row r="144" ht="15.75" customHeight="1">
      <c r="A144" s="4" t="s">
        <v>301</v>
      </c>
      <c r="B144" s="4" t="s">
        <v>302</v>
      </c>
      <c r="C144" s="4" t="str">
        <f>IFERROR(__xludf.DUMMYFUNCTION("GOOGLETRANSLATE(B144, ""en"", ""es"")"),"Configuración segura de la aplicación")</f>
        <v>Configuración segura de la aplicación</v>
      </c>
      <c r="D144" s="4" t="str">
        <f>IFERROR(__xludf.DUMMYFUNCTION("GOOGLETRANSLATE(B144, ""en"", ""pt"")"),"Configurações seguras do aplicativo.")</f>
        <v>Configurações seguras do aplicativo.</v>
      </c>
      <c r="E144" s="4" t="str">
        <f>IFERROR(__xludf.DUMMYFUNCTION("GOOGLETRANSLATE(B144, ""en"", ""ar"")"),"إعدادات آمنة التطبيق")</f>
        <v>إعدادات آمنة التطبيق</v>
      </c>
      <c r="F144" s="4" t="str">
        <f>IFERROR(__xludf.DUMMYFUNCTION("GOOGLETRANSLATE(B144, ""en"", ""km"")"),"ការកំណត់សុវត្ថិភាពកម្មវិធី")</f>
        <v>ការកំណត់សុវត្ថិភាពកម្មវិធី</v>
      </c>
      <c r="G144" s="4" t="str">
        <f>IFERROR(__xludf.DUMMYFUNCTION("GOOGLETRANSLATE(B144, ""en"", ""fr"")"),"Application Paramètres sécurisés")</f>
        <v>Application Paramètres sécurisés</v>
      </c>
      <c r="H144" s="4" t="str">
        <f>IFERROR(__xludf.DUMMYFUNCTION("GOOGLETRANSLATE(B144, ""en"", ""ro"")"),"Setări securizate App")</f>
        <v>Setări securizate App</v>
      </c>
      <c r="I144" s="4" t="str">
        <f>IFERROR(__xludf.DUMMYFUNCTION("GOOGLETRANSLATE(B144, ""en"", ""my"")"),"App Secure Settings")</f>
        <v>App Secure Settings</v>
      </c>
      <c r="J144" s="4" t="str">
        <f>IFERROR(__xludf.DUMMYFUNCTION("GOOGLETRANSLATE(B144, ""en"", ""sw"")"),"Programu salama ya programu.")</f>
        <v>Programu salama ya programu.</v>
      </c>
      <c r="K144" s="4" t="str">
        <f>IFERROR(__xludf.DUMMYFUNCTION("GOOGLETRANSLATE(B144, ""en"", ""th"")"),"แอปการตั้งค่าที่ปลอดภัย")</f>
        <v>แอปการตั้งค่าที่ปลอดภัย</v>
      </c>
      <c r="L144" s="4" t="str">
        <f>IFERROR(__xludf.DUMMYFUNCTION("GOOGLETRANSLATE(B144, ""en"", ""si"")"),"යෙදුම් ආරක්ෂිත සැකසුම්")</f>
        <v>යෙදුම් ආරක්ෂිත සැකසුම්</v>
      </c>
      <c r="M144" s="4" t="str">
        <f>IFERROR(__xludf.DUMMYFUNCTION("GOOGLETRANSLATE(B144, ""en"", ""vi"")"),"Cài đặt bảo mật ứng dụng")</f>
        <v>Cài đặt bảo mật ứng dụng</v>
      </c>
      <c r="N144" s="4" t="str">
        <f>IFERROR(__xludf.DUMMYFUNCTION("GOOGLETRANSLATE(B144, ""en"", ""ne"")"),"अनुप्रयोग सुरक्षित सेटिंग्स")</f>
        <v>अनुप्रयोग सुरक्षित सेटिंग्स</v>
      </c>
      <c r="O144" s="4" t="str">
        <f>IFERROR(__xludf.DUMMYFUNCTION("GOOGLETRANSLATE(B144, ""en"", ""de"")"),"App sichere Einstellungen")</f>
        <v>App sichere Einstellungen</v>
      </c>
      <c r="P144" s="4" t="str">
        <f>IFERROR(__xludf.DUMMYFUNCTION("GOOGLETRANSLATE(B144, ""en"", ""he"")"),"הגדרות מאובטחות App.")</f>
        <v>הגדרות מאובטחות App.</v>
      </c>
      <c r="Q144" s="4" t="str">
        <f>IFERROR(__xludf.DUMMYFUNCTION("GOOGLETRANSLATE(B144, ""en"", ""cs"")"),"Aplikace Secure Settings.")</f>
        <v>Aplikace Secure Settings.</v>
      </c>
      <c r="R144" s="4" t="str">
        <f>IFERROR(__xludf.DUMMYFUNCTION("GOOGLETRANSLATE(B144, ""en"", ""it"")"),"App impostazioni sicure")</f>
        <v>App impostazioni sicure</v>
      </c>
      <c r="S144" s="4" t="str">
        <f>IFERROR(__xludf.DUMMYFUNCTION("GOOGLETRANSLATE(B144, ""en"", ""el"")"),"Ασφαλείς ρυθμίσεις εφαρμογής")</f>
        <v>Ασφαλείς ρυθμίσεις εφαρμογής</v>
      </c>
    </row>
    <row r="145" ht="15.75" customHeight="1">
      <c r="A145" s="4" t="s">
        <v>303</v>
      </c>
      <c r="B145" s="4" t="s">
        <v>304</v>
      </c>
      <c r="C145" s="4" t="str">
        <f>IFERROR(__xludf.DUMMYFUNCTION("GOOGLETRANSLATE(B145, ""en"", ""es"")"),"Echa un vistazo a las aplicaciones que tienen permisos que pueden dañar su dispositivo")</f>
        <v>Echa un vistazo a las aplicaciones que tienen permisos que pueden dañar su dispositivo</v>
      </c>
      <c r="D145" s="4" t="str">
        <f>IFERROR(__xludf.DUMMYFUNCTION("GOOGLETRANSLATE(B145, ""en"", ""pt"")"),"Confira aplicativos que tenham permissões que possam prejudicar seu dispositivo")</f>
        <v>Confira aplicativos que tenham permissões que possam prejudicar seu dispositivo</v>
      </c>
      <c r="E145" s="4" t="str">
        <f>IFERROR(__xludf.DUMMYFUNCTION("GOOGLETRANSLATE(B145, ""en"", ""ar"")"),"تحقق من التطبيقات التي لها أذونات قد تؤذي جهازك")</f>
        <v>تحقق من التطبيقات التي لها أذونات قد تؤذي جهازك</v>
      </c>
      <c r="F145" s="4" t="str">
        <f>IFERROR(__xludf.DUMMYFUNCTION("GOOGLETRANSLATE(B145, ""en"", ""km"")"),"ពិនិត្យមើលកម្មវិធីដែលមានសិទ្ធិដែលអាចបង្កគ្រោះថ្នាក់ដល់ឧបករណ៍របស់អ្នក")</f>
        <v>ពិនិត្យមើលកម្មវិធីដែលមានសិទ្ធិដែលអាចបង្កគ្រោះថ្នាក់ដល់ឧបករណ៍របស់អ្នក</v>
      </c>
      <c r="G145" s="4" t="str">
        <f>IFERROR(__xludf.DUMMYFUNCTION("GOOGLETRANSLATE(B145, ""en"", ""fr"")"),"Découvrez les applications qui ont des autorisations susceptibles de nuire à votre appareil")</f>
        <v>Découvrez les applications qui ont des autorisations susceptibles de nuire à votre appareil</v>
      </c>
      <c r="H145" s="4" t="str">
        <f>IFERROR(__xludf.DUMMYFUNCTION("GOOGLETRANSLATE(B145, ""en"", ""ro"")"),"Check out aplicații care au permisiuni care pot dăuna dispozitivului")</f>
        <v>Check out aplicații care au permisiuni care pot dăuna dispozitivului</v>
      </c>
      <c r="I145" s="4" t="str">
        <f>IFERROR(__xludf.DUMMYFUNCTION("GOOGLETRANSLATE(B145, ""en"", ""my"")"),"သင့်စက်ကိုအန္တရာယ်ဖြစ်စေနိုင်သောခွင့်ပြုချက်ရှိသောအက်ပ်များကိုစစ်ဆေးပါ")</f>
        <v>သင့်စက်ကိုအန္တရာယ်ဖြစ်စေနိုင်သောခွင့်ပြုချက်ရှိသောအက်ပ်များကိုစစ်ဆေးပါ</v>
      </c>
      <c r="J145" s="4" t="str">
        <f>IFERROR(__xludf.DUMMYFUNCTION("GOOGLETRANSLATE(B145, ""en"", ""sw"")"),"Angalia programu ambazo zina ruhusa ambazo zinaweza kuharibu kifaa chako")</f>
        <v>Angalia programu ambazo zina ruhusa ambazo zinaweza kuharibu kifaa chako</v>
      </c>
      <c r="K145" s="4" t="str">
        <f>IFERROR(__xludf.DUMMYFUNCTION("GOOGLETRANSLATE(B145, ""en"", ""th"")"),"ตรวจสอบแอพที่มีสิทธิ์ที่อาจเป็นอันตรายต่ออุปกรณ์ของคุณ")</f>
        <v>ตรวจสอบแอพที่มีสิทธิ์ที่อาจเป็นอันตรายต่ออุปกรณ์ของคุณ</v>
      </c>
      <c r="L145" s="4" t="str">
        <f>IFERROR(__xludf.DUMMYFUNCTION("GOOGLETRANSLATE(B145, ""en"", ""si"")"),"ඔබගේ උපාංගයට හානි කළ හැකි අවසරයන් ඇති යෙදුම් පරීක්ෂා කරන්න")</f>
        <v>ඔබගේ උපාංගයට හානි කළ හැකි අවසරයන් ඇති යෙදුම් පරීක්ෂා කරන්න</v>
      </c>
      <c r="M145" s="4" t="str">
        <f>IFERROR(__xludf.DUMMYFUNCTION("GOOGLETRANSLATE(B145, ""en"", ""vi"")"),"Kiểm tra các ứng dụng có quyền có thể gây hại cho thiết bị của bạn")</f>
        <v>Kiểm tra các ứng dụng có quyền có thể gây hại cho thiết bị của bạn</v>
      </c>
      <c r="N145" s="4" t="str">
        <f>IFERROR(__xludf.DUMMYFUNCTION("GOOGLETRANSLATE(B145, ""en"", ""ne"")"),"अनुप्रयोगहरू जाँच गर्नुहोस् जुनसँग अनुमति छ जुन तपाईंको उपकरणलाई हानी पुर्याउँछ")</f>
        <v>अनुप्रयोगहरू जाँच गर्नुहोस् जुनसँग अनुमति छ जुन तपाईंको उपकरणलाई हानी पुर्याउँछ</v>
      </c>
      <c r="O145" s="4" t="str">
        <f>IFERROR(__xludf.DUMMYFUNCTION("GOOGLETRANSLATE(B145, ""en"", ""de"")"),"Überprüfen Sie die Apps mit den Berechtigungen, die Ihrem Gerät schaden können")</f>
        <v>Überprüfen Sie die Apps mit den Berechtigungen, die Ihrem Gerät schaden können</v>
      </c>
      <c r="P145" s="4" t="str">
        <f>IFERROR(__xludf.DUMMYFUNCTION("GOOGLETRANSLATE(B145, ""en"", ""he"")"),"בדוק את האפליקציות שיש להם הרשאות שעשויות להזיק למכשיר שלך")</f>
        <v>בדוק את האפליקציות שיש להם הרשאות שעשויות להזיק למכשיר שלך</v>
      </c>
      <c r="Q145" s="4" t="str">
        <f>IFERROR(__xludf.DUMMYFUNCTION("GOOGLETRANSLATE(B145, ""en"", ""cs"")"),"Podívejte se na aplikace, které mají oprávnění, která mohou poškodit zařízení")</f>
        <v>Podívejte se na aplikace, které mají oprávnění, která mohou poškodit zařízení</v>
      </c>
      <c r="R145" s="4" t="str">
        <f>IFERROR(__xludf.DUMMYFUNCTION("GOOGLETRANSLATE(B145, ""en"", ""it"")"),"Scopri le app con le autorizzazioni che possono danneggiare il tuo dispositivo")</f>
        <v>Scopri le app con le autorizzazioni che possono danneggiare il tuo dispositivo</v>
      </c>
      <c r="S145" s="4" t="str">
        <f>IFERROR(__xludf.DUMMYFUNCTION("GOOGLETRANSLATE(B145, ""en"", ""el"")"),"Ελέγξτε τις εφαρμογές που έχουν δικαιώματα που μπορεί να βλάψουν τη συσκευή σας")</f>
        <v>Ελέγξτε τις εφαρμογές που έχουν δικαιώματα που μπορεί να βλάψουν τη συσκευή σας</v>
      </c>
    </row>
    <row r="146" ht="15.75" customHeight="1">
      <c r="A146" s="4" t="s">
        <v>305</v>
      </c>
      <c r="B146" s="4" t="s">
        <v>306</v>
      </c>
      <c r="C146" s="4" t="str">
        <f>IFERROR(__xludf.DUMMYFUNCTION("GOOGLETRANSLATE(B146, ""en"", ""es"")"),"permiso de accesibilidad")</f>
        <v>permiso de accesibilidad</v>
      </c>
      <c r="D146" s="4" t="str">
        <f>IFERROR(__xludf.DUMMYFUNCTION("GOOGLETRANSLATE(B146, ""en"", ""pt"")"),"Permissão de acessibilidade")</f>
        <v>Permissão de acessibilidade</v>
      </c>
      <c r="E146" s="4" t="str">
        <f>IFERROR(__xludf.DUMMYFUNCTION("GOOGLETRANSLATE(B146, ""en"", ""ar"")"),"إذن إمكانية الوصول.")</f>
        <v>إذن إمكانية الوصول.</v>
      </c>
      <c r="F146" s="4" t="str">
        <f>IFERROR(__xludf.DUMMYFUNCTION("GOOGLETRANSLATE(B146, ""en"", ""km"")"),"ការអនុញ្ញាតពីភាពងាយស្រួល")</f>
        <v>ការអនុញ្ញាតពីភាពងាយស្រួល</v>
      </c>
      <c r="G146" s="4" t="str">
        <f>IFERROR(__xludf.DUMMYFUNCTION("GOOGLETRANSLATE(B146, ""en"", ""fr"")"),"Autorisation d'accessibilité")</f>
        <v>Autorisation d'accessibilité</v>
      </c>
      <c r="H146" s="4" t="str">
        <f>IFERROR(__xludf.DUMMYFUNCTION("GOOGLETRANSLATE(B146, ""en"", ""ro"")"),"permisiunea de acces")</f>
        <v>permisiunea de acces</v>
      </c>
      <c r="I146" s="4" t="str">
        <f>IFERROR(__xludf.DUMMYFUNCTION("GOOGLETRANSLATE(B146, ""en"", ""my"")"),"လက်လှမ်းမီခွင့်ပြုချက်")</f>
        <v>လက်လှမ်းမီခွင့်ပြုချက်</v>
      </c>
      <c r="J146" s="4" t="str">
        <f>IFERROR(__xludf.DUMMYFUNCTION("GOOGLETRANSLATE(B146, ""en"", ""sw"")"),"ruhusa ya upatikanaji")</f>
        <v>ruhusa ya upatikanaji</v>
      </c>
      <c r="K146" s="4" t="str">
        <f>IFERROR(__xludf.DUMMYFUNCTION("GOOGLETRANSLATE(B146, ""en"", ""th"")"),"การอนุญาตการเข้าถึง")</f>
        <v>การอนุญาตการเข้าถึง</v>
      </c>
      <c r="L146" s="4" t="str">
        <f>IFERROR(__xludf.DUMMYFUNCTION("GOOGLETRANSLATE(B146, ""en"", ""si"")"),"ප්රවේශ්යතා අවසරය")</f>
        <v>ප්රවේශ්යතා අවසරය</v>
      </c>
      <c r="M146" s="4" t="str">
        <f>IFERROR(__xludf.DUMMYFUNCTION("GOOGLETRANSLATE(B146, ""en"", ""vi"")"),"quyền truy cập")</f>
        <v>quyền truy cập</v>
      </c>
      <c r="N146" s="4" t="str">
        <f>IFERROR(__xludf.DUMMYFUNCTION("GOOGLETRANSLATE(B146, ""en"", ""ne"")"),"पहुँचको अनुमति")</f>
        <v>पहुँचको अनुमति</v>
      </c>
      <c r="O146" s="4" t="str">
        <f>IFERROR(__xludf.DUMMYFUNCTION("GOOGLETRANSLATE(B146, ""en"", ""de"")"),"Zugänglichkeitserlaubnis")</f>
        <v>Zugänglichkeitserlaubnis</v>
      </c>
      <c r="P146" s="4" t="str">
        <f>IFERROR(__xludf.DUMMYFUNCTION("GOOGLETRANSLATE(B146, ""en"", ""he"")"),"הרשאות נגישות")</f>
        <v>הרשאות נגישות</v>
      </c>
      <c r="Q146" s="4" t="str">
        <f>IFERROR(__xludf.DUMMYFUNCTION("GOOGLETRANSLATE(B146, ""en"", ""cs"")"),"Přístupnost povolení")</f>
        <v>Přístupnost povolení</v>
      </c>
      <c r="R146" s="4" t="str">
        <f>IFERROR(__xludf.DUMMYFUNCTION("GOOGLETRANSLATE(B146, ""en"", ""it"")"),"permesso di accessibilità")</f>
        <v>permesso di accessibilità</v>
      </c>
      <c r="S146" s="4" t="str">
        <f>IFERROR(__xludf.DUMMYFUNCTION("GOOGLETRANSLATE(B146, ""en"", ""el"")"),"Άδεια προσβασιμότητας")</f>
        <v>Άδεια προσβασιμότητας</v>
      </c>
    </row>
    <row r="147" ht="15.75" customHeight="1">
      <c r="A147" s="4" t="s">
        <v>307</v>
      </c>
      <c r="B147" s="4" t="s">
        <v>308</v>
      </c>
      <c r="C147" s="4" t="str">
        <f>IFERROR(__xludf.DUMMYFUNCTION("GOOGLETRANSLATE(B147, ""en"", ""es"")"),"• Recordatorio en tiempo real para ayudarlo a evitar la sobrecarga")</f>
        <v>• Recordatorio en tiempo real para ayudarlo a evitar la sobrecarga</v>
      </c>
      <c r="D147" s="4" t="str">
        <f>IFERROR(__xludf.DUMMYFUNCTION("GOOGLETRANSLATE(B147, ""en"", ""pt"")"),"• Lembrete em tempo real para ajudá-lo a evitar sobrecarga")</f>
        <v>• Lembrete em tempo real para ajudá-lo a evitar sobrecarga</v>
      </c>
      <c r="E147" s="4" t="str">
        <f>IFERROR(__xludf.DUMMYFUNCTION("GOOGLETRANSLATE(B147, ""en"", ""ar"")"),"• تذكير الوقت الحقيقي لمساعدتك على تجنب الشحن الزائد")</f>
        <v>• تذكير الوقت الحقيقي لمساعدتك على تجنب الشحن الزائد</v>
      </c>
      <c r="F147" s="4" t="str">
        <f>IFERROR(__xludf.DUMMYFUNCTION("GOOGLETRANSLATE(B147, ""en"", ""km"")"),"•ការរំលឹកពេលវេលាពិតដើម្បីជួយអ្នកឱ្យជៀសវាងការលើស")</f>
        <v>•ការរំលឹកពេលវេលាពិតដើម្បីជួយអ្នកឱ្យជៀសវាងការលើស</v>
      </c>
      <c r="G147" s="4" t="str">
        <f>IFERROR(__xludf.DUMMYFUNCTION("GOOGLETRANSLATE(B147, ""en"", ""fr"")"),"• Rappel en temps réel pour vous aider à éviter de surcharger")</f>
        <v>• Rappel en temps réel pour vous aider à éviter de surcharger</v>
      </c>
      <c r="H147" s="4" t="str">
        <f>IFERROR(__xludf.DUMMYFUNCTION("GOOGLETRANSLATE(B147, ""en"", ""ro"")"),"• Reminder real pentru a vă ajuta să evitați supraîncărcarea")</f>
        <v>• Reminder real pentru a vă ajuta să evitați supraîncărcarea</v>
      </c>
      <c r="I147" s="4" t="str">
        <f>IFERROR(__xludf.DUMMYFUNCTION("GOOGLETRANSLATE(B147, ""en"", ""my"")"),"•ကြိုတင်ပြင်ဆင်မှုကိုရှောင်ရှားရန်သင့်အားကူညီရန်အချိန်မှန်သတိပေးချက်")</f>
        <v>•ကြိုတင်ပြင်ဆင်မှုကိုရှောင်ရှားရန်သင့်အားကူညီရန်အချိန်မှန်သတိပေးချက်</v>
      </c>
      <c r="J147" s="4" t="str">
        <f>IFERROR(__xludf.DUMMYFUNCTION("GOOGLETRANSLATE(B147, ""en"", ""sw"")"),"• Kumbukumbu halisi ya wakati ili kukusaidia kuepuka overcharging.")</f>
        <v>• Kumbukumbu halisi ya wakati ili kukusaidia kuepuka overcharging.</v>
      </c>
      <c r="K147" s="4" t="str">
        <f>IFERROR(__xludf.DUMMYFUNCTION("GOOGLETRANSLATE(B147, ""en"", ""th"")"),"•เตือนความจำแบบเรียลไทม์เพื่อช่วยให้คุณหลีกเลี่ยงการชาร์จไฟมากเกินไป")</f>
        <v>•เตือนความจำแบบเรียลไทม์เพื่อช่วยให้คุณหลีกเลี่ยงการชาร์จไฟมากเกินไป</v>
      </c>
      <c r="L147" s="4" t="str">
        <f>IFERROR(__xludf.DUMMYFUNCTION("GOOGLETRANSLATE(B147, ""en"", ""si"")"),"ආරෝපණය කිරීමෙන් වැළකී සිටීමට ඔබට උදව් කිරීමට තත්ය කාලීන මතක් කිරීම")</f>
        <v>ආරෝපණය කිරීමෙන් වැළකී සිටීමට ඔබට උදව් කිරීමට තත්ය කාලීන මතක් කිරීම</v>
      </c>
      <c r="M147" s="4" t="str">
        <f>IFERROR(__xludf.DUMMYFUNCTION("GOOGLETRANSLATE(B147, ""en"", ""vi"")"),"• Nhắc nhở thời gian thực để giúp bạn tránh quá mức")</f>
        <v>• Nhắc nhở thời gian thực để giúp bạn tránh quá mức</v>
      </c>
      <c r="N147" s="4" t="str">
        <f>IFERROR(__xludf.DUMMYFUNCTION("GOOGLETRANSLATE(B147, ""en"", ""ne"")"),"Instere • कृपया मद्दतको लागि वास्तविक समय रिमाइन्डर")</f>
        <v>Instere • कृपया मद्दतको लागि वास्तविक समय रिमाइन्डर</v>
      </c>
      <c r="O147" s="4" t="str">
        <f>IFERROR(__xludf.DUMMYFUNCTION("GOOGLETRANSLATE(B147, ""en"", ""de"")"),"• Echtzeiterinnerung, um Ihnen zu helfen, Überladen zu vermeiden")</f>
        <v>• Echtzeiterinnerung, um Ihnen zu helfen, Überladen zu vermeiden</v>
      </c>
      <c r="P147" s="4" t="str">
        <f>IFERROR(__xludf.DUMMYFUNCTION("GOOGLETRANSLATE(B147, ""en"", ""he"")"),"• תזכורת בזמן אמת כדי לעזור לך להימנע overcharging")</f>
        <v>• תזכורת בזמן אמת כדי לעזור לך להימנע overcharging</v>
      </c>
      <c r="Q147" s="4" t="str">
        <f>IFERROR(__xludf.DUMMYFUNCTION("GOOGLETRANSLATE(B147, ""en"", ""cs"")"),"• Připomenutí v reálném čase, které vám pomohou vyhnout se přebíjení")</f>
        <v>• Připomenutí v reálném čase, které vám pomohou vyhnout se přebíjení</v>
      </c>
      <c r="R147" s="4" t="str">
        <f>IFERROR(__xludf.DUMMYFUNCTION("GOOGLETRANSLATE(B147, ""en"", ""it"")"),"• Promemoria in tempo reale per aiutarti a evitare il sovraccarico")</f>
        <v>• Promemoria in tempo reale per aiutarti a evitare il sovraccarico</v>
      </c>
      <c r="S147" s="4" t="str">
        <f>IFERROR(__xludf.DUMMYFUNCTION("GOOGLETRANSLATE(B147, ""en"", ""el"")"),"• Υπενθύμιση σε πραγματικό χρόνο για να σας βοηθήσει να αποφύγετε την υπερφόρτιση")</f>
        <v>• Υπενθύμιση σε πραγματικό χρόνο για να σας βοηθήσει να αποφύγετε την υπερφόρτιση</v>
      </c>
    </row>
    <row r="148" ht="15.75" customHeight="1">
      <c r="A148" s="4" t="s">
        <v>309</v>
      </c>
      <c r="B148" s="4" t="s">
        <v>310</v>
      </c>
      <c r="C148" s="4" t="str">
        <f>IFERROR(__xludf.DUMMYFUNCTION("GOOGLETRANSLATE(B148, ""en"", ""es"")"),"El modo de enfriamiento profesional reduce la temperatura de la CPU del teléfono")</f>
        <v>El modo de enfriamiento profesional reduce la temperatura de la CPU del teléfono</v>
      </c>
      <c r="D148" s="4" t="str">
        <f>IFERROR(__xludf.DUMMYFUNCTION("GOOGLETRANSLATE(B148, ""en"", ""pt"")"),"O modo de resfriamento profissional reduz a temperatura da CPU do telefone")</f>
        <v>O modo de resfriamento profissional reduz a temperatura da CPU do telefone</v>
      </c>
      <c r="E148" s="4" t="str">
        <f>IFERROR(__xludf.DUMMYFUNCTION("GOOGLETRANSLATE(B148, ""en"", ""ar"")"),"وضع التبريد الاحترافي يخفض درجة حرارة وحدة المعالجة المركزية الهاتف")</f>
        <v>وضع التبريد الاحترافي يخفض درجة حرارة وحدة المعالجة المركزية الهاتف</v>
      </c>
      <c r="F148" s="4" t="str">
        <f>IFERROR(__xludf.DUMMYFUNCTION("GOOGLETRANSLATE(B148, ""en"", ""km"")"),"របៀបត្រជាក់វិជ្ជាជីវៈបន្ថយសីតុណ្ហភាពស៊ីភីយូរបស់ទូរស័ព្ទ")</f>
        <v>របៀបត្រជាក់វិជ្ជាជីវៈបន្ថយសីតុណ្ហភាពស៊ីភីយូរបស់ទូរស័ព្ទ</v>
      </c>
      <c r="G148" s="4" t="str">
        <f>IFERROR(__xludf.DUMMYFUNCTION("GOOGLETRANSLATE(B148, ""en"", ""fr"")"),"Le mode de refroidissement professionnel abaisse la température du processeur du téléphone")</f>
        <v>Le mode de refroidissement professionnel abaisse la température du processeur du téléphone</v>
      </c>
      <c r="H148" s="4" t="str">
        <f>IFERROR(__xludf.DUMMYFUNCTION("GOOGLETRANSLATE(B148, ""en"", ""ro"")"),"Modul profesional de răcire scade temperatura CPU a telefonului")</f>
        <v>Modul profesional de răcire scade temperatura CPU a telefonului</v>
      </c>
      <c r="I148" s="4" t="str">
        <f>IFERROR(__xludf.DUMMYFUNCTION("GOOGLETRANSLATE(B148, ""en"", ""my"")"),"Professional Cooling Mode ကဖုန်းကို CPU အပူချိန်ကိုလျော့နည်းစေသည်")</f>
        <v>Professional Cooling Mode ကဖုန်းကို CPU အပူချိန်ကိုလျော့နည်းစေသည်</v>
      </c>
      <c r="J148" s="4" t="str">
        <f>IFERROR(__xludf.DUMMYFUNCTION("GOOGLETRANSLATE(B148, ""en"", ""sw"")"),"Hali ya baridi ya baridi hupunguza joto la simu ya CPU")</f>
        <v>Hali ya baridi ya baridi hupunguza joto la simu ya CPU</v>
      </c>
      <c r="K148" s="4" t="str">
        <f>IFERROR(__xludf.DUMMYFUNCTION("GOOGLETRANSLATE(B148, ""en"", ""th"")"),"โหมดการระบายความร้อนมืออาชีพช่วยลดอุณหภูมิ CPU ของโทรศัพท์")</f>
        <v>โหมดการระบายความร้อนมืออาชีพช่วยลดอุณหภูมิ CPU ของโทรศัพท์</v>
      </c>
      <c r="L148" s="4" t="str">
        <f>IFERROR(__xludf.DUMMYFUNCTION("GOOGLETRANSLATE(B148, ""en"", ""si"")"),"වෘත්තීය සිසිලන මාදිලිය දුරකථනය අඩු කරයි")</f>
        <v>වෘත්තීය සිසිලන මාදිලිය දුරකථනය අඩු කරයි</v>
      </c>
      <c r="M148" s="4" t="str">
        <f>IFERROR(__xludf.DUMMYFUNCTION("GOOGLETRANSLATE(B148, ""en"", ""vi"")"),"Chế độ làm mát chuyên nghiệp làm giảm nhiệt độ CPU của điện thoại")</f>
        <v>Chế độ làm mát chuyên nghiệp làm giảm nhiệt độ CPU của điện thoại</v>
      </c>
      <c r="N148" s="4" t="str">
        <f>IFERROR(__xludf.DUMMYFUNCTION("GOOGLETRANSLATE(B148, ""en"", ""ne"")"),"व्यावसायिक चिसो मोडले फोन \ 's cpu तापमान कम गर्दछ")</f>
        <v>व्यावसायिक चिसो मोडले फोन \ 's cpu तापमान कम गर्दछ</v>
      </c>
      <c r="O148" s="4" t="str">
        <f>IFERROR(__xludf.DUMMYFUNCTION("GOOGLETRANSLATE(B148, ""en"", ""de"")"),"Professioneller Kühlmodus senkt die CPU-Temperatur des Telefons")</f>
        <v>Professioneller Kühlmodus senkt die CPU-Temperatur des Telefons</v>
      </c>
      <c r="P148" s="4" t="str">
        <f>IFERROR(__xludf.DUMMYFUNCTION("GOOGLETRANSLATE(B148, ""en"", ""he"")"),"מצב קירור מקצועי מוריד את טמפרטורת הטלפון של הטלפון")</f>
        <v>מצב קירור מקצועי מוריד את טמפרטורת הטלפון של הטלפון</v>
      </c>
      <c r="Q148" s="4" t="str">
        <f>IFERROR(__xludf.DUMMYFUNCTION("GOOGLETRANSLATE(B148, ""en"", ""cs"")"),"Profesionální režim chlazení snižuje teplotu CPU telefonu")</f>
        <v>Profesionální režim chlazení snižuje teplotu CPU telefonu</v>
      </c>
      <c r="R148" s="4" t="str">
        <f>IFERROR(__xludf.DUMMYFUNCTION("GOOGLETRANSLATE(B148, ""en"", ""it"")"),"La modalità di raffreddamento professionale riduce la temperatura della CPU del telefono")</f>
        <v>La modalità di raffreddamento professionale riduce la temperatura della CPU del telefono</v>
      </c>
      <c r="S148" s="4" t="str">
        <f>IFERROR(__xludf.DUMMYFUNCTION("GOOGLETRANSLATE(B148, ""en"", ""el"")"),"Η επαγγελματική λειτουργία ψύξης μειώνει τη θερμοκρασία CPU του τηλεφώνου")</f>
        <v>Η επαγγελματική λειτουργία ψύξης μειώνει τη θερμοκρασία CPU του τηλεφώνου</v>
      </c>
    </row>
    <row r="149" ht="15.75" customHeight="1">
      <c r="A149" s="4" t="s">
        <v>311</v>
      </c>
      <c r="B149" s="4" t="s">
        <v>312</v>
      </c>
      <c r="C149" s="4" t="str">
        <f>IFERROR(__xludf.DUMMYFUNCTION("GOOGLETRANSLATE(B149, ""en"", ""es"")"),"Acceso temprano a todas las nuevas características y mejoras.")</f>
        <v>Acceso temprano a todas las nuevas características y mejoras.</v>
      </c>
      <c r="D149" s="4" t="str">
        <f>IFERROR(__xludf.DUMMYFUNCTION("GOOGLETRANSLATE(B149, ""en"", ""pt"")"),"Acesso antecipado a todos os novos recursos e melhorias")</f>
        <v>Acesso antecipado a todos os novos recursos e melhorias</v>
      </c>
      <c r="E149" s="4" t="str">
        <f>IFERROR(__xludf.DUMMYFUNCTION("GOOGLETRANSLATE(B149, ""en"", ""ar"")"),"الوصول المبكر إلى جميع الميزات والتحسينات الجديدة")</f>
        <v>الوصول المبكر إلى جميع الميزات والتحسينات الجديدة</v>
      </c>
      <c r="F149" s="4" t="str">
        <f>IFERROR(__xludf.DUMMYFUNCTION("GOOGLETRANSLATE(B149, ""en"", ""km"")"),"ការទទួលបានមុខងារថ្មីៗនិងការកែលម្អថ្មីៗទាំងអស់")</f>
        <v>ការទទួលបានមុខងារថ្មីៗនិងការកែលម្អថ្មីៗទាំងអស់</v>
      </c>
      <c r="G149" s="4" t="str">
        <f>IFERROR(__xludf.DUMMYFUNCTION("GOOGLETRANSLATE(B149, ""en"", ""fr"")"),"Accès précoce à toutes les nouvelles fonctionnalités et améliorations")</f>
        <v>Accès précoce à toutes les nouvelles fonctionnalités et améliorations</v>
      </c>
      <c r="H149" s="4" t="str">
        <f>IFERROR(__xludf.DUMMYFUNCTION("GOOGLETRANSLATE(B149, ""en"", ""ro"")"),"Accesul precoce la toate caracteristicile și îmbunătățirile noi")</f>
        <v>Accesul precoce la toate caracteristicile și îmbunătățirile noi</v>
      </c>
      <c r="I149" s="4" t="str">
        <f>IFERROR(__xludf.DUMMYFUNCTION("GOOGLETRANSLATE(B149, ""en"", ""my"")"),"အားလုံးအသစ်သောအင်္ဂါရပ်အသစ်များနှင့်တိုးတက်မှုများ")</f>
        <v>အားလုံးအသစ်သောအင်္ဂါရပ်အသစ်များနှင့်တိုးတက်မှုများ</v>
      </c>
      <c r="J149" s="4" t="str">
        <f>IFERROR(__xludf.DUMMYFUNCTION("GOOGLETRANSLATE(B149, ""en"", ""sw"")"),"Upatikanaji wa mapema kwa vipengele vyote vipya na maboresho")</f>
        <v>Upatikanaji wa mapema kwa vipengele vyote vipya na maboresho</v>
      </c>
      <c r="K149" s="4" t="str">
        <f>IFERROR(__xludf.DUMMYFUNCTION("GOOGLETRANSLATE(B149, ""en"", ""th"")"),"การเข้าถึงเบื้องต้นเกี่ยวกับคุณสมบัติใหม่และการปรับปรุงใหม่ทั้งหมด")</f>
        <v>การเข้าถึงเบื้องต้นเกี่ยวกับคุณสมบัติใหม่และการปรับปรุงใหม่ทั้งหมด</v>
      </c>
      <c r="L149" s="4" t="str">
        <f>IFERROR(__xludf.DUMMYFUNCTION("GOOGLETRANSLATE(B149, ""en"", ""si"")"),"සියලුම නව විශේෂාංග සහ වැඩිදියුණු කිරීම් සඳහා මුල් ප්රවේශය")</f>
        <v>සියලුම නව විශේෂාංග සහ වැඩිදියුණු කිරීම් සඳහා මුල් ප්රවේශය</v>
      </c>
      <c r="M149" s="4" t="str">
        <f>IFERROR(__xludf.DUMMYFUNCTION("GOOGLETRANSLATE(B149, ""en"", ""vi"")"),"Truy cập sớm vào tất cả các tính năng và cải tiến mới")</f>
        <v>Truy cập sớm vào tất cả các tính năng và cải tiến mới</v>
      </c>
      <c r="N149" s="4" t="str">
        <f>IFERROR(__xludf.DUMMYFUNCTION("GOOGLETRANSLATE(B149, ""en"", ""ne"")"),"सबै नयाँ सुविधाहरू र सुधारहरूमा प्रारम्भिक पहुँच")</f>
        <v>सबै नयाँ सुविधाहरू र सुधारहरूमा प्रारम्भिक पहुँच</v>
      </c>
      <c r="O149" s="4" t="str">
        <f>IFERROR(__xludf.DUMMYFUNCTION("GOOGLETRANSLATE(B149, ""en"", ""de"")"),"Früher Zugriff auf alle neuen Funktionen und Verbesserungen")</f>
        <v>Früher Zugriff auf alle neuen Funktionen und Verbesserungen</v>
      </c>
      <c r="P149" s="4" t="str">
        <f>IFERROR(__xludf.DUMMYFUNCTION("GOOGLETRANSLATE(B149, ""en"", ""he"")"),"גישה מוקדמת לכל התכונות החדשות ושיפורים")</f>
        <v>גישה מוקדמת לכל התכונות החדשות ושיפורים</v>
      </c>
      <c r="Q149" s="4" t="str">
        <f>IFERROR(__xludf.DUMMYFUNCTION("GOOGLETRANSLATE(B149, ""en"", ""cs"")"),"Včasný přístup ke všem novým funkcím a vylepšením")</f>
        <v>Včasný přístup ke všem novým funkcím a vylepšením</v>
      </c>
      <c r="R149" s="4" t="str">
        <f>IFERROR(__xludf.DUMMYFUNCTION("GOOGLETRANSLATE(B149, ""en"", ""it"")"),"Accesso anticipato a tutte le nuove funzionalità e miglioramenti")</f>
        <v>Accesso anticipato a tutte le nuove funzionalità e miglioramenti</v>
      </c>
      <c r="S149" s="4" t="str">
        <f>IFERROR(__xludf.DUMMYFUNCTION("GOOGLETRANSLATE(B149, ""en"", ""el"")"),"Πρώιμη πρόσβαση σε όλα τα νέα χαρακτηριστικά και βελτιώσεις")</f>
        <v>Πρώιμη πρόσβαση σε όλα τα νέα χαρακτηριστικά και βελτιώσεις</v>
      </c>
    </row>
    <row r="150" ht="15.75" customHeight="1">
      <c r="A150" s="4" t="s">
        <v>313</v>
      </c>
      <c r="B150" s="4" t="s">
        <v>314</v>
      </c>
      <c r="C150" s="4" t="str">
        <f>IFERROR(__xludf.DUMMYFUNCTION("GOOGLETRANSLATE(B150, ""en"", ""es"")"),"Ordenar notificaciones de spam y eliminarlas en un grifo")</f>
        <v>Ordenar notificaciones de spam y eliminarlas en un grifo</v>
      </c>
      <c r="D150" s="4" t="str">
        <f>IFERROR(__xludf.DUMMYFUNCTION("GOOGLETRANSLATE(B150, ""en"", ""pt"")"),"Classifique as notificações de spam e limpe-as em uma torneira")</f>
        <v>Classifique as notificações de spam e limpe-as em uma torneira</v>
      </c>
      <c r="E150" s="4" t="str">
        <f>IFERROR(__xludf.DUMMYFUNCTION("GOOGLETRANSLATE(B150, ""en"", ""ar"")"),"فرز إعلامات البريد المزعج ومسحها في صنبور واحد")</f>
        <v>فرز إعلامات البريد المزعج ومسحها في صنبور واحد</v>
      </c>
      <c r="F150" s="4" t="str">
        <f>IFERROR(__xludf.DUMMYFUNCTION("GOOGLETRANSLATE(B150, ""en"", ""km"")"),"តម្រៀបការជូនដំណឹងសារឥតបានការហើយជម្រះពួកវាក្នុងមួយម៉ាស៊ីន")</f>
        <v>តម្រៀបការជូនដំណឹងសារឥតបានការហើយជម្រះពួកវាក្នុងមួយម៉ាស៊ីន</v>
      </c>
      <c r="G150" s="4" t="str">
        <f>IFERROR(__xludf.DUMMYFUNCTION("GOOGLETRANSLATE(B150, ""en"", ""fr"")"),"Trier les notifications de spam et les effacer en un seul robinet")</f>
        <v>Trier les notifications de spam et les effacer en un seul robinet</v>
      </c>
      <c r="H150" s="4" t="str">
        <f>IFERROR(__xludf.DUMMYFUNCTION("GOOGLETRANSLATE(B150, ""en"", ""ro"")"),"Sortați notificările spam și clarificați-le într-o singură atingere")</f>
        <v>Sortați notificările spam și clarificați-le într-o singură atingere</v>
      </c>
      <c r="I150" s="4" t="str">
        <f>IFERROR(__xludf.DUMMYFUNCTION("GOOGLETRANSLATE(B150, ""en"", ""my"")"),"spam အသိပေးချက်များကိုခွဲထုတ်ပြီးထိပုတ်ပါ")</f>
        <v>spam အသိပေးချက်များကိုခွဲထုတ်ပြီးထိပုတ်ပါ</v>
      </c>
      <c r="J150" s="4" t="str">
        <f>IFERROR(__xludf.DUMMYFUNCTION("GOOGLETRANSLATE(B150, ""en"", ""sw"")"),"Panga Arifa za Spam na uwafute kwenye bomba moja")</f>
        <v>Panga Arifa za Spam na uwafute kwenye bomba moja</v>
      </c>
      <c r="K150" s="4" t="str">
        <f>IFERROR(__xludf.DUMMYFUNCTION("GOOGLETRANSLATE(B150, ""en"", ""th"")"),"เรียงลำดับการแจ้งเตือนสแปมและล้างพวกเขาในการแตะครั้งเดียว")</f>
        <v>เรียงลำดับการแจ้งเตือนสแปมและล้างพวกเขาในการแตะครั้งเดียว</v>
      </c>
      <c r="L150" s="4" t="str">
        <f>IFERROR(__xludf.DUMMYFUNCTION("GOOGLETRANSLATE(B150, ""en"", ""si"")"),"අයාචිත තැපැල් දැනුම්දීම් වර්ග කර එක් ටැප් එකකින් ඒවා ඉවත් කරන්න")</f>
        <v>අයාචිත තැපැල් දැනුම්දීම් වර්ග කර එක් ටැප් එකකින් ඒවා ඉවත් කරන්න</v>
      </c>
      <c r="M150" s="4" t="str">
        <f>IFERROR(__xludf.DUMMYFUNCTION("GOOGLETRANSLATE(B150, ""en"", ""vi"")"),"Sắp xếp thông báo Spam và xóa chúng trong một lần nhấn")</f>
        <v>Sắp xếp thông báo Spam và xóa chúng trong một lần nhấn</v>
      </c>
      <c r="N150" s="4" t="str">
        <f>IFERROR(__xludf.DUMMYFUNCTION("GOOGLETRANSLATE(B150, ""en"", ""ne"")"),"स्प्याम सूचनाहरू क्रमबद्ध गर्नुहोस् र तिनीहरूलाई एक ट्यापमा खाली गर्नुहोस्")</f>
        <v>स्प्याम सूचनाहरू क्रमबद्ध गर्नुहोस् र तिनीहरूलाई एक ट्यापमा खाली गर्नुहोस्</v>
      </c>
      <c r="O150" s="4" t="str">
        <f>IFERROR(__xludf.DUMMYFUNCTION("GOOGLETRANSLATE(B150, ""en"", ""de"")"),"Sortieren Sie SPAM-Benachrichtigungen aus und löschen Sie sie in einem Hahn")</f>
        <v>Sortieren Sie SPAM-Benachrichtigungen aus und löschen Sie sie in einem Hahn</v>
      </c>
      <c r="P150" s="4" t="str">
        <f>IFERROR(__xludf.DUMMYFUNCTION("GOOGLETRANSLATE(B150, ""en"", ""he"")"),"מיין הודעות דואר זבל לנקות אותם ברז אחד")</f>
        <v>מיין הודעות דואר זבל לנקות אותם ברז אחד</v>
      </c>
      <c r="Q150" s="4" t="str">
        <f>IFERROR(__xludf.DUMMYFUNCTION("GOOGLETRANSLATE(B150, ""en"", ""cs"")"),"Vyřešte oznámení SPAM a vyčistěte je v jednom kohoutku")</f>
        <v>Vyřešte oznámení SPAM a vyčistěte je v jednom kohoutku</v>
      </c>
      <c r="R150" s="4" t="str">
        <f>IFERROR(__xludf.DUMMYFUNCTION("GOOGLETRANSLATE(B150, ""en"", ""it"")"),"Ordina le notifiche spam e cancellarle in un tocco")</f>
        <v>Ordina le notifiche spam e cancellarle in un tocco</v>
      </c>
      <c r="S150" s="4" t="str">
        <f>IFERROR(__xludf.DUMMYFUNCTION("GOOGLETRANSLATE(B150, ""en"", ""el"")"),"Ταξινόμηση ειδοποιήσεων spam και καθαρίστε τα σε μια βρύση")</f>
        <v>Ταξινόμηση ειδοποιήσεων spam και καθαρίστε τα σε μια βρύση</v>
      </c>
    </row>
    <row r="151" ht="15.75" customHeight="1">
      <c r="A151" s="4" t="s">
        <v>315</v>
      </c>
      <c r="B151" s="4" t="s">
        <v>316</v>
      </c>
      <c r="C151" s="4" t="str">
        <f>IFERROR(__xludf.DUMMYFUNCTION("GOOGLETRANSLATE(B151, ""en"", ""es"")"),"Realizar una exploración de virus")</f>
        <v>Realizar una exploración de virus</v>
      </c>
      <c r="D151" s="4" t="str">
        <f>IFERROR(__xludf.DUMMYFUNCTION("GOOGLETRANSLATE(B151, ""en"", ""pt"")"),"Realize uma varredura de vírus")</f>
        <v>Realize uma varredura de vírus</v>
      </c>
      <c r="E151" s="4" t="str">
        <f>IFERROR(__xludf.DUMMYFUNCTION("GOOGLETRANSLATE(B151, ""en"", ""ar"")"),"إجراء فحص الفيروسات")</f>
        <v>إجراء فحص الفيروسات</v>
      </c>
      <c r="F151" s="4" t="str">
        <f>IFERROR(__xludf.DUMMYFUNCTION("GOOGLETRANSLATE(B151, ""en"", ""km"")"),"ធ្វើការស្កេនមេរោគ")</f>
        <v>ធ្វើការស្កេនមេរោគ</v>
      </c>
      <c r="G151" s="4" t="str">
        <f>IFERROR(__xludf.DUMMYFUNCTION("GOOGLETRANSLATE(B151, ""en"", ""fr"")"),"Mener une analyse de virus")</f>
        <v>Mener une analyse de virus</v>
      </c>
      <c r="H151" s="4" t="str">
        <f>IFERROR(__xludf.DUMMYFUNCTION("GOOGLETRANSLATE(B151, ""en"", ""ro"")"),"Efectuați o scanare a virușilor")</f>
        <v>Efectuați o scanare a virușilor</v>
      </c>
      <c r="I151" s="4" t="str">
        <f>IFERROR(__xludf.DUMMYFUNCTION("GOOGLETRANSLATE(B151, ""en"", ""my"")"),"ဗိုင်းရပ်စ်စစ်ဆေးမှုကိုပြုလုပ်ပါ")</f>
        <v>ဗိုင်းရပ်စ်စစ်ဆေးမှုကိုပြုလုပ်ပါ</v>
      </c>
      <c r="J151" s="4" t="str">
        <f>IFERROR(__xludf.DUMMYFUNCTION("GOOGLETRANSLATE(B151, ""en"", ""sw"")"),"Kufanya Scan ya Virusi.")</f>
        <v>Kufanya Scan ya Virusi.</v>
      </c>
      <c r="K151" s="4" t="str">
        <f>IFERROR(__xludf.DUMMYFUNCTION("GOOGLETRANSLATE(B151, ""en"", ""th"")"),"ทำการสแกนไวรัส")</f>
        <v>ทำการสแกนไวรัส</v>
      </c>
      <c r="L151" s="4" t="str">
        <f>IFERROR(__xludf.DUMMYFUNCTION("GOOGLETRANSLATE(B151, ""en"", ""si"")"),"වෛරස් ස්කෑන් පරීක්ෂණයක් පැවැත්වීම")</f>
        <v>වෛරස් ස්කෑන් පරීක්ෂණයක් පැවැත්වීම</v>
      </c>
      <c r="M151" s="4" t="str">
        <f>IFERROR(__xludf.DUMMYFUNCTION("GOOGLETRANSLATE(B151, ""en"", ""vi"")"),"Tiến hành quét virus")</f>
        <v>Tiến hành quét virus</v>
      </c>
      <c r="N151" s="4" t="str">
        <f>IFERROR(__xludf.DUMMYFUNCTION("GOOGLETRANSLATE(B151, ""en"", ""ne"")"),"भाइरस स्क्यान सञ्चालन गर्नुहोस्")</f>
        <v>भाइरस स्क्यान सञ्चालन गर्नुहोस्</v>
      </c>
      <c r="O151" s="4" t="str">
        <f>IFERROR(__xludf.DUMMYFUNCTION("GOOGLETRANSLATE(B151, ""en"", ""de"")"),"Führen Sie einen Viren-Scan durch")</f>
        <v>Führen Sie einen Viren-Scan durch</v>
      </c>
      <c r="P151" s="4" t="str">
        <f>IFERROR(__xludf.DUMMYFUNCTION("GOOGLETRANSLATE(B151, ""en"", ""he"")"),"לערוך סריקת וירוסים")</f>
        <v>לערוך סריקת וירוסים</v>
      </c>
      <c r="Q151" s="4" t="str">
        <f>IFERROR(__xludf.DUMMYFUNCTION("GOOGLETRANSLATE(B151, ""en"", ""cs"")"),"Proveďte kontrolu virů")</f>
        <v>Proveďte kontrolu virů</v>
      </c>
      <c r="R151" s="4" t="str">
        <f>IFERROR(__xludf.DUMMYFUNCTION("GOOGLETRANSLATE(B151, ""en"", ""it"")"),"Condurre una scansione di virus")</f>
        <v>Condurre una scansione di virus</v>
      </c>
      <c r="S151" s="4" t="str">
        <f>IFERROR(__xludf.DUMMYFUNCTION("GOOGLETRANSLATE(B151, ""en"", ""el"")"),"Διεξάγετε μια σάρωση ιού")</f>
        <v>Διεξάγετε μια σάρωση ιού</v>
      </c>
    </row>
    <row r="152" ht="15.75" customHeight="1">
      <c r="A152" s="4" t="s">
        <v>317</v>
      </c>
      <c r="B152" s="4" t="s">
        <v>318</v>
      </c>
      <c r="C152" s="4" t="str">
        <f>IFERROR(__xludf.DUMMYFUNCTION("GOOGLETRANSLATE(B152, ""en"", ""es"")"),"Política de privacidad")</f>
        <v>Política de privacidad</v>
      </c>
      <c r="D152" s="4" t="str">
        <f>IFERROR(__xludf.DUMMYFUNCTION("GOOGLETRANSLATE(B152, ""en"", ""pt"")"),"Política de Privacidade")</f>
        <v>Política de Privacidade</v>
      </c>
      <c r="E152" s="4" t="str">
        <f>IFERROR(__xludf.DUMMYFUNCTION("GOOGLETRANSLATE(B152, ""en"", ""ar"")"),"سياسة خاصة")</f>
        <v>سياسة خاصة</v>
      </c>
      <c r="F152" s="4" t="str">
        <f>IFERROR(__xludf.DUMMYFUNCTION("GOOGLETRANSLATE(B152, ""en"", ""km"")"),"គោលការណ៍​ភាព​ឯកជន")</f>
        <v>គោលការណ៍​ភាព​ឯកជន</v>
      </c>
      <c r="G152" s="4" t="str">
        <f>IFERROR(__xludf.DUMMYFUNCTION("GOOGLETRANSLATE(B152, ""en"", ""fr"")"),"Politique de confidentialité")</f>
        <v>Politique de confidentialité</v>
      </c>
      <c r="H152" s="4" t="str">
        <f>IFERROR(__xludf.DUMMYFUNCTION("GOOGLETRANSLATE(B152, ""en"", ""ro"")"),"Politica de confidențialitate")</f>
        <v>Politica de confidențialitate</v>
      </c>
      <c r="I152" s="4" t="str">
        <f>IFERROR(__xludf.DUMMYFUNCTION("GOOGLETRANSLATE(B152, ""en"", ""my"")"),"ကိုယ်ရေးအချက်အလက်မူဝါဒ")</f>
        <v>ကိုယ်ရေးအချက်အလက်မူဝါဒ</v>
      </c>
      <c r="J152" s="4" t="str">
        <f>IFERROR(__xludf.DUMMYFUNCTION("GOOGLETRANSLATE(B152, ""en"", ""sw"")"),"Sera ya faragha.")</f>
        <v>Sera ya faragha.</v>
      </c>
      <c r="K152" s="4" t="str">
        <f>IFERROR(__xludf.DUMMYFUNCTION("GOOGLETRANSLATE(B152, ""en"", ""th"")"),"นโยบายความเป็นส่วนตัว")</f>
        <v>นโยบายความเป็นส่วนตัว</v>
      </c>
      <c r="L152" s="4" t="str">
        <f>IFERROR(__xludf.DUMMYFUNCTION("GOOGLETRANSLATE(B152, ""en"", ""si"")"),"රහස්යතා ප්රතිපත්තිය")</f>
        <v>රහස්යතා ප්රතිපත්තිය</v>
      </c>
      <c r="M152" s="4" t="str">
        <f>IFERROR(__xludf.DUMMYFUNCTION("GOOGLETRANSLATE(B152, ""en"", ""vi"")"),"Chính sách bảo mật")</f>
        <v>Chính sách bảo mật</v>
      </c>
      <c r="N152" s="4" t="str">
        <f>IFERROR(__xludf.DUMMYFUNCTION("GOOGLETRANSLATE(B152, ""en"", ""ne"")"),"गोपनीयता नीति")</f>
        <v>गोपनीयता नीति</v>
      </c>
      <c r="O152" s="4" t="str">
        <f>IFERROR(__xludf.DUMMYFUNCTION("GOOGLETRANSLATE(B152, ""en"", ""de"")"),"Datenschutz-Bestimmungen")</f>
        <v>Datenschutz-Bestimmungen</v>
      </c>
      <c r="P152" s="4" t="str">
        <f>IFERROR(__xludf.DUMMYFUNCTION("GOOGLETRANSLATE(B152, ""en"", ""he"")"),"מדיניות פרטיות")</f>
        <v>מדיניות פרטיות</v>
      </c>
      <c r="Q152" s="4" t="str">
        <f>IFERROR(__xludf.DUMMYFUNCTION("GOOGLETRANSLATE(B152, ""en"", ""cs"")"),"Zásady ochrany osobních údajů")</f>
        <v>Zásady ochrany osobních údajů</v>
      </c>
      <c r="R152" s="4" t="str">
        <f>IFERROR(__xludf.DUMMYFUNCTION("GOOGLETRANSLATE(B152, ""en"", ""it"")"),"politica sulla riservatezza")</f>
        <v>politica sulla riservatezza</v>
      </c>
      <c r="S152" s="4" t="str">
        <f>IFERROR(__xludf.DUMMYFUNCTION("GOOGLETRANSLATE(B152, ""en"", ""el"")"),"Πολιτική απορρήτου")</f>
        <v>Πολιτική απορρήτου</v>
      </c>
    </row>
    <row r="153" ht="15.75" customHeight="1">
      <c r="A153" s="4" t="s">
        <v>319</v>
      </c>
      <c r="B153" s="4" t="s">
        <v>320</v>
      </c>
      <c r="C153" s="4" t="str">
        <f>IFERROR(__xludf.DUMMYFUNCTION("GOOGLETRANSLATE(B153, ""en"", ""es"")"),"Mejora continua")</f>
        <v>Mejora continua</v>
      </c>
      <c r="D153" s="4" t="str">
        <f>IFERROR(__xludf.DUMMYFUNCTION("GOOGLETRANSLATE(B153, ""en"", ""pt"")"),"Melhoria continua")</f>
        <v>Melhoria continua</v>
      </c>
      <c r="E153" s="4" t="str">
        <f>IFERROR(__xludf.DUMMYFUNCTION("GOOGLETRANSLATE(B153, ""en"", ""ar"")"),"تحسن مستمر")</f>
        <v>تحسن مستمر</v>
      </c>
      <c r="F153" s="4" t="str">
        <f>IFERROR(__xludf.DUMMYFUNCTION("GOOGLETRANSLATE(B153, ""en"", ""km"")"),"ការកែលម្អជាបន្តបន្ទាប់")</f>
        <v>ការកែលម្អជាបន្តបន្ទាប់</v>
      </c>
      <c r="G153" s="4" t="str">
        <f>IFERROR(__xludf.DUMMYFUNCTION("GOOGLETRANSLATE(B153, ""en"", ""fr"")"),"Amélioration continue")</f>
        <v>Amélioration continue</v>
      </c>
      <c r="H153" s="4" t="str">
        <f>IFERROR(__xludf.DUMMYFUNCTION("GOOGLETRANSLATE(B153, ""en"", ""ro"")"),"Imbunatatire continua")</f>
        <v>Imbunatatire continua</v>
      </c>
      <c r="I153" s="4" t="str">
        <f>IFERROR(__xludf.DUMMYFUNCTION("GOOGLETRANSLATE(B153, ""en"", ""my"")"),"စဉ်ဆက်မပြတ်တိုးတက်မှု")</f>
        <v>စဉ်ဆက်မပြတ်တိုးတက်မှု</v>
      </c>
      <c r="J153" s="4" t="str">
        <f>IFERROR(__xludf.DUMMYFUNCTION("GOOGLETRANSLATE(B153, ""en"", ""sw"")"),"Uboreshaji wa kuendelea")</f>
        <v>Uboreshaji wa kuendelea</v>
      </c>
      <c r="K153" s="4" t="str">
        <f>IFERROR(__xludf.DUMMYFUNCTION("GOOGLETRANSLATE(B153, ""en"", ""th"")"),"พัฒนาอย่างต่อเนื่อง")</f>
        <v>พัฒนาอย่างต่อเนื่อง</v>
      </c>
      <c r="L153" s="4" t="str">
        <f>IFERROR(__xludf.DUMMYFUNCTION("GOOGLETRANSLATE(B153, ""en"", ""si"")"),"අඛණ්ඩ වැඩිදියුණු කිරීම")</f>
        <v>අඛණ්ඩ වැඩිදියුණු කිරීම</v>
      </c>
      <c r="M153" s="4" t="str">
        <f>IFERROR(__xludf.DUMMYFUNCTION("GOOGLETRANSLATE(B153, ""en"", ""vi"")"),"Cải tiến liên tục")</f>
        <v>Cải tiến liên tục</v>
      </c>
      <c r="N153" s="4" t="str">
        <f>IFERROR(__xludf.DUMMYFUNCTION("GOOGLETRANSLATE(B153, ""en"", ""ne"")"),"निरन्तर सुधार")</f>
        <v>निरन्तर सुधार</v>
      </c>
      <c r="O153" s="4" t="str">
        <f>IFERROR(__xludf.DUMMYFUNCTION("GOOGLETRANSLATE(B153, ""en"", ""de"")"),"Ständige Verbesserung")</f>
        <v>Ständige Verbesserung</v>
      </c>
      <c r="P153" s="4" t="str">
        <f>IFERROR(__xludf.DUMMYFUNCTION("GOOGLETRANSLATE(B153, ""en"", ""he"")"),"שיפור מתמשך")</f>
        <v>שיפור מתמשך</v>
      </c>
      <c r="Q153" s="4" t="str">
        <f>IFERROR(__xludf.DUMMYFUNCTION("GOOGLETRANSLATE(B153, ""en"", ""cs"")"),"Neustálé zlepšování")</f>
        <v>Neustálé zlepšování</v>
      </c>
      <c r="R153" s="4" t="str">
        <f>IFERROR(__xludf.DUMMYFUNCTION("GOOGLETRANSLATE(B153, ""en"", ""it"")"),"Miglioramento continuo")</f>
        <v>Miglioramento continuo</v>
      </c>
      <c r="S153" s="4" t="str">
        <f>IFERROR(__xludf.DUMMYFUNCTION("GOOGLETRANSLATE(B153, ""en"", ""el"")"),"Συνεχής βελτίωση")</f>
        <v>Συνεχής βελτίωση</v>
      </c>
    </row>
    <row r="154" ht="15.75" customHeight="1">
      <c r="A154" s="4" t="s">
        <v>321</v>
      </c>
      <c r="B154" s="4" t="s">
        <v>322</v>
      </c>
      <c r="C154" s="4" t="str">
        <f>IFERROR(__xludf.DUMMYFUNCTION("GOOGLETRANSLATE(B154, ""en"", ""es"")"),"Configuración de las notificaciones")</f>
        <v>Configuración de las notificaciones</v>
      </c>
      <c r="D154" s="4" t="str">
        <f>IFERROR(__xludf.DUMMYFUNCTION("GOOGLETRANSLATE(B154, ""en"", ""pt"")"),"Configurações de notificação")</f>
        <v>Configurações de notificação</v>
      </c>
      <c r="E154" s="4" t="str">
        <f>IFERROR(__xludf.DUMMYFUNCTION("GOOGLETRANSLATE(B154, ""en"", ""ar"")"),"إعدادات الإشعار")</f>
        <v>إعدادات الإشعار</v>
      </c>
      <c r="F154" s="4" t="str">
        <f>IFERROR(__xludf.DUMMYFUNCTION("GOOGLETRANSLATE(B154, ""en"", ""km"")"),"ការកំណត់ការជូនដំណឹង")</f>
        <v>ការកំណត់ការជូនដំណឹង</v>
      </c>
      <c r="G154" s="4" t="str">
        <f>IFERROR(__xludf.DUMMYFUNCTION("GOOGLETRANSLATE(B154, ""en"", ""fr"")"),"Paramètres de notification")</f>
        <v>Paramètres de notification</v>
      </c>
      <c r="H154" s="4" t="str">
        <f>IFERROR(__xludf.DUMMYFUNCTION("GOOGLETRANSLATE(B154, ""en"", ""ro"")"),"Setări de notificare")</f>
        <v>Setări de notificare</v>
      </c>
      <c r="I154" s="4" t="str">
        <f>IFERROR(__xludf.DUMMYFUNCTION("GOOGLETRANSLATE(B154, ""en"", ""my"")"),"အသိပေးချက်ဆက်တင်များ")</f>
        <v>အသိပေးချက်ဆက်တင်များ</v>
      </c>
      <c r="J154" s="4" t="str">
        <f>IFERROR(__xludf.DUMMYFUNCTION("GOOGLETRANSLATE(B154, ""en"", ""sw"")"),"Mipangilio ya Arifa.")</f>
        <v>Mipangilio ya Arifa.</v>
      </c>
      <c r="K154" s="4" t="str">
        <f>IFERROR(__xludf.DUMMYFUNCTION("GOOGLETRANSLATE(B154, ""en"", ""th"")"),"การตั้งค่าการแจ้งเตือน")</f>
        <v>การตั้งค่าการแจ้งเตือน</v>
      </c>
      <c r="L154" s="4" t="str">
        <f>IFERROR(__xludf.DUMMYFUNCTION("GOOGLETRANSLATE(B154, ""en"", ""si"")"),"දැනුම්දීම් සැකසුම්")</f>
        <v>දැනුම්දීම් සැකසුම්</v>
      </c>
      <c r="M154" s="4" t="str">
        <f>IFERROR(__xludf.DUMMYFUNCTION("GOOGLETRANSLATE(B154, ""en"", ""vi"")"),"Thiết lập thông báo")</f>
        <v>Thiết lập thông báo</v>
      </c>
      <c r="N154" s="4" t="str">
        <f>IFERROR(__xludf.DUMMYFUNCTION("GOOGLETRANSLATE(B154, ""en"", ""ne"")"),"अधिसूचना सेटिंग्स")</f>
        <v>अधिसूचना सेटिंग्स</v>
      </c>
      <c r="O154" s="4" t="str">
        <f>IFERROR(__xludf.DUMMYFUNCTION("GOOGLETRANSLATE(B154, ""en"", ""de"")"),"Benachrichtigungseinstellungen")</f>
        <v>Benachrichtigungseinstellungen</v>
      </c>
      <c r="P154" s="4" t="str">
        <f>IFERROR(__xludf.DUMMYFUNCTION("GOOGLETRANSLATE(B154, ""en"", ""he"")"),"הגדרות הודעה")</f>
        <v>הגדרות הודעה</v>
      </c>
      <c r="Q154" s="4" t="str">
        <f>IFERROR(__xludf.DUMMYFUNCTION("GOOGLETRANSLATE(B154, ""en"", ""cs"")"),"Nastavení upozornění")</f>
        <v>Nastavení upozornění</v>
      </c>
      <c r="R154" s="4" t="str">
        <f>IFERROR(__xludf.DUMMYFUNCTION("GOOGLETRANSLATE(B154, ""en"", ""it"")"),"Impostazioni di notifica")</f>
        <v>Impostazioni di notifica</v>
      </c>
      <c r="S154" s="4" t="str">
        <f>IFERROR(__xludf.DUMMYFUNCTION("GOOGLETRANSLATE(B154, ""en"", ""el"")"),"Ρυθμίσεις ειδοποιήσεων")</f>
        <v>Ρυθμίσεις ειδοποιήσεων</v>
      </c>
    </row>
    <row r="155" ht="15.75" customHeight="1">
      <c r="A155" s="4" t="s">
        <v>323</v>
      </c>
      <c r="B155" s="4" t="s">
        <v>324</v>
      </c>
      <c r="C155" s="4" t="str">
        <f>IFERROR(__xludf.DUMMYFUNCTION("GOOGLETRANSLATE(B155, ""en"", ""es"")"),"Guarda la carga de la batería al cierre de aplicaciones")</f>
        <v>Guarda la carga de la batería al cierre de aplicaciones</v>
      </c>
      <c r="D155" s="4" t="str">
        <f>IFERROR(__xludf.DUMMYFUNCTION("GOOGLETRANSLATE(B155, ""en"", ""pt"")"),"Economiza carga da bateria ao fechar aplicativos")</f>
        <v>Economiza carga da bateria ao fechar aplicativos</v>
      </c>
      <c r="E155" s="4" t="str">
        <f>IFERROR(__xludf.DUMMYFUNCTION("GOOGLETRANSLATE(B155, ""en"", ""ar"")"),"يحفظ رسوم البطارية عن طريق إغلاق التطبيقات")</f>
        <v>يحفظ رسوم البطارية عن طريق إغلاق التطبيقات</v>
      </c>
      <c r="F155" s="4" t="str">
        <f>IFERROR(__xludf.DUMMYFUNCTION("GOOGLETRANSLATE(B155, ""en"", ""km"")"),"រក្សាទុកការចោទប្រកាន់ថ្មដោយបិទកម្មវិធី")</f>
        <v>រក្សាទុកការចោទប្រកាន់ថ្មដោយបិទកម្មវិធី</v>
      </c>
      <c r="G155" s="4" t="str">
        <f>IFERROR(__xludf.DUMMYFUNCTION("GOOGLETRANSLATE(B155, ""en"", ""fr"")"),"Enregistre la charge de la batterie en fermant les applications")</f>
        <v>Enregistre la charge de la batterie en fermant les applications</v>
      </c>
      <c r="H155" s="4" t="str">
        <f>IFERROR(__xludf.DUMMYFUNCTION("GOOGLETRANSLATE(B155, ""en"", ""ro"")"),"Salvează încărcarea bateriei prin închiderea aplicațiilor")</f>
        <v>Salvează încărcarea bateriei prin închiderea aplicațiilor</v>
      </c>
      <c r="I155" s="4" t="str">
        <f>IFERROR(__xludf.DUMMYFUNCTION("GOOGLETRANSLATE(B155, ""en"", ""my"")"),"လျှောက်လွှာများကိုပိတ်ခြင်းဖြင့်ဘက်ထရီအားသွင်းသည်")</f>
        <v>လျှောက်လွှာများကိုပိတ်ခြင်းဖြင့်ဘက်ထရီအားသွင်းသည်</v>
      </c>
      <c r="J155" s="4" t="str">
        <f>IFERROR(__xludf.DUMMYFUNCTION("GOOGLETRANSLATE(B155, ""en"", ""sw"")"),"Inaokoa malipo ya betri kwa kufunga programu.")</f>
        <v>Inaokoa malipo ya betri kwa kufunga programu.</v>
      </c>
      <c r="K155" s="4" t="str">
        <f>IFERROR(__xludf.DUMMYFUNCTION("GOOGLETRANSLATE(B155, ""en"", ""th"")"),"บันทึกการชาร์จแบตเตอรี่โดยการปิดแอปพลิเคชัน")</f>
        <v>บันทึกการชาร์จแบตเตอรี่โดยการปิดแอปพลิเคชัน</v>
      </c>
      <c r="L155" s="4" t="str">
        <f>IFERROR(__xludf.DUMMYFUNCTION("GOOGLETRANSLATE(B155, ""en"", ""si"")"),"අයදුම්පත් වසා දැමීමෙන් බැටරි ගාස්තුව ඉතිරි කරයි")</f>
        <v>අයදුම්පත් වසා දැමීමෙන් බැටරි ගාස්තුව ඉතිරි කරයි</v>
      </c>
      <c r="M155" s="4" t="str">
        <f>IFERROR(__xludf.DUMMYFUNCTION("GOOGLETRANSLATE(B155, ""en"", ""vi"")"),"Tiết kiệm phí pin bằng cách đóng ứng dụng")</f>
        <v>Tiết kiệm phí pin bằng cách đóng ứng dụng</v>
      </c>
      <c r="N155" s="4" t="str">
        <f>IFERROR(__xludf.DUMMYFUNCTION("GOOGLETRANSLATE(B155, ""en"", ""ne"")"),"अनुप्रयोगहरू बन्द गरेर ब्याट्री चार्ज बचत गर्दछ")</f>
        <v>अनुप्रयोगहरू बन्द गरेर ब्याट्री चार्ज बचत गर्दछ</v>
      </c>
      <c r="O155" s="4" t="str">
        <f>IFERROR(__xludf.DUMMYFUNCTION("GOOGLETRANSLATE(B155, ""en"", ""de"")"),"Spart Batterieladung durch Abschlussanwendungen")</f>
        <v>Spart Batterieladung durch Abschlussanwendungen</v>
      </c>
      <c r="P155" s="4" t="str">
        <f>IFERROR(__xludf.DUMMYFUNCTION("GOOGLETRANSLATE(B155, ""en"", ""he"")"),"חוסך טעינת סוללה על ידי סגירת יישומים")</f>
        <v>חוסך טעינת סוללה על ידי סגירת יישומים</v>
      </c>
      <c r="Q155" s="4" t="str">
        <f>IFERROR(__xludf.DUMMYFUNCTION("GOOGLETRANSLATE(B155, ""en"", ""cs"")"),"Uloží nabíjení baterie uzavřenými aplikacemi")</f>
        <v>Uloží nabíjení baterie uzavřenými aplikacemi</v>
      </c>
      <c r="R155" s="4" t="str">
        <f>IFERROR(__xludf.DUMMYFUNCTION("GOOGLETRANSLATE(B155, ""en"", ""it"")"),"Salva la carica della batteria chiudendo le applicazioni")</f>
        <v>Salva la carica della batteria chiudendo le applicazioni</v>
      </c>
      <c r="S155" s="4" t="str">
        <f>IFERROR(__xludf.DUMMYFUNCTION("GOOGLETRANSLATE(B155, ""en"", ""el"")"),"Αποθηκεύει τη φόρτιση της μπαταρίας με το κλείσιμο εφαρμογών")</f>
        <v>Αποθηκεύει τη φόρτιση της μπαταρίας με το κλείσιμο εφαρμογών</v>
      </c>
    </row>
    <row r="156" ht="15.75" customHeight="1">
      <c r="A156" s="4" t="s">
        <v>325</v>
      </c>
      <c r="B156" s="4" t="s">
        <v>326</v>
      </c>
      <c r="C156" s="4" t="str">
        <f>IFERROR(__xludf.DUMMYFUNCTION("GOOGLETRANSLATE(B156, ""en"", ""es"")"),"Aplicación peligrosa")</f>
        <v>Aplicación peligrosa</v>
      </c>
      <c r="D156" s="4" t="str">
        <f>IFERROR(__xludf.DUMMYFUNCTION("GOOGLETRANSLATE(B156, ""en"", ""pt"")"),"App perigoso")</f>
        <v>App perigoso</v>
      </c>
      <c r="E156" s="4" t="str">
        <f>IFERROR(__xludf.DUMMYFUNCTION("GOOGLETRANSLATE(B156, ""en"", ""ar"")"),"التطبيق خطير")</f>
        <v>التطبيق خطير</v>
      </c>
      <c r="F156" s="4" t="str">
        <f>IFERROR(__xludf.DUMMYFUNCTION("GOOGLETRANSLATE(B156, ""en"", ""km"")"),"គ្រោះថ្នាក់កម្មវិធី")</f>
        <v>គ្រោះថ្នាក់កម្មវិធី</v>
      </c>
      <c r="G156" s="4" t="str">
        <f>IFERROR(__xludf.DUMMYFUNCTION("GOOGLETRANSLATE(B156, ""en"", ""fr"")"),"Application dangereuse")</f>
        <v>Application dangereuse</v>
      </c>
      <c r="H156" s="4" t="str">
        <f>IFERROR(__xludf.DUMMYFUNCTION("GOOGLETRANSLATE(B156, ""en"", ""ro"")"),"Aplicație periculoasă")</f>
        <v>Aplicație periculoasă</v>
      </c>
      <c r="I156" s="4" t="str">
        <f>IFERROR(__xludf.DUMMYFUNCTION("GOOGLETRANSLATE(B156, ""en"", ""my"")"),"app ကိုအန္တရာယ်")</f>
        <v>app ကိုအန္တရာယ်</v>
      </c>
      <c r="J156" s="4" t="str">
        <f>IFERROR(__xludf.DUMMYFUNCTION("GOOGLETRANSLATE(B156, ""en"", ""sw"")"),"App hatari.")</f>
        <v>App hatari.</v>
      </c>
      <c r="K156" s="4" t="str">
        <f>IFERROR(__xludf.DUMMYFUNCTION("GOOGLETRANSLATE(B156, ""en"", ""th"")"),"แอปอันตราย")</f>
        <v>แอปอันตราย</v>
      </c>
      <c r="L156" s="4" t="str">
        <f>IFERROR(__xludf.DUMMYFUNCTION("GOOGLETRANSLATE(B156, ""en"", ""si"")"),"යෙදුම භයානකයි")</f>
        <v>යෙදුම භයානකයි</v>
      </c>
      <c r="M156" s="4" t="str">
        <f>IFERROR(__xludf.DUMMYFUNCTION("GOOGLETRANSLATE(B156, ""en"", ""vi"")"),"Ứng dụng nguy hiểm.")</f>
        <v>Ứng dụng nguy hiểm.</v>
      </c>
      <c r="N156" s="4" t="str">
        <f>IFERROR(__xludf.DUMMYFUNCTION("GOOGLETRANSLATE(B156, ""en"", ""ne"")"),"अथवा")</f>
        <v>अथवा</v>
      </c>
      <c r="O156" s="4" t="str">
        <f>IFERROR(__xludf.DUMMYFUNCTION("GOOGLETRANSLATE(B156, ""en"", ""de"")"),"App gefährlich")</f>
        <v>App gefährlich</v>
      </c>
      <c r="P156" s="4" t="str">
        <f>IFERROR(__xludf.DUMMYFUNCTION("GOOGLETRANSLATE(B156, ""en"", ""he"")"),"מסוכן מסוכן")</f>
        <v>מסוכן מסוכן</v>
      </c>
      <c r="Q156" s="4" t="str">
        <f>IFERROR(__xludf.DUMMYFUNCTION("GOOGLETRANSLATE(B156, ""en"", ""cs"")"),"Aplikace nebezpečná")</f>
        <v>Aplikace nebezpečná</v>
      </c>
      <c r="R156" s="4" t="str">
        <f>IFERROR(__xludf.DUMMYFUNCTION("GOOGLETRANSLATE(B156, ""en"", ""it"")"),"App pericolosa")</f>
        <v>App pericolosa</v>
      </c>
      <c r="S156" s="4" t="str">
        <f>IFERROR(__xludf.DUMMYFUNCTION("GOOGLETRANSLATE(B156, ""en"", ""el"")"),"Εφαρμογή επικίνδυνων")</f>
        <v>Εφαρμογή επικίνδυνων</v>
      </c>
    </row>
    <row r="157" ht="15.75" customHeight="1">
      <c r="A157" s="4" t="s">
        <v>327</v>
      </c>
      <c r="B157" s="4" t="s">
        <v>328</v>
      </c>
      <c r="C157" s="4" t="str">
        <f>IFERROR(__xludf.DUMMYFUNCTION("GOOGLETRANSLATE(B157, ""en"", ""es"")"),"Soporte de usuario prioritario")</f>
        <v>Soporte de usuario prioritario</v>
      </c>
      <c r="D157" s="4" t="str">
        <f>IFERROR(__xludf.DUMMYFUNCTION("GOOGLETRANSLATE(B157, ""en"", ""pt"")"),"Suporte ao usuário prioritário")</f>
        <v>Suporte ao usuário prioritário</v>
      </c>
      <c r="E157" s="4" t="str">
        <f>IFERROR(__xludf.DUMMYFUNCTION("GOOGLETRANSLATE(B157, ""en"", ""ar"")"),"دعم المستخدم الأولوية")</f>
        <v>دعم المستخدم الأولوية</v>
      </c>
      <c r="F157" s="4" t="str">
        <f>IFERROR(__xludf.DUMMYFUNCTION("GOOGLETRANSLATE(B157, ""en"", ""km"")"),"ការគាំទ្ររបស់អ្នកប្រើប្រាស់អាទិភាព")</f>
        <v>ការគាំទ្ររបស់អ្នកប្រើប្រាស់អាទិភាព</v>
      </c>
      <c r="G157" s="4" t="str">
        <f>IFERROR(__xludf.DUMMYFUNCTION("GOOGLETRANSLATE(B157, ""en"", ""fr"")"),"Support utilisateur prioritaire")</f>
        <v>Support utilisateur prioritaire</v>
      </c>
      <c r="H157" s="4" t="str">
        <f>IFERROR(__xludf.DUMMYFUNCTION("GOOGLETRANSLATE(B157, ""en"", ""ro"")"),"Suport pentru utilizator prioritar")</f>
        <v>Suport pentru utilizator prioritar</v>
      </c>
      <c r="I157" s="4" t="str">
        <f>IFERROR(__xludf.DUMMYFUNCTION("GOOGLETRANSLATE(B157, ""en"", ""my"")"),"ဦး စားပေးအသုံးပြုသူပံ့ပိုးမှု")</f>
        <v>ဦး စားပေးအသုံးပြုသူပံ့ပိုးမှု</v>
      </c>
      <c r="J157" s="4" t="str">
        <f>IFERROR(__xludf.DUMMYFUNCTION("GOOGLETRANSLATE(B157, ""en"", ""sw"")"),"Msaada wa mtumiaji wa kipaumbele")</f>
        <v>Msaada wa mtumiaji wa kipaumbele</v>
      </c>
      <c r="K157" s="4" t="str">
        <f>IFERROR(__xludf.DUMMYFUNCTION("GOOGLETRANSLATE(B157, ""en"", ""th"")"),"การสนับสนุนผู้ใช้ลำดับความสำคัญ")</f>
        <v>การสนับสนุนผู้ใช้ลำดับความสำคัญ</v>
      </c>
      <c r="L157" s="4" t="str">
        <f>IFERROR(__xludf.DUMMYFUNCTION("GOOGLETRANSLATE(B157, ""en"", ""si"")"),"ප්රමුඛතා පරිශීලක සහාය")</f>
        <v>ප්රමුඛතා පරිශීලක සහාය</v>
      </c>
      <c r="M157" s="4" t="str">
        <f>IFERROR(__xludf.DUMMYFUNCTION("GOOGLETRANSLATE(B157, ""en"", ""vi"")"),"Hỗ trợ người dùng ưu tiên")</f>
        <v>Hỗ trợ người dùng ưu tiên</v>
      </c>
      <c r="N157" s="4" t="str">
        <f>IFERROR(__xludf.DUMMYFUNCTION("GOOGLETRANSLATE(B157, ""en"", ""ne"")"),"प्राथमिकता प्रयोगकर्ता समर्थन")</f>
        <v>प्राथमिकता प्रयोगकर्ता समर्थन</v>
      </c>
      <c r="O157" s="4" t="str">
        <f>IFERROR(__xludf.DUMMYFUNCTION("GOOGLETRANSLATE(B157, ""en"", ""de"")"),"Prioritätsbenutzerunterstützung.")</f>
        <v>Prioritätsbenutzerunterstützung.</v>
      </c>
      <c r="P157" s="4" t="str">
        <f>IFERROR(__xludf.DUMMYFUNCTION("GOOGLETRANSLATE(B157, ""en"", ""he"")"),"תמיכת משתמש עדיפות")</f>
        <v>תמיכת משתמש עדיפות</v>
      </c>
      <c r="Q157" s="4" t="str">
        <f>IFERROR(__xludf.DUMMYFUNCTION("GOOGLETRANSLATE(B157, ""en"", ""cs"")"),"Prioritní uživatelská podpora")</f>
        <v>Prioritní uživatelská podpora</v>
      </c>
      <c r="R157" s="4" t="str">
        <f>IFERROR(__xludf.DUMMYFUNCTION("GOOGLETRANSLATE(B157, ""en"", ""it"")"),"Supporto per utente prioritario")</f>
        <v>Supporto per utente prioritario</v>
      </c>
      <c r="S157" s="4" t="str">
        <f>IFERROR(__xludf.DUMMYFUNCTION("GOOGLETRANSLATE(B157, ""en"", ""el"")"),"Υποστήριξη χρήστη προτεραιότητας")</f>
        <v>Υποστήριξη χρήστη προτεραιότητας</v>
      </c>
    </row>
    <row r="158" ht="15.75" customHeight="1">
      <c r="A158" s="4" t="s">
        <v>329</v>
      </c>
      <c r="B158" s="4" t="s">
        <v>330</v>
      </c>
      <c r="C158" s="4" t="str">
        <f>IFERROR(__xludf.DUMMYFUNCTION("GOOGLETRANSLATE(B158, ""en"", ""es"")"),"Optimiza ahora")</f>
        <v>Optimiza ahora</v>
      </c>
      <c r="D158" s="4" t="str">
        <f>IFERROR(__xludf.DUMMYFUNCTION("GOOGLETRANSLATE(B158, ""en"", ""pt"")"),"Otimize agora")</f>
        <v>Otimize agora</v>
      </c>
      <c r="E158" s="4" t="str">
        <f>IFERROR(__xludf.DUMMYFUNCTION("GOOGLETRANSLATE(B158, ""en"", ""ar"")"),"تحسين الآن")</f>
        <v>تحسين الآن</v>
      </c>
      <c r="F158" s="4" t="str">
        <f>IFERROR(__xludf.DUMMYFUNCTION("GOOGLETRANSLATE(B158, ""en"", ""km"")"),"បង្កើនប្រសិទ្ធភាពឥឡូវនេះ")</f>
        <v>បង្កើនប្រសិទ្ធភាពឥឡូវនេះ</v>
      </c>
      <c r="G158" s="4" t="str">
        <f>IFERROR(__xludf.DUMMYFUNCTION("GOOGLETRANSLATE(B158, ""en"", ""fr"")"),"Optimiser maintenant")</f>
        <v>Optimiser maintenant</v>
      </c>
      <c r="H158" s="4" t="str">
        <f>IFERROR(__xludf.DUMMYFUNCTION("GOOGLETRANSLATE(B158, ""en"", ""ro"")"),"Optimizați acum")</f>
        <v>Optimizați acum</v>
      </c>
      <c r="I158" s="4" t="str">
        <f>IFERROR(__xludf.DUMMYFUNCTION("GOOGLETRANSLATE(B158, ""en"", ""my"")"),"ယခု optimize")</f>
        <v>ယခု optimize</v>
      </c>
      <c r="J158" s="4" t="str">
        <f>IFERROR(__xludf.DUMMYFUNCTION("GOOGLETRANSLATE(B158, ""en"", ""sw"")"),"Ongeza Sasa")</f>
        <v>Ongeza Sasa</v>
      </c>
      <c r="K158" s="4" t="str">
        <f>IFERROR(__xludf.DUMMYFUNCTION("GOOGLETRANSLATE(B158, ""en"", ""th"")"),"เพิ่มประสิทธิภาพทันที")</f>
        <v>เพิ่มประสิทธิภาพทันที</v>
      </c>
      <c r="L158" s="4" t="str">
        <f>IFERROR(__xludf.DUMMYFUNCTION("GOOGLETRANSLATE(B158, ""en"", ""si"")"),"දැන් ප්රශස්තිකරණය කරන්න")</f>
        <v>දැන් ප්රශස්තිකරණය කරන්න</v>
      </c>
      <c r="M158" s="4" t="str">
        <f>IFERROR(__xludf.DUMMYFUNCTION("GOOGLETRANSLATE(B158, ""en"", ""vi"")"),"Tối ưu hóa ngay bây giờ")</f>
        <v>Tối ưu hóa ngay bây giờ</v>
      </c>
      <c r="N158" s="4" t="str">
        <f>IFERROR(__xludf.DUMMYFUNCTION("GOOGLETRANSLATE(B158, ""en"", ""ne"")"),"अब अप्टिमाइज गर्नुहोस्")</f>
        <v>अब अप्टिमाइज गर्नुहोस्</v>
      </c>
      <c r="O158" s="4" t="str">
        <f>IFERROR(__xludf.DUMMYFUNCTION("GOOGLETRANSLATE(B158, ""en"", ""de"")"),"Jetzt optimieren")</f>
        <v>Jetzt optimieren</v>
      </c>
      <c r="P158" s="4" t="str">
        <f>IFERROR(__xludf.DUMMYFUNCTION("GOOGLETRANSLATE(B158, ""en"", ""he"")"),"כן אחי")</f>
        <v>כן אחי</v>
      </c>
      <c r="Q158" s="4" t="str">
        <f>IFERROR(__xludf.DUMMYFUNCTION("GOOGLETRANSLATE(B158, ""en"", ""cs"")"),"Optimalizovat nyní")</f>
        <v>Optimalizovat nyní</v>
      </c>
      <c r="R158" s="4" t="str">
        <f>IFERROR(__xludf.DUMMYFUNCTION("GOOGLETRANSLATE(B158, ""en"", ""it"")"),"Ottimizza ora")</f>
        <v>Ottimizza ora</v>
      </c>
      <c r="S158" s="4" t="str">
        <f>IFERROR(__xludf.DUMMYFUNCTION("GOOGLETRANSLATE(B158, ""en"", ""el"")"),"Βελτιστοποιήστε τώρα")</f>
        <v>Βελτιστοποιήστε τώρα</v>
      </c>
    </row>
    <row r="159" ht="15.75" customHeight="1">
      <c r="A159" s="4" t="s">
        <v>331</v>
      </c>
      <c r="B159" s="4" t="s">
        <v>332</v>
      </c>
      <c r="C159" s="4" t="str">
        <f>IFERROR(__xludf.DUMMYFUNCTION("GOOGLETRANSLATE(B159, ""en"", ""es"")"),"Carga rápida impulsada")</f>
        <v>Carga rápida impulsada</v>
      </c>
      <c r="D159" s="4" t="str">
        <f>IFERROR(__xludf.DUMMYFUNCTION("GOOGLETRANSLATE(B159, ""en"", ""pt"")"),"Carregamento rápido impulsionado")</f>
        <v>Carregamento rápido impulsionado</v>
      </c>
      <c r="E159" s="4" t="str">
        <f>IFERROR(__xludf.DUMMYFUNCTION("GOOGLETRANSLATE(B159, ""en"", ""ar"")"),"شحن سريع تعزيز")</f>
        <v>شحن سريع تعزيز</v>
      </c>
      <c r="F159" s="4" t="str">
        <f>IFERROR(__xludf.DUMMYFUNCTION("GOOGLETRANSLATE(B159, ""en"", ""km"")"),"ជំរុញការសាកថ្មរហ័ស")</f>
        <v>ជំរុញការសាកថ្មរហ័ស</v>
      </c>
      <c r="G159" s="4" t="str">
        <f>IFERROR(__xludf.DUMMYFUNCTION("GOOGLETRANSLATE(B159, ""en"", ""fr"")"),"Charge rapide boosté")</f>
        <v>Charge rapide boosté</v>
      </c>
      <c r="H159" s="4" t="str">
        <f>IFERROR(__xludf.DUMMYFUNCTION("GOOGLETRANSLATE(B159, ""en"", ""ro"")"),"Încărcare rapidă a stimulat-o")</f>
        <v>Încărcare rapidă a stimulat-o</v>
      </c>
      <c r="I159" s="4" t="str">
        <f>IFERROR(__xludf.DUMMYFUNCTION("GOOGLETRANSLATE(B159, ""en"", ""my"")"),"အစာရှောင်ခြင်းအားသွင်းတိုးမြှင့်")</f>
        <v>အစာရှောင်ခြင်းအားသွင်းတိုးမြှင့်</v>
      </c>
      <c r="J159" s="4" t="str">
        <f>IFERROR(__xludf.DUMMYFUNCTION("GOOGLETRANSLATE(B159, ""en"", ""sw"")"),"Malipo ya haraka yameongezeka")</f>
        <v>Malipo ya haraka yameongezeka</v>
      </c>
      <c r="K159" s="4" t="str">
        <f>IFERROR(__xludf.DUMMYFUNCTION("GOOGLETRANSLATE(B159, ""en"", ""th"")"),"การชาร์จอย่างรวดเร็วเพิ่มขึ้น")</f>
        <v>การชาร์จอย่างรวดเร็วเพิ่มขึ้น</v>
      </c>
      <c r="L159" s="4" t="str">
        <f>IFERROR(__xludf.DUMMYFUNCTION("GOOGLETRANSLATE(B159, ""en"", ""si"")"),"වේගවත් ආරෝපණය ඉහළ නැංවීම")</f>
        <v>වේගවත් ආරෝපණය ඉහළ නැංවීම</v>
      </c>
      <c r="M159" s="4" t="str">
        <f>IFERROR(__xludf.DUMMYFUNCTION("GOOGLETRANSLATE(B159, ""en"", ""vi"")"),"Sạc nhanh Boosted.")</f>
        <v>Sạc nhanh Boosted.</v>
      </c>
      <c r="N159" s="4" t="str">
        <f>IFERROR(__xludf.DUMMYFUNCTION("GOOGLETRANSLATE(B159, ""en"", ""ne"")"),"द्रुत चार्ज बढाइयो")</f>
        <v>द्रुत चार्ज बढाइयो</v>
      </c>
      <c r="O159" s="4" t="str">
        <f>IFERROR(__xludf.DUMMYFUNCTION("GOOGLETRANSLATE(B159, ""en"", ""de"")"),"Schnelle Aufladung stärkt")</f>
        <v>Schnelle Aufladung stärkt</v>
      </c>
      <c r="P159" s="4" t="str">
        <f>IFERROR(__xludf.DUMMYFUNCTION("GOOGLETRANSLATE(B159, ""en"", ""he"")"),"טעינה מהירה שופעה")</f>
        <v>טעינה מהירה שופעה</v>
      </c>
      <c r="Q159" s="4" t="str">
        <f>IFERROR(__xludf.DUMMYFUNCTION("GOOGLETRANSLATE(B159, ""en"", ""cs"")"),"Rychlé nabíjení Boosted.")</f>
        <v>Rychlé nabíjení Boosted.</v>
      </c>
      <c r="R159" s="4" t="str">
        <f>IFERROR(__xludf.DUMMYFUNCTION("GOOGLETRANSLATE(B159, ""en"", ""it"")"),"Carica veloce potenziata")</f>
        <v>Carica veloce potenziata</v>
      </c>
      <c r="S159" s="4" t="str">
        <f>IFERROR(__xludf.DUMMYFUNCTION("GOOGLETRANSLATE(B159, ""en"", ""el"")"),"Γρήγορη φόρτιση ενισχυμένη")</f>
        <v>Γρήγορη φόρτιση ενισχυμένη</v>
      </c>
    </row>
    <row r="160" ht="15.75" customHeight="1">
      <c r="A160" s="4" t="s">
        <v>333</v>
      </c>
      <c r="B160" s="4" t="s">
        <v>334</v>
      </c>
      <c r="C160" s="4" t="str">
        <f>IFERROR(__xludf.DUMMYFUNCTION("GOOGLETRANSLATE(B160, ""en"", ""es"")"),"Juega juegos más rápido al aumentar su velocidad de memoria")</f>
        <v>Juega juegos más rápido al aumentar su velocidad de memoria</v>
      </c>
      <c r="D160" s="4" t="str">
        <f>IFERROR(__xludf.DUMMYFUNCTION("GOOGLETRANSLATE(B160, ""en"", ""pt"")"),"Jogar jogos mais rápido, aumentando sua velocidade de memória")</f>
        <v>Jogar jogos mais rápido, aumentando sua velocidade de memória</v>
      </c>
      <c r="E160" s="4" t="str">
        <f>IFERROR(__xludf.DUMMYFUNCTION("GOOGLETRANSLATE(B160, ""en"", ""ar"")"),"لعب الألعاب بشكل أسرع عن طريق زيادة سرعة ذاكرة الخاص بك")</f>
        <v>لعب الألعاب بشكل أسرع عن طريق زيادة سرعة ذاكرة الخاص بك</v>
      </c>
      <c r="F160" s="4" t="str">
        <f>IFERROR(__xludf.DUMMYFUNCTION("GOOGLETRANSLATE(B160, ""en"", ""km"")"),"លេងល្បែងលឿនជាងមុនដោយបង្កើនល្បឿនសតិរបស់អ្នក")</f>
        <v>លេងល្បែងលឿនជាងមុនដោយបង្កើនល្បឿនសតិរបស់អ្នក</v>
      </c>
      <c r="G160" s="4" t="str">
        <f>IFERROR(__xludf.DUMMYFUNCTION("GOOGLETRANSLATE(B160, ""en"", ""fr"")"),"Jouer à des jeux plus rapidement en augmentant la vitesse de votre mémoire")</f>
        <v>Jouer à des jeux plus rapidement en augmentant la vitesse de votre mémoire</v>
      </c>
      <c r="H160" s="4" t="str">
        <f>IFERROR(__xludf.DUMMYFUNCTION("GOOGLETRANSLATE(B160, ""en"", ""ro"")"),"Joacă jocuri mai repede prin creșterea vitezei de memorie")</f>
        <v>Joacă jocuri mai repede prin creșterea vitezei de memorie</v>
      </c>
      <c r="I160" s="4" t="str">
        <f>IFERROR(__xludf.DUMMYFUNCTION("GOOGLETRANSLATE(B160, ""en"", ""my"")"),"သင်၏မှတ်ဉာဏ်အမြန်နှုန်းကိုတိုးမြှင့်ခြင်းဖြင့်ဂိမ်းများကိုပိုမိုမြန်ဆန်စွာကစားပါ")</f>
        <v>သင်၏မှတ်ဉာဏ်အမြန်နှုန်းကိုတိုးမြှင့်ခြင်းဖြင့်ဂိမ်းများကိုပိုမိုမြန်ဆန်စွာကစားပါ</v>
      </c>
      <c r="J160" s="4" t="str">
        <f>IFERROR(__xludf.DUMMYFUNCTION("GOOGLETRANSLATE(B160, ""en"", ""sw"")"),"Jaribu michezo kwa kasi kwa kuongeza kasi ya kumbukumbu yako")</f>
        <v>Jaribu michezo kwa kasi kwa kuongeza kasi ya kumbukumbu yako</v>
      </c>
      <c r="K160" s="4" t="str">
        <f>IFERROR(__xludf.DUMMYFUNCTION("GOOGLETRANSLATE(B160, ""en"", ""th"")"),"เล่นเกมได้เร็วขึ้นโดยเพิ่มความเร็วในหน่วยความจำของคุณ")</f>
        <v>เล่นเกมได้เร็วขึ้นโดยเพิ่มความเร็วในหน่วยความจำของคุณ</v>
      </c>
      <c r="L160" s="4" t="str">
        <f>IFERROR(__xludf.DUMMYFUNCTION("GOOGLETRANSLATE(B160, ""en"", ""si"")"),"ඔබේ මතක වේගය වැඩි කිරීමෙන් ක්රීඩා වේගයෙන් ක්රීඩා කරන්න")</f>
        <v>ඔබේ මතක වේගය වැඩි කිරීමෙන් ක්රීඩා වේගයෙන් ක්රීඩා කරන්න</v>
      </c>
      <c r="M160" s="4" t="str">
        <f>IFERROR(__xludf.DUMMYFUNCTION("GOOGLETRANSLATE(B160, ""en"", ""vi"")"),"Chơi trò chơi nhanh hơn bằng cách tăng tốc độ bộ nhớ của bạn")</f>
        <v>Chơi trò chơi nhanh hơn bằng cách tăng tốc độ bộ nhớ của bạn</v>
      </c>
      <c r="N160" s="4" t="str">
        <f>IFERROR(__xludf.DUMMYFUNCTION("GOOGLETRANSLATE(B160, ""en"", ""ne"")"),"तपाईंको मेमोरी गति बढाउँदै खेलहरू छिटो खेल्नुहोस्")</f>
        <v>तपाईंको मेमोरी गति बढाउँदै खेलहरू छिटो खेल्नुहोस्</v>
      </c>
      <c r="O160" s="4" t="str">
        <f>IFERROR(__xludf.DUMMYFUNCTION("GOOGLETRANSLATE(B160, ""en"", ""de"")"),"Spielen Sie Spiele schneller, indem Sie Ihre Speichergeschwindigkeit erhöhen")</f>
        <v>Spielen Sie Spiele schneller, indem Sie Ihre Speichergeschwindigkeit erhöhen</v>
      </c>
      <c r="P160" s="4" t="str">
        <f>IFERROR(__xludf.DUMMYFUNCTION("GOOGLETRANSLATE(B160, ""en"", ""he"")"),"שחק משחקים מהר יותר על ידי הגדלת מהירות הזיכרון שלך")</f>
        <v>שחק משחקים מהר יותר על ידי הגדלת מהירות הזיכרון שלך</v>
      </c>
      <c r="Q160" s="4" t="str">
        <f>IFERROR(__xludf.DUMMYFUNCTION("GOOGLETRANSLATE(B160, ""en"", ""cs"")"),"Hrát hry rychleji zvyšováním rychlosti paměti")</f>
        <v>Hrát hry rychleji zvyšováním rychlosti paměti</v>
      </c>
      <c r="R160" s="4" t="str">
        <f>IFERROR(__xludf.DUMMYFUNCTION("GOOGLETRANSLATE(B160, ""en"", ""it"")"),"Gioca a Games più velocemente aumentando la velocità della memoria")</f>
        <v>Gioca a Games più velocemente aumentando la velocità della memoria</v>
      </c>
      <c r="S160" s="4" t="str">
        <f>IFERROR(__xludf.DUMMYFUNCTION("GOOGLETRANSLATE(B160, ""en"", ""el"")"),"Παίξτε τα παιχνίδια πιο γρήγορα αυξάνοντας την ταχύτητα μνήμης")</f>
        <v>Παίξτε τα παιχνίδια πιο γρήγορα αυξάνοντας την ταχύτητα μνήμης</v>
      </c>
    </row>
    <row r="161" ht="15.75" customHeight="1">
      <c r="A161" s="4" t="s">
        <v>335</v>
      </c>
      <c r="B161" s="4" t="s">
        <v>336</v>
      </c>
      <c r="C161" s="4" t="str">
        <f>IFERROR(__xludf.DUMMYFUNCTION("GOOGLETRANSLATE(B161, ""en"", ""es"")"),"Ignorar")</f>
        <v>Ignorar</v>
      </c>
      <c r="D161" s="4" t="str">
        <f>IFERROR(__xludf.DUMMYFUNCTION("GOOGLETRANSLATE(B161, ""en"", ""pt"")"),"Ignorar")</f>
        <v>Ignorar</v>
      </c>
      <c r="E161" s="4" t="str">
        <f>IFERROR(__xludf.DUMMYFUNCTION("GOOGLETRANSLATE(B161, ""en"", ""ar"")"),"يتجاهل")</f>
        <v>يتجاهل</v>
      </c>
      <c r="F161" s="4" t="str">
        <f>IFERROR(__xludf.DUMMYFUNCTION("GOOGLETRANSLATE(B161, ""en"", ""km"")"),"មិនអើបើ")</f>
        <v>មិនអើបើ</v>
      </c>
      <c r="G161" s="4" t="str">
        <f>IFERROR(__xludf.DUMMYFUNCTION("GOOGLETRANSLATE(B161, ""en"", ""fr"")"),"Ignorer")</f>
        <v>Ignorer</v>
      </c>
      <c r="H161" s="4" t="str">
        <f>IFERROR(__xludf.DUMMYFUNCTION("GOOGLETRANSLATE(B161, ""en"", ""ro"")"),"Ignora")</f>
        <v>Ignora</v>
      </c>
      <c r="I161" s="4" t="str">
        <f>IFERROR(__xludf.DUMMYFUNCTION("GOOGLETRANSLATE(B161, ""en"", ""my"")"),"ဂရုမပြု")</f>
        <v>ဂရုမပြု</v>
      </c>
      <c r="J161" s="4" t="str">
        <f>IFERROR(__xludf.DUMMYFUNCTION("GOOGLETRANSLATE(B161, ""en"", ""sw"")"),"Kupuuza")</f>
        <v>Kupuuza</v>
      </c>
      <c r="K161" s="4" t="str">
        <f>IFERROR(__xludf.DUMMYFUNCTION("GOOGLETRANSLATE(B161, ""en"", ""th"")"),"ไม่สนใจ")</f>
        <v>ไม่สนใจ</v>
      </c>
      <c r="L161" s="4" t="str">
        <f>IFERROR(__xludf.DUMMYFUNCTION("GOOGLETRANSLATE(B161, ""en"", ""si"")"),"නොසලකා හරිනවා")</f>
        <v>නොසලකා හරිනවා</v>
      </c>
      <c r="M161" s="4" t="str">
        <f>IFERROR(__xludf.DUMMYFUNCTION("GOOGLETRANSLATE(B161, ""en"", ""vi"")"),"Phớt lờ")</f>
        <v>Phớt lờ</v>
      </c>
      <c r="N161" s="4" t="str">
        <f>IFERROR(__xludf.DUMMYFUNCTION("GOOGLETRANSLATE(B161, ""en"", ""ne"")"),"ध्यान नदिनु")</f>
        <v>ध्यान नदिनु</v>
      </c>
      <c r="O161" s="4" t="str">
        <f>IFERROR(__xludf.DUMMYFUNCTION("GOOGLETRANSLATE(B161, ""en"", ""de"")"),"Ignorieren")</f>
        <v>Ignorieren</v>
      </c>
      <c r="P161" s="4" t="str">
        <f>IFERROR(__xludf.DUMMYFUNCTION("GOOGLETRANSLATE(B161, ""en"", ""he"")"),"להתעלם")</f>
        <v>להתעלם</v>
      </c>
      <c r="Q161" s="4" t="str">
        <f>IFERROR(__xludf.DUMMYFUNCTION("GOOGLETRANSLATE(B161, ""en"", ""cs"")"),"Ignorovat")</f>
        <v>Ignorovat</v>
      </c>
      <c r="R161" s="4" t="str">
        <f>IFERROR(__xludf.DUMMYFUNCTION("GOOGLETRANSLATE(B161, ""en"", ""it"")"),"Ignorare")</f>
        <v>Ignorare</v>
      </c>
      <c r="S161" s="4" t="str">
        <f>IFERROR(__xludf.DUMMYFUNCTION("GOOGLETRANSLATE(B161, ""en"", ""el"")"),"Αγνοώ")</f>
        <v>Αγνοώ</v>
      </c>
    </row>
    <row r="162" ht="15.75" customHeight="1">
      <c r="A162" s="4" t="s">
        <v>337</v>
      </c>
      <c r="B162" s="4" t="s">
        <v>338</v>
      </c>
      <c r="C162" s="4" t="str">
        <f>IFERROR(__xludf.DUMMYFUNCTION("GOOGLETRANSLATE(B162, ""en"", ""es"")"),"Enfriamiento completado!")</f>
        <v>Enfriamiento completado!</v>
      </c>
      <c r="D162" s="4" t="str">
        <f>IFERROR(__xludf.DUMMYFUNCTION("GOOGLETRANSLATE(B162, ""en"", ""pt"")"),"Refrigeração concluída!")</f>
        <v>Refrigeração concluída!</v>
      </c>
      <c r="E162" s="4" t="str">
        <f>IFERROR(__xludf.DUMMYFUNCTION("GOOGLETRANSLATE(B162, ""en"", ""ar"")"),"تبريد الانتهاء!")</f>
        <v>تبريد الانتهاء!</v>
      </c>
      <c r="F162" s="4" t="str">
        <f>IFERROR(__xludf.DUMMYFUNCTION("GOOGLETRANSLATE(B162, ""en"", ""km"")"),"ត្រជាក់បានបញ្ចប់!")</f>
        <v>ត្រជាក់បានបញ្ចប់!</v>
      </c>
      <c r="G162" s="4" t="str">
        <f>IFERROR(__xludf.DUMMYFUNCTION("GOOGLETRANSLATE(B162, ""en"", ""fr"")"),"Refroidissement terminé!")</f>
        <v>Refroidissement terminé!</v>
      </c>
      <c r="H162" s="4" t="str">
        <f>IFERROR(__xludf.DUMMYFUNCTION("GOOGLETRANSLATE(B162, ""en"", ""ro"")"),"Răcirea finalizată!")</f>
        <v>Răcirea finalizată!</v>
      </c>
      <c r="I162" s="4" t="str">
        <f>IFERROR(__xludf.DUMMYFUNCTION("GOOGLETRANSLATE(B162, ""en"", ""my"")"),"အအေးပြီးစီးခဲ့!")</f>
        <v>အအေးပြီးစီးခဲ့!</v>
      </c>
      <c r="J162" s="4" t="str">
        <f>IFERROR(__xludf.DUMMYFUNCTION("GOOGLETRANSLATE(B162, ""en"", ""sw"")"),"Baridi imekamilika!")</f>
        <v>Baridi imekamilika!</v>
      </c>
      <c r="K162" s="4" t="str">
        <f>IFERROR(__xludf.DUMMYFUNCTION("GOOGLETRANSLATE(B162, ""en"", ""th"")"),"การระบายความร้อนเสร็จสมบูรณ์!")</f>
        <v>การระบายความร้อนเสร็จสมบูรณ์!</v>
      </c>
      <c r="L162" s="4" t="str">
        <f>IFERROR(__xludf.DUMMYFUNCTION("GOOGLETRANSLATE(B162, ""en"", ""si"")"),"සිසිලනය සම්පූර්ණයි!")</f>
        <v>සිසිලනය සම්පූර්ණයි!</v>
      </c>
      <c r="M162" s="4" t="str">
        <f>IFERROR(__xludf.DUMMYFUNCTION("GOOGLETRANSLATE(B162, ""en"", ""vi"")"),"Làm mát hoàn thành!")</f>
        <v>Làm mát hoàn thành!</v>
      </c>
      <c r="N162" s="4" t="str">
        <f>IFERROR(__xludf.DUMMYFUNCTION("GOOGLETRANSLATE(B162, ""en"", ""ne"")"),"चिसो")</f>
        <v>चिसो</v>
      </c>
      <c r="O162" s="4" t="str">
        <f>IFERROR(__xludf.DUMMYFUNCTION("GOOGLETRANSLATE(B162, ""en"", ""de"")"),"Kühlung abgeschlossen!")</f>
        <v>Kühlung abgeschlossen!</v>
      </c>
      <c r="P162" s="4" t="str">
        <f>IFERROR(__xludf.DUMMYFUNCTION("GOOGLETRANSLATE(B162, ""en"", ""he"")"),"קירור הושלם!")</f>
        <v>קירור הושלם!</v>
      </c>
      <c r="Q162" s="4" t="str">
        <f>IFERROR(__xludf.DUMMYFUNCTION("GOOGLETRANSLATE(B162, ""en"", ""cs"")"),"Chlazení dokončeno!")</f>
        <v>Chlazení dokončeno!</v>
      </c>
      <c r="R162" s="4" t="str">
        <f>IFERROR(__xludf.DUMMYFUNCTION("GOOGLETRANSLATE(B162, ""en"", ""it"")"),"Raffreddamento completato!")</f>
        <v>Raffreddamento completato!</v>
      </c>
      <c r="S162" s="4" t="str">
        <f>IFERROR(__xludf.DUMMYFUNCTION("GOOGLETRANSLATE(B162, ""en"", ""el"")"),"Η ψύξη ολοκληρώθηκε!")</f>
        <v>Η ψύξη ολοκληρώθηκε!</v>
      </c>
    </row>
    <row r="163" ht="15.75" customHeight="1">
      <c r="A163" s="4" t="s">
        <v>339</v>
      </c>
      <c r="B163" s="4" t="s">
        <v>340</v>
      </c>
      <c r="C163" s="4" t="str">
        <f>IFERROR(__xludf.DUMMYFUNCTION("GOOGLETRANSLATE(B163, ""en"", ""es"")"),"CPU Cooler")</f>
        <v>CPU Cooler</v>
      </c>
      <c r="D163" s="4" t="str">
        <f>IFERROR(__xludf.DUMMYFUNCTION("GOOGLETRANSLATE(B163, ""en"", ""pt"")"),"Cooler da CPU.")</f>
        <v>Cooler da CPU.</v>
      </c>
      <c r="E163" s="4" t="str">
        <f>IFERROR(__xludf.DUMMYFUNCTION("GOOGLETRANSLATE(B163, ""en"", ""ar"")"),"وحدة المعالجة المركزية برودة")</f>
        <v>وحدة المعالجة المركزية برودة</v>
      </c>
      <c r="F163" s="4" t="str">
        <f>IFERROR(__xludf.DUMMYFUNCTION("GOOGLETRANSLATE(B163, ""en"", ""km"")"),"ស៊ីភីយូត្រជាក់ជាង")</f>
        <v>ស៊ីភីយូត្រជាក់ជាង</v>
      </c>
      <c r="G163" s="4" t="str">
        <f>IFERROR(__xludf.DUMMYFUNCTION("GOOGLETRANSLATE(B163, ""en"", ""fr"")"),"Cpu refroidisseur")</f>
        <v>Cpu refroidisseur</v>
      </c>
      <c r="H163" s="4" t="str">
        <f>IFERROR(__xludf.DUMMYFUNCTION("GOOGLETRANSLATE(B163, ""en"", ""ro"")"),"CPU Cooler")</f>
        <v>CPU Cooler</v>
      </c>
      <c r="I163" s="4" t="str">
        <f>IFERROR(__xludf.DUMMYFUNCTION("GOOGLETRANSLATE(B163, ""en"", ""my"")"),"CPU အေး")</f>
        <v>CPU အေး</v>
      </c>
      <c r="J163" s="4" t="str">
        <f>IFERROR(__xludf.DUMMYFUNCTION("GOOGLETRANSLATE(B163, ""en"", ""sw"")"),"CPU Cooler.")</f>
        <v>CPU Cooler.</v>
      </c>
      <c r="K163" s="4" t="str">
        <f>IFERROR(__xludf.DUMMYFUNCTION("GOOGLETRANSLATE(B163, ""en"", ""th"")"),"cpu cooler")</f>
        <v>cpu cooler</v>
      </c>
      <c r="L163" s="4" t="str">
        <f>IFERROR(__xludf.DUMMYFUNCTION("GOOGLETRANSLATE(B163, ""en"", ""si"")"),"CPU සිසිලනය")</f>
        <v>CPU සිසිලනය</v>
      </c>
      <c r="M163" s="4" t="str">
        <f>IFERROR(__xludf.DUMMYFUNCTION("GOOGLETRANSLATE(B163, ""en"", ""vi"")"),"Cpu mát")</f>
        <v>Cpu mát</v>
      </c>
      <c r="N163" s="4" t="str">
        <f>IFERROR(__xludf.DUMMYFUNCTION("GOOGLETRANSLATE(B163, ""en"", ""ne"")"),"CPU कूलर")</f>
        <v>CPU कूलर</v>
      </c>
      <c r="O163" s="4" t="str">
        <f>IFERROR(__xludf.DUMMYFUNCTION("GOOGLETRANSLATE(B163, ""en"", ""de"")"),"CPU-Kühler")</f>
        <v>CPU-Kühler</v>
      </c>
      <c r="P163" s="4" t="str">
        <f>IFERROR(__xludf.DUMMYFUNCTION("GOOGLETRANSLATE(B163, ""en"", ""he"")"),"CPU Cooler.")</f>
        <v>CPU Cooler.</v>
      </c>
      <c r="Q163" s="4" t="str">
        <f>IFERROR(__xludf.DUMMYFUNCTION("GOOGLETRANSLATE(B163, ""en"", ""cs"")"),"CPU Cooler.")</f>
        <v>CPU Cooler.</v>
      </c>
      <c r="R163" s="4" t="str">
        <f>IFERROR(__xludf.DUMMYFUNCTION("GOOGLETRANSLATE(B163, ""en"", ""it"")"),"CPU Cooler.")</f>
        <v>CPU Cooler.</v>
      </c>
      <c r="S163" s="4" t="str">
        <f>IFERROR(__xludf.DUMMYFUNCTION("GOOGLETRANSLATE(B163, ""en"", ""el"")"),"Cpu cooler")</f>
        <v>Cpu cooler</v>
      </c>
    </row>
    <row r="164" ht="15.75" customHeight="1">
      <c r="A164" s="4" t="s">
        <v>341</v>
      </c>
      <c r="B164" s="4" t="s">
        <v>342</v>
      </c>
      <c r="C164" s="4" t="str">
        <f>IFERROR(__xludf.DUMMYFUNCTION("GOOGLETRANSLATE(B164, ""en"", ""es"")"),"Esta aplicación contiene virus.")</f>
        <v>Esta aplicación contiene virus.</v>
      </c>
      <c r="D164" s="4" t="str">
        <f>IFERROR(__xludf.DUMMYFUNCTION("GOOGLETRANSLATE(B164, ""en"", ""pt"")"),"Esta aplicação contém vírus")</f>
        <v>Esta aplicação contém vírus</v>
      </c>
      <c r="E164" s="4" t="str">
        <f>IFERROR(__xludf.DUMMYFUNCTION("GOOGLETRANSLATE(B164, ""en"", ""ar"")"),"يحتوي هذا التطبيق على فيروس")</f>
        <v>يحتوي هذا التطبيق على فيروس</v>
      </c>
      <c r="F164" s="4" t="str">
        <f>IFERROR(__xludf.DUMMYFUNCTION("GOOGLETRANSLATE(B164, ""en"", ""km"")"),"កម្មវិធីនេះផ្ទុកវីរុស")</f>
        <v>កម្មវិធីនេះផ្ទុកវីរុស</v>
      </c>
      <c r="G164" s="4" t="str">
        <f>IFERROR(__xludf.DUMMYFUNCTION("GOOGLETRANSLATE(B164, ""en"", ""fr"")"),"Cette application contient un virus")</f>
        <v>Cette application contient un virus</v>
      </c>
      <c r="H164" s="4" t="str">
        <f>IFERROR(__xludf.DUMMYFUNCTION("GOOGLETRANSLATE(B164, ""en"", ""ro"")"),"Această aplicație conține virus")</f>
        <v>Această aplicație conține virus</v>
      </c>
      <c r="I164" s="4" t="str">
        <f>IFERROR(__xludf.DUMMYFUNCTION("GOOGLETRANSLATE(B164, ""en"", ""my"")"),"ဤလျှောက်လွှာတွင်ဗိုင်းရပ်စ်ပါရှိသည်")</f>
        <v>ဤလျှောက်လွှာတွင်ဗိုင်းရပ်စ်ပါရှိသည်</v>
      </c>
      <c r="J164" s="4" t="str">
        <f>IFERROR(__xludf.DUMMYFUNCTION("GOOGLETRANSLATE(B164, ""en"", ""sw"")"),"Programu hii ina virusi.")</f>
        <v>Programu hii ina virusi.</v>
      </c>
      <c r="K164" s="4" t="str">
        <f>IFERROR(__xludf.DUMMYFUNCTION("GOOGLETRANSLATE(B164, ""en"", ""th"")"),"แอปพลิเคชั่นนี้มีไวรัส")</f>
        <v>แอปพลิเคชั่นนี้มีไวรัส</v>
      </c>
      <c r="L164" s="4" t="str">
        <f>IFERROR(__xludf.DUMMYFUNCTION("GOOGLETRANSLATE(B164, ""en"", ""si"")"),"මෙම යෙදුමේ වෛරසය අඩංගු වේ")</f>
        <v>මෙම යෙදුමේ වෛරසය අඩංගු වේ</v>
      </c>
      <c r="M164" s="4" t="str">
        <f>IFERROR(__xludf.DUMMYFUNCTION("GOOGLETRANSLATE(B164, ""en"", ""vi"")"),"Ứng dụng này chứa virus")</f>
        <v>Ứng dụng này chứa virus</v>
      </c>
      <c r="N164" s="4" t="str">
        <f>IFERROR(__xludf.DUMMYFUNCTION("GOOGLETRANSLATE(B164, ""en"", ""ne"")"),"यस अनुप्रयोगले भाइरस समावेश गर्दछ")</f>
        <v>यस अनुप्रयोगले भाइरस समावेश गर्दछ</v>
      </c>
      <c r="O164" s="4" t="str">
        <f>IFERROR(__xludf.DUMMYFUNCTION("GOOGLETRANSLATE(B164, ""en"", ""de"")"),"Diese Anwendung enthält Virus")</f>
        <v>Diese Anwendung enthält Virus</v>
      </c>
      <c r="P164" s="4" t="str">
        <f>IFERROR(__xludf.DUMMYFUNCTION("GOOGLETRANSLATE(B164, ""en"", ""he"")"),"יישום זה מכיל וירוס")</f>
        <v>יישום זה מכיל וירוס</v>
      </c>
      <c r="Q164" s="4" t="str">
        <f>IFERROR(__xludf.DUMMYFUNCTION("GOOGLETRANSLATE(B164, ""en"", ""cs"")"),"Tato aplikace obsahuje virus")</f>
        <v>Tato aplikace obsahuje virus</v>
      </c>
      <c r="R164" s="4" t="str">
        <f>IFERROR(__xludf.DUMMYFUNCTION("GOOGLETRANSLATE(B164, ""en"", ""it"")"),"Questa applicazione contiene virus")</f>
        <v>Questa applicazione contiene virus</v>
      </c>
      <c r="S164" s="4" t="str">
        <f>IFERROR(__xludf.DUMMYFUNCTION("GOOGLETRANSLATE(B164, ""en"", ""el"")"),"Αυτή η εφαρμογή περιέχει ιούς")</f>
        <v>Αυτή η εφαρμογή περιέχει ιούς</v>
      </c>
    </row>
    <row r="165" ht="15.75" customHeight="1">
      <c r="A165" s="4" t="s">
        <v>343</v>
      </c>
      <c r="B165" s="4" t="s">
        <v>344</v>
      </c>
      <c r="C165" s="4" t="str">
        <f>IFERROR(__xludf.DUMMYFUNCTION("GOOGLETRANSLATE(B165, ""en"", ""es"")"),"Mientras que la lista de escaneo")</f>
        <v>Mientras que la lista de escaneo</v>
      </c>
      <c r="D165" s="4" t="str">
        <f>IFERROR(__xludf.DUMMYFUNCTION("GOOGLETRANSLATE(B165, ""en"", ""pt"")"),"Enquanto lista digitalização")</f>
        <v>Enquanto lista digitalização</v>
      </c>
      <c r="E165" s="4" t="str">
        <f>IFERROR(__xludf.DUMMYFUNCTION("GOOGLETRANSLATE(B165, ""en"", ""ar"")"),"في حين أن قائمة المسح الضوئي")</f>
        <v>في حين أن قائمة المسح الضوئي</v>
      </c>
      <c r="F165" s="4" t="str">
        <f>IFERROR(__xludf.DUMMYFUNCTION("GOOGLETRANSLATE(B165, ""en"", ""km"")"),"ខណៈពេលដែលរាយការស្កេន")</f>
        <v>ខណៈពេលដែលរាយការស្កេន</v>
      </c>
      <c r="G165" s="4" t="str">
        <f>IFERROR(__xludf.DUMMYFUNCTION("GOOGLETRANSLATE(B165, ""en"", ""fr"")"),"En cas de numérisation de la liste")</f>
        <v>En cas de numérisation de la liste</v>
      </c>
      <c r="H165" s="4" t="str">
        <f>IFERROR(__xludf.DUMMYFUNCTION("GOOGLETRANSLATE(B165, ""en"", ""ro"")"),"În timp ce lista scanării")</f>
        <v>În timp ce lista scanării</v>
      </c>
      <c r="I165" s="4" t="str">
        <f>IFERROR(__xludf.DUMMYFUNCTION("GOOGLETRANSLATE(B165, ""en"", ""my"")"),"စာရင်း scan နေစဉ်")</f>
        <v>စာရင်း scan နေစဉ်</v>
      </c>
      <c r="J165" s="4" t="str">
        <f>IFERROR(__xludf.DUMMYFUNCTION("GOOGLETRANSLATE(B165, ""en"", ""sw"")"),"Wakati Orodha ya Scan.")</f>
        <v>Wakati Orodha ya Scan.</v>
      </c>
      <c r="K165" s="4" t="str">
        <f>IFERROR(__xludf.DUMMYFUNCTION("GOOGLETRANSLATE(B165, ""en"", ""th"")"),"ในขณะที่การสแกนรายการ")</f>
        <v>ในขณะที่การสแกนรายการ</v>
      </c>
      <c r="L165" s="4" t="str">
        <f>IFERROR(__xludf.DUMMYFUNCTION("GOOGLETRANSLATE(B165, ""en"", ""si"")"),"ලැයිස්තු ස්කෑන් කරන අතරතුර")</f>
        <v>ලැයිස්තු ස්කෑන් කරන අතරතුර</v>
      </c>
      <c r="M165" s="4" t="str">
        <f>IFERROR(__xludf.DUMMYFUNCTION("GOOGLETRANSLATE(B165, ""en"", ""vi"")"),"Trong khi liệt kê quét")</f>
        <v>Trong khi liệt kê quét</v>
      </c>
      <c r="N165" s="4" t="str">
        <f>IFERROR(__xludf.DUMMYFUNCTION("GOOGLETRANSLATE(B165, ""en"", ""ne"")"),"जबकि सूची स्क्यान")</f>
        <v>जबकि सूची स्क्यान</v>
      </c>
      <c r="O165" s="4" t="str">
        <f>IFERROR(__xludf.DUMMYFUNCTION("GOOGLETRANSLATE(B165, ""en"", ""de"")"),"Während des Listen Scan.")</f>
        <v>Während des Listen Scan.</v>
      </c>
      <c r="P165" s="4" t="str">
        <f>IFERROR(__xludf.DUMMYFUNCTION("GOOGLETRANSLATE(B165, ""en"", ""he"")"),"בעת רשימת סריקה")</f>
        <v>בעת רשימת סריקה</v>
      </c>
      <c r="Q165" s="4" t="str">
        <f>IFERROR(__xludf.DUMMYFUNCTION("GOOGLETRANSLATE(B165, ""en"", ""cs"")"),"Zatímco Seznam Scan.")</f>
        <v>Zatímco Seznam Scan.</v>
      </c>
      <c r="R165" s="4" t="str">
        <f>IFERROR(__xludf.DUMMYFUNCTION("GOOGLETRANSLATE(B165, ""en"", ""it"")"),"Durante la scansione dell'elenco")</f>
        <v>Durante la scansione dell'elenco</v>
      </c>
      <c r="S165" s="4" t="str">
        <f>IFERROR(__xludf.DUMMYFUNCTION("GOOGLETRANSLATE(B165, ""en"", ""el"")"),"Κατά τη σάρωση λίστας")</f>
        <v>Κατά τη σάρωση λίστας</v>
      </c>
    </row>
    <row r="166" ht="15.75" customHeight="1">
      <c r="A166" s="4" t="s">
        <v>345</v>
      </c>
      <c r="B166" s="4" t="s">
        <v>346</v>
      </c>
      <c r="C166" s="4" t="str">
        <f>IFERROR(__xludf.DUMMYFUNCTION("GOOGLETRANSLATE(B166, ""en"", ""es"")"),"La respuesta no puede en blanco")</f>
        <v>La respuesta no puede en blanco</v>
      </c>
      <c r="D166" s="4" t="str">
        <f>IFERROR(__xludf.DUMMYFUNCTION("GOOGLETRANSLATE(B166, ""en"", ""pt"")"),"Resposta não pode em branco")</f>
        <v>Resposta não pode em branco</v>
      </c>
      <c r="E166" s="4" t="str">
        <f>IFERROR(__xludf.DUMMYFUNCTION("GOOGLETRANSLATE(B166, ""en"", ""ar"")"),"الإجابة لا يمكن أن تكون فارغة")</f>
        <v>الإجابة لا يمكن أن تكون فارغة</v>
      </c>
      <c r="F166" s="4" t="str">
        <f>IFERROR(__xludf.DUMMYFUNCTION("GOOGLETRANSLATE(B166, ""en"", ""km"")"),"ចម្លើយមិនអាចនៅទទេបានទេ")</f>
        <v>ចម្លើយមិនអាចនៅទទេបានទេ</v>
      </c>
      <c r="G166" s="4" t="str">
        <f>IFERROR(__xludf.DUMMYFUNCTION("GOOGLETRANSLATE(B166, ""en"", ""fr"")"),"La réponse ne peut pas vide")</f>
        <v>La réponse ne peut pas vide</v>
      </c>
      <c r="H166" s="4" t="str">
        <f>IFERROR(__xludf.DUMMYFUNCTION("GOOGLETRANSLATE(B166, ""en"", ""ro"")"),"Răspunsul nu poate fi gol")</f>
        <v>Răspunsul nu poate fi gol</v>
      </c>
      <c r="I166" s="4" t="str">
        <f>IFERROR(__xludf.DUMMYFUNCTION("GOOGLETRANSLATE(B166, ""en"", ""my"")"),"အဖြေကိုကွက်လပ်မရနိုင်ပါ")</f>
        <v>အဖြေကိုကွက်လပ်မရနိုင်ပါ</v>
      </c>
      <c r="J166" s="4" t="str">
        <f>IFERROR(__xludf.DUMMYFUNCTION("GOOGLETRANSLATE(B166, ""en"", ""sw"")"),"Jibu hawezi tupu")</f>
        <v>Jibu hawezi tupu</v>
      </c>
      <c r="K166" s="4" t="str">
        <f>IFERROR(__xludf.DUMMYFUNCTION("GOOGLETRANSLATE(B166, ""en"", ""th"")"),"คำตอบไม่สามารถว่างเปล่า")</f>
        <v>คำตอบไม่สามารถว่างเปล่า</v>
      </c>
      <c r="L166" s="4" t="str">
        <f>IFERROR(__xludf.DUMMYFUNCTION("GOOGLETRANSLATE(B166, ""en"", ""si"")"),"පිළිතුර හිස් කළ නොහැක")</f>
        <v>පිළිතුර හිස් කළ නොහැක</v>
      </c>
      <c r="M166" s="4" t="str">
        <f>IFERROR(__xludf.DUMMYFUNCTION("GOOGLETRANSLATE(B166, ""en"", ""vi"")"),"Trả lời không thể để trống")</f>
        <v>Trả lời không thể để trống</v>
      </c>
      <c r="N166" s="4" t="str">
        <f>IFERROR(__xludf.DUMMYFUNCTION("GOOGLETRANSLATE(B166, ""en"", ""ne"")"),"उत्तर खाली गर्न सकिदैन")</f>
        <v>उत्तर खाली गर्न सकिदैन</v>
      </c>
      <c r="O166" s="4" t="str">
        <f>IFERROR(__xludf.DUMMYFUNCTION("GOOGLETRANSLATE(B166, ""en"", ""de"")"),"Antwort kann nicht leer sein")</f>
        <v>Antwort kann nicht leer sein</v>
      </c>
      <c r="P166" s="4" t="str">
        <f>IFERROR(__xludf.DUMMYFUNCTION("GOOGLETRANSLATE(B166, ""en"", ""he"")"),"התשובה אינה יכולה לבלוק")</f>
        <v>התשובה אינה יכולה לבלוק</v>
      </c>
      <c r="Q166" s="4" t="str">
        <f>IFERROR(__xludf.DUMMYFUNCTION("GOOGLETRANSLATE(B166, ""en"", ""cs"")"),"Odpověď nemůže prázdná")</f>
        <v>Odpověď nemůže prázdná</v>
      </c>
      <c r="R166" s="4" t="str">
        <f>IFERROR(__xludf.DUMMYFUNCTION("GOOGLETRANSLATE(B166, ""en"", ""it"")"),"La risposta non può vuota")</f>
        <v>La risposta non può vuota</v>
      </c>
      <c r="S166" s="4" t="str">
        <f>IFERROR(__xludf.DUMMYFUNCTION("GOOGLETRANSLATE(B166, ""en"", ""el"")"),"Η απάντηση δεν μπορεί να κενά")</f>
        <v>Η απάντηση δεν μπορεί να κενά</v>
      </c>
    </row>
    <row r="167" ht="15.75" customHeight="1">
      <c r="A167" s="4" t="s">
        <v>347</v>
      </c>
      <c r="B167" s="4" t="s">
        <v>348</v>
      </c>
      <c r="C167" s="4" t="str">
        <f>IFERROR(__xludf.DUMMYFUNCTION("GOOGLETRANSLATE(B167, ""en"", ""es"")"),"Puede hacer llamadas")</f>
        <v>Puede hacer llamadas</v>
      </c>
      <c r="D167" s="4" t="str">
        <f>IFERROR(__xludf.DUMMYFUNCTION("GOOGLETRANSLATE(B167, ""en"", ""pt"")"),"Pode fazer chamadas")</f>
        <v>Pode fazer chamadas</v>
      </c>
      <c r="E167" s="4" t="str">
        <f>IFERROR(__xludf.DUMMYFUNCTION("GOOGLETRANSLATE(B167, ""en"", ""ar"")"),"يمكن إجراء مكالمات")</f>
        <v>يمكن إجراء مكالمات</v>
      </c>
      <c r="F167" s="4" t="str">
        <f>IFERROR(__xludf.DUMMYFUNCTION("GOOGLETRANSLATE(B167, ""en"", ""km"")"),"អាចធ្វើការហៅទូរស័ព្ទបាន")</f>
        <v>អាចធ្វើការហៅទូរស័ព្ទបាន</v>
      </c>
      <c r="G167" s="4" t="str">
        <f>IFERROR(__xludf.DUMMYFUNCTION("GOOGLETRANSLATE(B167, ""en"", ""fr"")"),"Peut faire des appels")</f>
        <v>Peut faire des appels</v>
      </c>
      <c r="H167" s="4" t="str">
        <f>IFERROR(__xludf.DUMMYFUNCTION("GOOGLETRANSLATE(B167, ""en"", ""ro"")"),"Pot efectua apeluri")</f>
        <v>Pot efectua apeluri</v>
      </c>
      <c r="I167" s="4" t="str">
        <f>IFERROR(__xludf.DUMMYFUNCTION("GOOGLETRANSLATE(B167, ""en"", ""my"")"),"ခေါ်ဆိုမှုများပြုလုပ်နိုင်သည်")</f>
        <v>ခေါ်ဆိုမှုများပြုလုပ်နိုင်သည်</v>
      </c>
      <c r="J167" s="4" t="str">
        <f>IFERROR(__xludf.DUMMYFUNCTION("GOOGLETRANSLATE(B167, ""en"", ""sw"")"),"Inaweza kufanya wito")</f>
        <v>Inaweza kufanya wito</v>
      </c>
      <c r="K167" s="4" t="str">
        <f>IFERROR(__xludf.DUMMYFUNCTION("GOOGLETRANSLATE(B167, ""en"", ""th"")"),"สามารถโทรออก")</f>
        <v>สามารถโทรออก</v>
      </c>
      <c r="L167" s="4" t="str">
        <f>IFERROR(__xludf.DUMMYFUNCTION("GOOGLETRANSLATE(B167, ""en"", ""si"")"),"ඇමතුම් ලබා ගත හැකිය")</f>
        <v>ඇමතුම් ලබා ගත හැකිය</v>
      </c>
      <c r="M167" s="4" t="str">
        <f>IFERROR(__xludf.DUMMYFUNCTION("GOOGLETRANSLATE(B167, ""en"", ""vi"")"),"Có thể thực hiện cuộc gọi")</f>
        <v>Có thể thực hiện cuộc gọi</v>
      </c>
      <c r="N167" s="4" t="str">
        <f>IFERROR(__xludf.DUMMYFUNCTION("GOOGLETRANSLATE(B167, ""en"", ""ne"")"),"कल गर्न सक्नुहुन्छ")</f>
        <v>कल गर्न सक्नुहुन्छ</v>
      </c>
      <c r="O167" s="4" t="str">
        <f>IFERROR(__xludf.DUMMYFUNCTION("GOOGLETRANSLATE(B167, ""en"", ""de"")"),"Kann Anrufe tätigen")</f>
        <v>Kann Anrufe tätigen</v>
      </c>
      <c r="P167" s="4" t="str">
        <f>IFERROR(__xludf.DUMMYFUNCTION("GOOGLETRANSLATE(B167, ""en"", ""he"")"),"יכול לעשות שיחות")</f>
        <v>יכול לעשות שיחות</v>
      </c>
      <c r="Q167" s="4" t="str">
        <f>IFERROR(__xludf.DUMMYFUNCTION("GOOGLETRANSLATE(B167, ""en"", ""cs"")"),"Volání")</f>
        <v>Volání</v>
      </c>
      <c r="R167" s="4" t="str">
        <f>IFERROR(__xludf.DUMMYFUNCTION("GOOGLETRANSLATE(B167, ""en"", ""it"")"),"Può fare chiamate")</f>
        <v>Può fare chiamate</v>
      </c>
      <c r="S167" s="4" t="str">
        <f>IFERROR(__xludf.DUMMYFUNCTION("GOOGLETRANSLATE(B167, ""en"", ""el"")"),"Μπορεί να κάνει κλήσεις")</f>
        <v>Μπορεί να κάνει κλήσεις</v>
      </c>
    </row>
    <row r="168" ht="15.75" customHeight="1">
      <c r="A168" s="4" t="s">
        <v>349</v>
      </c>
      <c r="B168" s="4" t="s">
        <v>350</v>
      </c>
      <c r="C168" s="4" t="str">
        <f>IFERROR(__xludf.DUMMYFUNCTION("GOOGLETRANSLATE(B168, ""en"", ""es"")"),"Proteja sus aplicaciones deseadas de intrusos con un código de bloqueo o un código de desbloqueo")</f>
        <v>Proteja sus aplicaciones deseadas de intrusos con un código de bloqueo o un código de desbloqueo</v>
      </c>
      <c r="D168" s="4" t="str">
        <f>IFERROR(__xludf.DUMMYFUNCTION("GOOGLETRANSLATE(B168, ""en"", ""pt"")"),"Proteja seus aplicativos desejados de intrusos com um bloqueio de padrão ou código de desbloqueio")</f>
        <v>Proteja seus aplicativos desejados de intrusos com um bloqueio de padrão ou código de desbloqueio</v>
      </c>
      <c r="E168" s="4" t="str">
        <f>IFERROR(__xludf.DUMMYFUNCTION("GOOGLETRANSLATE(B168, ""en"", ""ar"")"),"حماية التطبيقات المرجوة الخاصة بك من المتسللين مع قفل نمط أو رمز فتح")</f>
        <v>حماية التطبيقات المرجوة الخاصة بك من المتسللين مع قفل نمط أو رمز فتح</v>
      </c>
      <c r="F168" s="4" t="str">
        <f>IFERROR(__xludf.DUMMYFUNCTION("GOOGLETRANSLATE(B168, ""en"", ""km"")"),"ការពារកម្មវិធីដែលអ្នកចង់បានពីអ្នកឈ្លានពានជាមួយនឹងការចាក់សោលំនាំឬកូដដោះសោលំនាំ")</f>
        <v>ការពារកម្មវិធីដែលអ្នកចង់បានពីអ្នកឈ្លានពានជាមួយនឹងការចាក់សោលំនាំឬកូដដោះសោលំនាំ</v>
      </c>
      <c r="G168" s="4" t="str">
        <f>IFERROR(__xludf.DUMMYFUNCTION("GOOGLETRANSLATE(B168, ""en"", ""fr"")"),"Protégez vos applications désirées des intrus avec un code de verrouillage de motif ou de déverrouillage")</f>
        <v>Protégez vos applications désirées des intrus avec un code de verrouillage de motif ou de déverrouillage</v>
      </c>
      <c r="H168" s="4" t="str">
        <f>IFERROR(__xludf.DUMMYFUNCTION("GOOGLETRANSLATE(B168, ""en"", ""ro"")"),"Protejați aplicațiile dorite de la intruși cu un cod de blocare a modelului sau un cod de deblocare")</f>
        <v>Protejați aplicațiile dorite de la intruși cu un cod de blocare a modelului sau un cod de deblocare</v>
      </c>
      <c r="I168" s="4" t="str">
        <f>IFERROR(__xludf.DUMMYFUNCTION("GOOGLETRANSLATE(B168, ""en"", ""my"")"),"သင်လိုချင်သောအက်ပ်များကိုကျူးကျော်သူများကိုပုံစံသော့ခတ်ခြင်းသို့မဟုတ်သော့ဖွင့်ကုဒ်များဖြင့်ကာကွယ်ပါ")</f>
        <v>သင်လိုချင်သောအက်ပ်များကိုကျူးကျော်သူများကိုပုံစံသော့ခတ်ခြင်းသို့မဟုတ်သော့ဖွင့်ကုဒ်များဖြင့်ကာကွယ်ပါ</v>
      </c>
      <c r="J168" s="4" t="str">
        <f>IFERROR(__xludf.DUMMYFUNCTION("GOOGLETRANSLATE(B168, ""en"", ""sw"")"),"Kulinda programu zako zinazohitajika kutoka kwa waingizaji na lock ya muundo au kufungua code")</f>
        <v>Kulinda programu zako zinazohitajika kutoka kwa waingizaji na lock ya muundo au kufungua code</v>
      </c>
      <c r="K168" s="4" t="str">
        <f>IFERROR(__xludf.DUMMYFUNCTION("GOOGLETRANSLATE(B168, ""en"", ""th"")"),"ปกป้องแอพที่คุณต้องการจากผู้บุกรุกด้วยการล็อครูปแบบหรือรหัสปลดล็อค")</f>
        <v>ปกป้องแอพที่คุณต้องการจากผู้บุกรุกด้วยการล็อครูปแบบหรือรหัสปลดล็อค</v>
      </c>
      <c r="L168" s="4" t="str">
        <f>IFERROR(__xludf.DUMMYFUNCTION("GOOGLETRANSLATE(B168, ""en"", ""si"")"),"ඔබේ අපේක්ෂිත යෙදුම් රටා අගුලක් හෝ අගුළු ඇරීමේ කේතයක් සහිත ආක්රමණිකයින්ගෙන් ආරක්ෂා කරන්න")</f>
        <v>ඔබේ අපේක්ෂිත යෙදුම් රටා අගුලක් හෝ අගුළු ඇරීමේ කේතයක් සහිත ආක්රමණිකයින්ගෙන් ආරක්ෂා කරන්න</v>
      </c>
      <c r="M168" s="4" t="str">
        <f>IFERROR(__xludf.DUMMYFUNCTION("GOOGLETRANSLATE(B168, ""en"", ""vi"")"),"Bảo vệ các ứng dụng mong muốn của bạn khỏi những kẻ xâm nhập bằng khóa mẫu hoặc mã mở khóa")</f>
        <v>Bảo vệ các ứng dụng mong muốn của bạn khỏi những kẻ xâm nhập bằng khóa mẫu hoặc mã mở khóa</v>
      </c>
      <c r="N168" s="4" t="str">
        <f>IFERROR(__xludf.DUMMYFUNCTION("GOOGLETRANSLATE(B168, ""en"", ""ne"")"),"एक ढाँचा लक वा अनलक कोडको साथ घुसपैठ गर्ने उपकरणहरूबाट तपाईंको इच्छित अनुप्रयोगहरूको रक्षा गर्नुहोस्")</f>
        <v>एक ढाँचा लक वा अनलक कोडको साथ घुसपैठ गर्ने उपकरणहरूबाट तपाईंको इच्छित अनुप्रयोगहरूको रक्षा गर्नुहोस्</v>
      </c>
      <c r="O168" s="4" t="str">
        <f>IFERROR(__xludf.DUMMYFUNCTION("GOOGLETRANSLATE(B168, ""en"", ""de"")"),"Schützen Sie Ihre gewünschten Apps vor Eindringlingen mit einem Musterschloss oder Entriegelungscode")</f>
        <v>Schützen Sie Ihre gewünschten Apps vor Eindringlingen mit einem Musterschloss oder Entriegelungscode</v>
      </c>
      <c r="P168" s="4" t="str">
        <f>IFERROR(__xludf.DUMMYFUNCTION("GOOGLETRANSLATE(B168, ""en"", ""he"")"),"הגן על האפליקציות הרצויות שלך מפני פולשים עם נעילת תבנית או נעילת קוד")</f>
        <v>הגן על האפליקציות הרצויות שלך מפני פולשים עם נעילת תבנית או נעילת קוד</v>
      </c>
      <c r="Q168" s="4" t="str">
        <f>IFERROR(__xludf.DUMMYFUNCTION("GOOGLETRANSLATE(B168, ""en"", ""cs"")"),"Chraňte své požadované aplikace před vetřelci se zámkem vzorku nebo odemknutím kódem")</f>
        <v>Chraňte své požadované aplikace před vetřelci se zámkem vzorku nebo odemknutím kódem</v>
      </c>
      <c r="R168" s="4" t="str">
        <f>IFERROR(__xludf.DUMMYFUNCTION("GOOGLETRANSLATE(B168, ""en"", ""it"")"),"Proteggi le app desiderate da intrusi con un blocco del modello o un codice di sblocco")</f>
        <v>Proteggi le app desiderate da intrusi con un blocco del modello o un codice di sblocco</v>
      </c>
      <c r="S168" s="4" t="str">
        <f>IFERROR(__xludf.DUMMYFUNCTION("GOOGLETRANSLATE(B168, ""en"", ""el"")"),"Προστατέψτε τις επιθυμητές εφαρμογές σας από εισβολείς με κλειδαριά μοτίβο ή κωδικό ξεκλειδώματος")</f>
        <v>Προστατέψτε τις επιθυμητές εφαρμογές σας από εισβολείς με κλειδαριά μοτίβο ή κωδικό ξεκλειδώματος</v>
      </c>
    </row>
    <row r="169" ht="15.75" customHeight="1">
      <c r="A169" s="4" t="s">
        <v>351</v>
      </c>
      <c r="B169" s="4" t="s">
        <v>352</v>
      </c>
      <c r="C169" s="4" t="str">
        <f>IFERROR(__xludf.DUMMYFUNCTION("GOOGLETRANSLATE(B169, ""en"", ""es"")"),"Realizar una limpieza")</f>
        <v>Realizar una limpieza</v>
      </c>
      <c r="D169" s="4" t="str">
        <f>IFERROR(__xludf.DUMMYFUNCTION("GOOGLETRANSLATE(B169, ""en"", ""pt"")"),"Realizar uma limpeza")</f>
        <v>Realizar uma limpeza</v>
      </c>
      <c r="E169" s="4" t="str">
        <f>IFERROR(__xludf.DUMMYFUNCTION("GOOGLETRANSLATE(B169, ""en"", ""ar"")"),"إجراء تنظيف")</f>
        <v>إجراء تنظيف</v>
      </c>
      <c r="F169" s="4" t="str">
        <f>IFERROR(__xludf.DUMMYFUNCTION("GOOGLETRANSLATE(B169, ""en"", ""km"")"),"ធ្វើការសម្អាតមួយ")</f>
        <v>ធ្វើការសម្អាតមួយ</v>
      </c>
      <c r="G169" s="4" t="str">
        <f>IFERROR(__xludf.DUMMYFUNCTION("GOOGLETRANSLATE(B169, ""en"", ""fr"")"),"Mener un nettoyage")</f>
        <v>Mener un nettoyage</v>
      </c>
      <c r="H169" s="4" t="str">
        <f>IFERROR(__xludf.DUMMYFUNCTION("GOOGLETRANSLATE(B169, ""en"", ""ro"")"),"Efectuați o curățare")</f>
        <v>Efectuați o curățare</v>
      </c>
      <c r="I169" s="4" t="str">
        <f>IFERROR(__xludf.DUMMYFUNCTION("GOOGLETRANSLATE(B169, ""en"", ""my"")"),"သန့်ရှင်းရေးလုပ်ပါ")</f>
        <v>သန့်ရှင်းရေးလုပ်ပါ</v>
      </c>
      <c r="J169" s="4" t="str">
        <f>IFERROR(__xludf.DUMMYFUNCTION("GOOGLETRANSLATE(B169, ""en"", ""sw"")"),"Kufanya usafi.")</f>
        <v>Kufanya usafi.</v>
      </c>
      <c r="K169" s="4" t="str">
        <f>IFERROR(__xludf.DUMMYFUNCTION("GOOGLETRANSLATE(B169, ""en"", ""th"")"),"ดำเนินการล้างข้อมูล")</f>
        <v>ดำเนินการล้างข้อมูล</v>
      </c>
      <c r="L169" s="4" t="str">
        <f>IFERROR(__xludf.DUMMYFUNCTION("GOOGLETRANSLATE(B169, ""en"", ""si"")"),"පිරිසිදු කිරීමක් කරන්න")</f>
        <v>පිරිසිදු කිරීමක් කරන්න</v>
      </c>
      <c r="M169" s="4" t="str">
        <f>IFERROR(__xludf.DUMMYFUNCTION("GOOGLETRANSLATE(B169, ""en"", ""vi"")"),"Tiến hành dọn dẹp")</f>
        <v>Tiến hành dọn dẹp</v>
      </c>
      <c r="N169" s="4" t="str">
        <f>IFERROR(__xludf.DUMMYFUNCTION("GOOGLETRANSLATE(B169, ""en"", ""ne"")"),"सफाई सञ्चालन गर")</f>
        <v>सफाई सञ्चालन गर</v>
      </c>
      <c r="O169" s="4" t="str">
        <f>IFERROR(__xludf.DUMMYFUNCTION("GOOGLETRANSLATE(B169, ""en"", ""de"")"),"Eine Bereinigung durchführen")</f>
        <v>Eine Bereinigung durchführen</v>
      </c>
      <c r="P169" s="4" t="str">
        <f>IFERROR(__xludf.DUMMYFUNCTION("GOOGLETRANSLATE(B169, ""en"", ""he"")"),"לנהל ניקוי")</f>
        <v>לנהל ניקוי</v>
      </c>
      <c r="Q169" s="4" t="str">
        <f>IFERROR(__xludf.DUMMYFUNCTION("GOOGLETRANSLATE(B169, ""en"", ""cs"")"),"Proveďte vyčištění")</f>
        <v>Proveďte vyčištění</v>
      </c>
      <c r="R169" s="4" t="str">
        <f>IFERROR(__xludf.DUMMYFUNCTION("GOOGLETRANSLATE(B169, ""en"", ""it"")"),"Condurre una pulizia")</f>
        <v>Condurre una pulizia</v>
      </c>
      <c r="S169" s="4" t="str">
        <f>IFERROR(__xludf.DUMMYFUNCTION("GOOGLETRANSLATE(B169, ""en"", ""el"")"),"Διεξάγετε ένα καθαρισμό")</f>
        <v>Διεξάγετε ένα καθαρισμό</v>
      </c>
    </row>
    <row r="170" ht="15.75" customHeight="1">
      <c r="A170" s="4" t="s">
        <v>353</v>
      </c>
      <c r="B170" s="4" t="s">
        <v>354</v>
      </c>
      <c r="C170" s="4" t="str">
        <f>IFERROR(__xludf.DUMMYFUNCTION("GOOGLETRANSLATE(B170, ""en"", ""es"")"),"¡Boosting completado!")</f>
        <v>¡Boosting completado!</v>
      </c>
      <c r="D170" s="4" t="str">
        <f>IFERROR(__xludf.DUMMYFUNCTION("GOOGLETRANSLATE(B170, ""en"", ""pt"")"),"Impulsionando concluído!")</f>
        <v>Impulsionando concluído!</v>
      </c>
      <c r="E170" s="4" t="str">
        <f>IFERROR(__xludf.DUMMYFUNCTION("GOOGLETRANSLATE(B170, ""en"", ""ar"")"),"زيادة الانتهاء!")</f>
        <v>زيادة الانتهاء!</v>
      </c>
      <c r="F170" s="4" t="str">
        <f>IFERROR(__xludf.DUMMYFUNCTION("GOOGLETRANSLATE(B170, ""en"", ""km"")"),"ការជំរុញបានបញ្ចប់!")</f>
        <v>ការជំរុញបានបញ្ចប់!</v>
      </c>
      <c r="G170" s="4" t="str">
        <f>IFERROR(__xludf.DUMMYFUNCTION("GOOGLETRANSLATE(B170, ""en"", ""fr"")"),"Boosting Terminé!")</f>
        <v>Boosting Terminé!</v>
      </c>
      <c r="H170" s="4" t="str">
        <f>IFERROR(__xludf.DUMMYFUNCTION("GOOGLETRANSLATE(B170, ""en"", ""ro"")"),"Boosting finalizat!")</f>
        <v>Boosting finalizat!</v>
      </c>
      <c r="I170" s="4" t="str">
        <f>IFERROR(__xludf.DUMMYFUNCTION("GOOGLETRANSLATE(B170, ""en"", ""my"")"),"မြှင့်တင်ရေးတိုးမြှင့်!")</f>
        <v>မြှင့်တင်ရေးတိုးမြှင့်!</v>
      </c>
      <c r="J170" s="4" t="str">
        <f>IFERROR(__xludf.DUMMYFUNCTION("GOOGLETRANSLATE(B170, ""en"", ""sw"")"),"Kuimarisha kukamilika!")</f>
        <v>Kuimarisha kukamilika!</v>
      </c>
      <c r="K170" s="4" t="str">
        <f>IFERROR(__xludf.DUMMYFUNCTION("GOOGLETRANSLATE(B170, ""en"", ""th"")"),"การเพิ่มเสร็จสมบูรณ์!")</f>
        <v>การเพิ่มเสร็จสมบูรณ์!</v>
      </c>
      <c r="L170" s="4" t="str">
        <f>IFERROR(__xludf.DUMMYFUNCTION("GOOGLETRANSLATE(B170, ""en"", ""si"")"),"වැඩ නිම කිරීම!")</f>
        <v>වැඩ නිම කිරීම!</v>
      </c>
      <c r="M170" s="4" t="str">
        <f>IFERROR(__xludf.DUMMYFUNCTION("GOOGLETRANSLATE(B170, ""en"", ""vi"")"),"Boosting hoàn thành!")</f>
        <v>Boosting hoàn thành!</v>
      </c>
      <c r="N170" s="4" t="str">
        <f>IFERROR(__xludf.DUMMYFUNCTION("GOOGLETRANSLATE(B170, ""en"", ""ne"")"),"बढाइएको!")</f>
        <v>बढाइएको!</v>
      </c>
      <c r="O170" s="4" t="str">
        <f>IFERROR(__xludf.DUMMYFUNCTION("GOOGLETRANSLATE(B170, ""en"", ""de"")"),"Verstärkung abgeschlossen!")</f>
        <v>Verstärkung abgeschlossen!</v>
      </c>
      <c r="P170" s="4" t="str">
        <f>IFERROR(__xludf.DUMMYFUNCTION("GOOGLETRANSLATE(B170, ""en"", ""he"")"),"הגדלת הושלמה!")</f>
        <v>הגדלת הושלמה!</v>
      </c>
      <c r="Q170" s="4" t="str">
        <f>IFERROR(__xludf.DUMMYFUNCTION("GOOGLETRANSLATE(B170, ""en"", ""cs"")"),"Zvyšování dokončeno!")</f>
        <v>Zvyšování dokončeno!</v>
      </c>
      <c r="R170" s="4" t="str">
        <f>IFERROR(__xludf.DUMMYFUNCTION("GOOGLETRANSLATE(B170, ""en"", ""it"")"),"Aumentare il completato!")</f>
        <v>Aumentare il completato!</v>
      </c>
      <c r="S170" s="4" t="str">
        <f>IFERROR(__xludf.DUMMYFUNCTION("GOOGLETRANSLATE(B170, ""en"", ""el"")"),"Ενίσχυση ολοκληρώθηκε!")</f>
        <v>Ενίσχυση ολοκληρώθηκε!</v>
      </c>
    </row>
    <row r="171" ht="15.75" customHeight="1">
      <c r="A171" s="4" t="s">
        <v>355</v>
      </c>
      <c r="B171" s="4" t="s">
        <v>356</v>
      </c>
      <c r="C171" s="4" t="str">
        <f>IFERROR(__xludf.DUMMYFUNCTION("GOOGLETRANSLATE(B171, ""en"", ""es"")"),"Rápidamente desinstalar aplicaciones inútiles")</f>
        <v>Rápidamente desinstalar aplicaciones inútiles</v>
      </c>
      <c r="D171" s="4" t="str">
        <f>IFERROR(__xludf.DUMMYFUNCTION("GOOGLETRANSLATE(B171, ""en"", ""pt"")"),"Desinstalar rapidamente aplicativos inúteis")</f>
        <v>Desinstalar rapidamente aplicativos inúteis</v>
      </c>
      <c r="E171" s="4" t="str">
        <f>IFERROR(__xludf.DUMMYFUNCTION("GOOGLETRANSLATE(B171, ""en"", ""ar"")"),"إلغاء تثبيت تطبيقات عديمة الفائدة بسرعة")</f>
        <v>إلغاء تثبيت تطبيقات عديمة الفائدة بسرعة</v>
      </c>
      <c r="F171" s="4" t="str">
        <f>IFERROR(__xludf.DUMMYFUNCTION("GOOGLETRANSLATE(B171, ""en"", ""km"")"),"លុបកម្មវិធីដែលគ្មានប្រយោជន៍យ៉ាងឆាប់រហ័ស")</f>
        <v>លុបកម្មវិធីដែលគ្មានប្រយោជន៍យ៉ាងឆាប់រហ័ស</v>
      </c>
      <c r="G171" s="4" t="str">
        <f>IFERROR(__xludf.DUMMYFUNCTION("GOOGLETRANSLATE(B171, ""en"", ""fr"")"),"Désinstallez rapidement des applications inutiles")</f>
        <v>Désinstallez rapidement des applications inutiles</v>
      </c>
      <c r="H171" s="4" t="str">
        <f>IFERROR(__xludf.DUMMYFUNCTION("GOOGLETRANSLATE(B171, ""en"", ""ro"")"),"Dezinstalați rapid aplicațiile inutile")</f>
        <v>Dezinstalați rapid aplicațiile inutile</v>
      </c>
      <c r="I171" s="4" t="str">
        <f>IFERROR(__xludf.DUMMYFUNCTION("GOOGLETRANSLATE(B171, ""en"", ""my"")"),"အသုံးမကျသောအက်ပ်များကို uninstallly uninstall")</f>
        <v>အသုံးမကျသောအက်ပ်များကို uninstallly uninstall</v>
      </c>
      <c r="J171" s="4" t="str">
        <f>IFERROR(__xludf.DUMMYFUNCTION("GOOGLETRANSLATE(B171, ""en"", ""sw"")"),"Haraka kufuta programu zisizofaa.")</f>
        <v>Haraka kufuta programu zisizofaa.</v>
      </c>
      <c r="K171" s="4" t="str">
        <f>IFERROR(__xludf.DUMMYFUNCTION("GOOGLETRANSLATE(B171, ""en"", ""th"")"),"ถอนการติดตั้งแอปที่ไร้ประโยชน์อย่างรวดเร็ว")</f>
        <v>ถอนการติดตั้งแอปที่ไร้ประโยชน์อย่างรวดเร็ว</v>
      </c>
      <c r="L171" s="4" t="str">
        <f>IFERROR(__xludf.DUMMYFUNCTION("GOOGLETRANSLATE(B171, ""en"", ""si"")"),"වේගයෙන් වැඩකට නැති යෙදුම් වේගයෙන් අස්ථාපනය කරන්න")</f>
        <v>වේගයෙන් වැඩකට නැති යෙදුම් වේගයෙන් අස්ථාපනය කරන්න</v>
      </c>
      <c r="M171" s="4" t="str">
        <f>IFERROR(__xludf.DUMMYFUNCTION("GOOGLETRANSLATE(B171, ""en"", ""vi"")"),"Nhanh chóng gỡ cài đặt các ứng dụng vô dụng")</f>
        <v>Nhanh chóng gỡ cài đặt các ứng dụng vô dụng</v>
      </c>
      <c r="N171" s="4" t="str">
        <f>IFERROR(__xludf.DUMMYFUNCTION("GOOGLETRANSLATE(B171, ""en"", ""ne"")"),"बेकारका अनुप्रयोगहरू अनियमित अनुप्रयोगहरू स्थापना रद्द गर्नुहोस्")</f>
        <v>बेकारका अनुप्रयोगहरू अनियमित अनुप्रयोगहरू स्थापना रद्द गर्नुहोस्</v>
      </c>
      <c r="O171" s="4" t="str">
        <f>IFERROR(__xludf.DUMMYFUNCTION("GOOGLETRANSLATE(B171, ""en"", ""de"")"),"Rasch deinstallieren nutzlose Apps")</f>
        <v>Rasch deinstallieren nutzlose Apps</v>
      </c>
      <c r="P171" s="4" t="str">
        <f>IFERROR(__xludf.DUMMYFUNCTION("GOOGLETRANSLATE(B171, ""en"", ""he"")"),"להסיר במהירות יישומים חסרי תועלת")</f>
        <v>להסיר במהירות יישומים חסרי תועלת</v>
      </c>
      <c r="Q171" s="4" t="str">
        <f>IFERROR(__xludf.DUMMYFUNCTION("GOOGLETRANSLATE(B171, ""en"", ""cs"")"),"Rychle odinstalovat zbytečné aplikace")</f>
        <v>Rychle odinstalovat zbytečné aplikace</v>
      </c>
      <c r="R171" s="4" t="str">
        <f>IFERROR(__xludf.DUMMYFUNCTION("GOOGLETRANSLATE(B171, ""en"", ""it"")"),"Rapidamente disinstalla l'app inutile")</f>
        <v>Rapidamente disinstalla l'app inutile</v>
      </c>
      <c r="S171" s="4" t="str">
        <f>IFERROR(__xludf.DUMMYFUNCTION("GOOGLETRANSLATE(B171, ""en"", ""el"")"),"Απενεργοποιήστε γρήγορα τις άχρηστες εφαρμογές")</f>
        <v>Απενεργοποιήστε γρήγορα τις άχρηστες εφαρμογές</v>
      </c>
    </row>
    <row r="172" ht="15.75" customHeight="1">
      <c r="A172" s="4" t="s">
        <v>357</v>
      </c>
      <c r="B172" s="4" t="s">
        <v>358</v>
      </c>
      <c r="C172" s="4" t="str">
        <f>IFERROR(__xludf.DUMMYFUNCTION("GOOGLETRANSLATE(B172, ""en"", ""es"")"),"Grant acceso a la memoria de almacenamiento externo en el dispositivo")</f>
        <v>Grant acceso a la memoria de almacenamiento externo en el dispositivo</v>
      </c>
      <c r="D172" s="4" t="str">
        <f>IFERROR(__xludf.DUMMYFUNCTION("GOOGLETRANSLATE(B172, ""en"", ""pt"")"),"Conceder acesso à memória de armazenamento externo no dispositivo")</f>
        <v>Conceder acesso à memória de armazenamento externo no dispositivo</v>
      </c>
      <c r="E172" s="4" t="str">
        <f>IFERROR(__xludf.DUMMYFUNCTION("GOOGLETRANSLATE(B172, ""en"", ""ar"")"),"منح الوصول إلى ذاكرة التخزين الخارجية في الجهاز")</f>
        <v>منح الوصول إلى ذاكرة التخزين الخارجية في الجهاز</v>
      </c>
      <c r="F172" s="4" t="str">
        <f>IFERROR(__xludf.DUMMYFUNCTION("GOOGLETRANSLATE(B172, ""en"", ""km"")"),"ទទួលបានការចូលដំណើរការអង្គចងចាំផ្ទុកទិន្នន័យខាងក្រៅនៅក្នុងឧបករណ៍")</f>
        <v>ទទួលបានការចូលដំណើរការអង្គចងចាំផ្ទុកទិន្នន័យខាងក្រៅនៅក្នុងឧបករណ៍</v>
      </c>
      <c r="G172" s="4" t="str">
        <f>IFERROR(__xludf.DUMMYFUNCTION("GOOGLETRANSLATE(B172, ""en"", ""fr"")"),"Accorder l'accès à la mémoire de stockage externe dans l'appareil")</f>
        <v>Accorder l'accès à la mémoire de stockage externe dans l'appareil</v>
      </c>
      <c r="H172" s="4" t="str">
        <f>IFERROR(__xludf.DUMMYFUNCTION("GOOGLETRANSLATE(B172, ""en"", ""ro"")"),"Acordați accesul la memoria de stocare externă din dispozitiv")</f>
        <v>Acordați accesul la memoria de stocare externă din dispozitiv</v>
      </c>
      <c r="I172" s="4" t="str">
        <f>IFERROR(__xludf.DUMMYFUNCTION("GOOGLETRANSLATE(B172, ""en"", ""my"")"),"ကိရိယာထဲရှိပြင်ပသိုလှောင်မှုမှတ်ဉာဏ်ကိုရယူပါ")</f>
        <v>ကိရိယာထဲရှိပြင်ပသိုလှောင်မှုမှတ်ဉာဏ်ကိုရယူပါ</v>
      </c>
      <c r="J172" s="4" t="str">
        <f>IFERROR(__xludf.DUMMYFUNCTION("GOOGLETRANSLATE(B172, ""en"", ""sw"")"),"Ruhusu upatikanaji wa kumbukumbu ya hifadhi ya nje kwenye kifaa")</f>
        <v>Ruhusu upatikanaji wa kumbukumbu ya hifadhi ya nje kwenye kifaa</v>
      </c>
      <c r="K172" s="4" t="str">
        <f>IFERROR(__xludf.DUMMYFUNCTION("GOOGLETRANSLATE(B172, ""en"", ""th"")"),"ให้สิทธิ์การเข้าถึงหน่วยความจำหน่วยเก็บข้อมูลภายนอกในอุปกรณ์")</f>
        <v>ให้สิทธิ์การเข้าถึงหน่วยความจำหน่วยเก็บข้อมูลภายนอกในอุปกรณ์</v>
      </c>
      <c r="L172" s="4" t="str">
        <f>IFERROR(__xludf.DUMMYFUNCTION("GOOGLETRANSLATE(B172, ""en"", ""si"")"),"උපාංගයේ බාහිර ගබඩා මතකයට ප්රවේශය ලබා දෙන්න")</f>
        <v>උපාංගයේ බාහිර ගබඩා මතකයට ප්රවේශය ලබා දෙන්න</v>
      </c>
      <c r="M172" s="4" t="str">
        <f>IFERROR(__xludf.DUMMYFUNCTION("GOOGLETRANSLATE(B172, ""en"", ""vi"")"),"Cấp quyền truy cập vào bộ nhớ lưu trữ ngoài trong thiết bị")</f>
        <v>Cấp quyền truy cập vào bộ nhớ lưu trữ ngoài trong thiết bị</v>
      </c>
      <c r="N172" s="4" t="str">
        <f>IFERROR(__xludf.DUMMYFUNCTION("GOOGLETRANSLATE(B172, ""en"", ""ne"")"),"उपकरणमा बाह्य भण्डारण मेमोरीमा अनुदान पहुँच")</f>
        <v>उपकरणमा बाह्य भण्डारण मेमोरीमा अनुदान पहुँच</v>
      </c>
      <c r="O172" s="4" t="str">
        <f>IFERROR(__xludf.DUMMYFUNCTION("GOOGLETRANSLATE(B172, ""en"", ""de"")"),"Zugriff auf den externen Speicherspeicher im Gerät")</f>
        <v>Zugriff auf den externen Speicherspeicher im Gerät</v>
      </c>
      <c r="P172" s="4" t="str">
        <f>IFERROR(__xludf.DUMMYFUNCTION("GOOGLETRANSLATE(B172, ""en"", ""he"")"),"גרנט גישה לזיכרון האחסון החיצוני במכשיר")</f>
        <v>גרנט גישה לזיכרון האחסון החיצוני במכשיר</v>
      </c>
      <c r="Q172" s="4" t="str">
        <f>IFERROR(__xludf.DUMMYFUNCTION("GOOGLETRANSLATE(B172, ""en"", ""cs"")"),"Udělte přístup k externí paměti paměti v přístroji")</f>
        <v>Udělte přístup k externí paměti paměti v přístroji</v>
      </c>
      <c r="R172" s="4" t="str">
        <f>IFERROR(__xludf.DUMMYFUNCTION("GOOGLETRANSLATE(B172, ""en"", ""it"")"),"Concedere l'accesso alla memoria di archiviazione esterna nel dispositivo")</f>
        <v>Concedere l'accesso alla memoria di archiviazione esterna nel dispositivo</v>
      </c>
      <c r="S172" s="4" t="str">
        <f>IFERROR(__xludf.DUMMYFUNCTION("GOOGLETRANSLATE(B172, ""en"", ""el"")"),"Παρακολούθηση πρόσβασης στην εξωτερική μνήμη αποθήκευσης στη συσκευή")</f>
        <v>Παρακολούθηση πρόσβασης στην εξωτερική μνήμη αποθήκευσης στη συσκευή</v>
      </c>
    </row>
    <row r="173" ht="15.75" customHeight="1">
      <c r="A173" s="4" t="s">
        <v>359</v>
      </c>
      <c r="B173" s="4" t="s">
        <v>360</v>
      </c>
      <c r="C173" s="4" t="str">
        <f>IFERROR(__xludf.DUMMYFUNCTION("GOOGLETRANSLATE(B173, ""en"", ""es"")"),"Ubicación compartida")</f>
        <v>Ubicación compartida</v>
      </c>
      <c r="D173" s="4" t="str">
        <f>IFERROR(__xludf.DUMMYFUNCTION("GOOGLETRANSLATE(B173, ""en"", ""pt"")"),"Localização compartilhada")</f>
        <v>Localização compartilhada</v>
      </c>
      <c r="E173" s="4" t="str">
        <f>IFERROR(__xludf.DUMMYFUNCTION("GOOGLETRANSLATE(B173, ""en"", ""ar"")"),"الموقع المشترك")</f>
        <v>الموقع المشترك</v>
      </c>
      <c r="F173" s="4" t="str">
        <f>IFERROR(__xludf.DUMMYFUNCTION("GOOGLETRANSLATE(B173, ""en"", ""km"")"),"បានចែករំលែកទីតាំង")</f>
        <v>បានចែករំលែកទីតាំង</v>
      </c>
      <c r="G173" s="4" t="str">
        <f>IFERROR(__xludf.DUMMYFUNCTION("GOOGLETRANSLATE(B173, ""en"", ""fr"")"),"Emplacement partagé")</f>
        <v>Emplacement partagé</v>
      </c>
      <c r="H173" s="4" t="str">
        <f>IFERROR(__xludf.DUMMYFUNCTION("GOOGLETRANSLATE(B173, ""en"", ""ro"")"),"Locație partajată")</f>
        <v>Locație partajată</v>
      </c>
      <c r="I173" s="4" t="str">
        <f>IFERROR(__xludf.DUMMYFUNCTION("GOOGLETRANSLATE(B173, ""en"", ""my"")"),"တည်နေရာမျှဝေခဲ့သည်")</f>
        <v>တည်နေရာမျှဝေခဲ့သည်</v>
      </c>
      <c r="J173" s="4" t="str">
        <f>IFERROR(__xludf.DUMMYFUNCTION("GOOGLETRANSLATE(B173, ""en"", ""sw"")"),"Eneo lililoshirikiwa.")</f>
        <v>Eneo lililoshirikiwa.</v>
      </c>
      <c r="K173" s="4" t="str">
        <f>IFERROR(__xludf.DUMMYFUNCTION("GOOGLETRANSLATE(B173, ""en"", ""th"")"),"ที่ตั้งที่ใช้ร่วมกัน")</f>
        <v>ที่ตั้งที่ใช้ร่วมกัน</v>
      </c>
      <c r="L173" s="4" t="str">
        <f>IFERROR(__xludf.DUMMYFUNCTION("GOOGLETRANSLATE(B173, ""en"", ""si"")"),"ස්ථානය බෙදාගත් ස්ථානය")</f>
        <v>ස්ථානය බෙදාගත් ස්ථානය</v>
      </c>
      <c r="M173" s="4" t="str">
        <f>IFERROR(__xludf.DUMMYFUNCTION("GOOGLETRANSLATE(B173, ""en"", ""vi"")"),"Chia sẻ vị trí")</f>
        <v>Chia sẻ vị trí</v>
      </c>
      <c r="N173" s="4" t="str">
        <f>IFERROR(__xludf.DUMMYFUNCTION("GOOGLETRANSLATE(B173, ""en"", ""ne"")"),"स्थान साझा")</f>
        <v>स्थान साझा</v>
      </c>
      <c r="O173" s="4" t="str">
        <f>IFERROR(__xludf.DUMMYFUNCTION("GOOGLETRANSLATE(B173, ""en"", ""de"")"),"Standort geteilt")</f>
        <v>Standort geteilt</v>
      </c>
      <c r="P173" s="4" t="str">
        <f>IFERROR(__xludf.DUMMYFUNCTION("GOOGLETRANSLATE(B173, ""en"", ""he"")"),"מיקום משותף")</f>
        <v>מיקום משותף</v>
      </c>
      <c r="Q173" s="4" t="str">
        <f>IFERROR(__xludf.DUMMYFUNCTION("GOOGLETRANSLATE(B173, ""en"", ""cs"")"),"Sdílená lokalita")</f>
        <v>Sdílená lokalita</v>
      </c>
      <c r="R173" s="4" t="str">
        <f>IFERROR(__xludf.DUMMYFUNCTION("GOOGLETRANSLATE(B173, ""en"", ""it"")"),"Posizione condivisa")</f>
        <v>Posizione condivisa</v>
      </c>
      <c r="S173" s="4" t="str">
        <f>IFERROR(__xludf.DUMMYFUNCTION("GOOGLETRANSLATE(B173, ""en"", ""el"")"),"Τοποθεσία Κοινή χρήση")</f>
        <v>Τοποθεσία Κοινή χρήση</v>
      </c>
    </row>
    <row r="174" ht="15.75" customHeight="1">
      <c r="A174" s="4" t="s">
        <v>361</v>
      </c>
      <c r="B174" s="4" t="s">
        <v>362</v>
      </c>
      <c r="C174" s="4" t="str">
        <f>IFERROR(__xludf.DUMMYFUNCTION("GOOGLETRANSLATE(B174, ""en"", ""es"")"),"RAM va a estar llena")</f>
        <v>RAM va a estar llena</v>
      </c>
      <c r="D174" s="4" t="str">
        <f>IFERROR(__xludf.DUMMYFUNCTION("GOOGLETRANSLATE(B174, ""en"", ""pt"")"),"Ram vai estar cheio")</f>
        <v>Ram vai estar cheio</v>
      </c>
      <c r="E174" s="4" t="str">
        <f>IFERROR(__xludf.DUMMYFUNCTION("GOOGLETRANSLATE(B174, ""en"", ""ar"")"),"ذاكرة الوصول العشوائي ستكون ممتلئة")</f>
        <v>ذاكرة الوصول العشوائي ستكون ممتلئة</v>
      </c>
      <c r="F174" s="4" t="str">
        <f>IFERROR(__xludf.DUMMYFUNCTION("GOOGLETRANSLATE(B174, ""en"", ""km"")"),"រ៉ាមនឹងពេញហើយ")</f>
        <v>រ៉ាមនឹងពេញហើយ</v>
      </c>
      <c r="G174" s="4" t="str">
        <f>IFERROR(__xludf.DUMMYFUNCTION("GOOGLETRANSLATE(B174, ""en"", ""fr"")"),"Ram va être plein")</f>
        <v>Ram va être plein</v>
      </c>
      <c r="H174" s="4" t="str">
        <f>IFERROR(__xludf.DUMMYFUNCTION("GOOGLETRANSLATE(B174, ""en"", ""ro"")"),"Ram va fi plin")</f>
        <v>Ram va fi plin</v>
      </c>
      <c r="I174" s="4" t="str">
        <f>IFERROR(__xludf.DUMMYFUNCTION("GOOGLETRANSLATE(B174, ""en"", ""my"")"),"RAM သည်အပြည့်အဝဖြစ်လိမ့်မည်")</f>
        <v>RAM သည်အပြည့်အဝဖြစ်လိမ့်မည်</v>
      </c>
      <c r="J174" s="4" t="str">
        <f>IFERROR(__xludf.DUMMYFUNCTION("GOOGLETRANSLATE(B174, ""en"", ""sw"")"),"RAM itakuwa kamili.")</f>
        <v>RAM itakuwa kamili.</v>
      </c>
      <c r="K174" s="4" t="str">
        <f>IFERROR(__xludf.DUMMYFUNCTION("GOOGLETRANSLATE(B174, ""en"", ""th"")"),"RAM กำลังจะเต็ม")</f>
        <v>RAM กำลังจะเต็ม</v>
      </c>
      <c r="L174" s="4" t="str">
        <f>IFERROR(__xludf.DUMMYFUNCTION("GOOGLETRANSLATE(B174, ""en"", ""si"")"),"RAM පිරී යනු ඇත")</f>
        <v>RAM පිරී යනු ඇත</v>
      </c>
      <c r="M174" s="4" t="str">
        <f>IFERROR(__xludf.DUMMYFUNCTION("GOOGLETRANSLATE(B174, ""en"", ""vi"")"),"Ram sẽ đầy")</f>
        <v>Ram sẽ đầy</v>
      </c>
      <c r="N174" s="4" t="str">
        <f>IFERROR(__xludf.DUMMYFUNCTION("GOOGLETRANSLATE(B174, ""en"", ""ne"")"),"राम पूर्ण हुन गइरहेको छ")</f>
        <v>राम पूर्ण हुन गइरहेको छ</v>
      </c>
      <c r="O174" s="4" t="str">
        <f>IFERROR(__xludf.DUMMYFUNCTION("GOOGLETRANSLATE(B174, ""en"", ""de"")"),"RAM wird voll sein")</f>
        <v>RAM wird voll sein</v>
      </c>
      <c r="P174" s="4" t="str">
        <f>IFERROR(__xludf.DUMMYFUNCTION("GOOGLETRANSLATE(B174, ""en"", ""he"")"),"רם הולך להיות מלא")</f>
        <v>רם הולך להיות מלא</v>
      </c>
      <c r="Q174" s="4" t="str">
        <f>IFERROR(__xludf.DUMMYFUNCTION("GOOGLETRANSLATE(B174, ""en"", ""cs"")"),"RAM bude plná")</f>
        <v>RAM bude plná</v>
      </c>
      <c r="R174" s="4" t="str">
        <f>IFERROR(__xludf.DUMMYFUNCTION("GOOGLETRANSLATE(B174, ""en"", ""it"")"),"Ram sarà pieno")</f>
        <v>Ram sarà pieno</v>
      </c>
      <c r="S174" s="4" t="str">
        <f>IFERROR(__xludf.DUMMYFUNCTION("GOOGLETRANSLATE(B174, ""en"", ""el"")"),"Το RAM θα ​​είναι γεμάτο")</f>
        <v>Το RAM θα ​​είναι γεμάτο</v>
      </c>
    </row>
    <row r="175" ht="15.75" customHeight="1">
      <c r="A175" s="4" t="s">
        <v>363</v>
      </c>
      <c r="B175" s="4" t="s">
        <v>364</v>
      </c>
      <c r="C175" s="4" t="str">
        <f>IFERROR(__xludf.DUMMYFUNCTION("GOOGLETRANSLATE(B175, ""en"", ""es"")"),"Ahorro de energía")</f>
        <v>Ahorro de energía</v>
      </c>
      <c r="D175" s="4" t="str">
        <f>IFERROR(__xludf.DUMMYFUNCTION("GOOGLETRANSLATE(B175, ""en"", ""pt"")"),"Economia de energia")</f>
        <v>Economia de energia</v>
      </c>
      <c r="E175" s="4" t="str">
        <f>IFERROR(__xludf.DUMMYFUNCTION("GOOGLETRANSLATE(B175, ""en"", ""ar"")"),"موفر طاقة")</f>
        <v>موفر طاقة</v>
      </c>
      <c r="F175" s="4" t="str">
        <f>IFERROR(__xludf.DUMMYFUNCTION("GOOGLETRANSLATE(B175, ""en"", ""km"")"),"សន្សំសំចៃ​ថាមពល")</f>
        <v>សន្សំសំចៃ​ថាមពល</v>
      </c>
      <c r="G175" s="4" t="str">
        <f>IFERROR(__xludf.DUMMYFUNCTION("GOOGLETRANSLATE(B175, ""en"", ""fr"")"),"Economie d'énergie")</f>
        <v>Economie d'énergie</v>
      </c>
      <c r="H175" s="4" t="str">
        <f>IFERROR(__xludf.DUMMYFUNCTION("GOOGLETRANSLATE(B175, ""en"", ""ro"")"),"Economisire de energie")</f>
        <v>Economisire de energie</v>
      </c>
      <c r="I175" s="4" t="str">
        <f>IFERROR(__xludf.DUMMYFUNCTION("GOOGLETRANSLATE(B175, ""en"", ""my"")"),"ပါဝါချွေတာခြင်း")</f>
        <v>ပါဝါချွေတာခြင်း</v>
      </c>
      <c r="J175" s="4" t="str">
        <f>IFERROR(__xludf.DUMMYFUNCTION("GOOGLETRANSLATE(B175, ""en"", ""sw"")"),"Kuhifadhi Nguvu.")</f>
        <v>Kuhifadhi Nguvu.</v>
      </c>
      <c r="K175" s="4" t="str">
        <f>IFERROR(__xludf.DUMMYFUNCTION("GOOGLETRANSLATE(B175, ""en"", ""th"")"),"ประหยัดพลังงาน")</f>
        <v>ประหยัดพลังงาน</v>
      </c>
      <c r="L175" s="4" t="str">
        <f>IFERROR(__xludf.DUMMYFUNCTION("GOOGLETRANSLATE(B175, ""en"", ""si"")"),"බලය ඉතිරි කිරීම")</f>
        <v>බලය ඉතිරි කිරීම</v>
      </c>
      <c r="M175" s="4" t="str">
        <f>IFERROR(__xludf.DUMMYFUNCTION("GOOGLETRANSLATE(B175, ""en"", ""vi"")"),"Tiết kiệm năng lượng")</f>
        <v>Tiết kiệm năng lượng</v>
      </c>
      <c r="N175" s="4" t="str">
        <f>IFERROR(__xludf.DUMMYFUNCTION("GOOGLETRANSLATE(B175, ""en"", ""ne"")"),"उर्जा बचत")</f>
        <v>उर्जा बचत</v>
      </c>
      <c r="O175" s="4" t="str">
        <f>IFERROR(__xludf.DUMMYFUNCTION("GOOGLETRANSLATE(B175, ""en"", ""de"")"),"Energieeinsparung.")</f>
        <v>Energieeinsparung.</v>
      </c>
      <c r="P175" s="4" t="str">
        <f>IFERROR(__xludf.DUMMYFUNCTION("GOOGLETRANSLATE(B175, ""en"", ""he"")"),"חסכון באנרגיה")</f>
        <v>חסכון באנרגיה</v>
      </c>
      <c r="Q175" s="4" t="str">
        <f>IFERROR(__xludf.DUMMYFUNCTION("GOOGLETRANSLATE(B175, ""en"", ""cs"")"),"Šetření energie")</f>
        <v>Šetření energie</v>
      </c>
      <c r="R175" s="4" t="str">
        <f>IFERROR(__xludf.DUMMYFUNCTION("GOOGLETRANSLATE(B175, ""en"", ""it"")"),"Risparmio energetico")</f>
        <v>Risparmio energetico</v>
      </c>
      <c r="S175" s="4" t="str">
        <f>IFERROR(__xludf.DUMMYFUNCTION("GOOGLETRANSLATE(B175, ""en"", ""el"")"),"Εξοικονόμηση ενέργειας")</f>
        <v>Εξοικονόμηση ενέργειας</v>
      </c>
    </row>
    <row r="176" ht="15.75" customHeight="1">
      <c r="A176" s="4" t="s">
        <v>365</v>
      </c>
      <c r="B176" s="4" t="s">
        <v>366</v>
      </c>
      <c r="C176" s="4" t="str">
        <f>IFERROR(__xludf.DUMMYFUNCTION("GOOGLETRANSLATE(B176, ""en"", ""es"")"),"En algunos dispositivos, 888 no se mantendrá estable si se apaga la palanca de notificación.")</f>
        <v>En algunos dispositivos, 888 no se mantendrá estable si se apaga la palanca de notificación.</v>
      </c>
      <c r="D176" s="4" t="str">
        <f>IFERROR(__xludf.DUMMYFUNCTION("GOOGLETRANSLATE(B176, ""en"", ""pt"")"),"Em alguns dispositivos, 888 não será estável se a alteração da notificação estiver desligada.")</f>
        <v>Em alguns dispositivos, 888 não será estável se a alteração da notificação estiver desligada.</v>
      </c>
      <c r="E176" s="4" t="str">
        <f>IFERROR(__xludf.DUMMYFUNCTION("GOOGLETRANSLATE(B176, ""en"", ""ar"")"),"في بعض الأجهزة 888 لن تكون مستقرة إذا تم إيقاف تشغيل الإشعار.")</f>
        <v>في بعض الأجهزة 888 لن تكون مستقرة إذا تم إيقاف تشغيل الإشعار.</v>
      </c>
      <c r="F176" s="4" t="str">
        <f>IFERROR(__xludf.DUMMYFUNCTION("GOOGLETRANSLATE(B176, ""en"", ""km"")"),"នៅក្នុងឧបករណ៍មួយចំនួន 888 នឹងមិនមានស្ថេរភាពទេប្រសិនបើការជូនដំណឹងចាប់ផ្តើមត្រូវបានបិទ។")</f>
        <v>នៅក្នុងឧបករណ៍មួយចំនួន 888 នឹងមិនមានស្ថេរភាពទេប្រសិនបើការជូនដំណឹងចាប់ផ្តើមត្រូវបានបិទ។</v>
      </c>
      <c r="G176" s="4" t="str">
        <f>IFERROR(__xludf.DUMMYFUNCTION("GOOGLETRANSLATE(B176, ""en"", ""fr"")"),"Dans certains appareils 888 ne sera pas stable si la notification bascule est désactivée.")</f>
        <v>Dans certains appareils 888 ne sera pas stable si la notification bascule est désactivée.</v>
      </c>
      <c r="H176" s="4" t="str">
        <f>IFERROR(__xludf.DUMMYFUNCTION("GOOGLETRANSLATE(B176, ""en"", ""ro"")"),"În unele dispozitive 888 nu vor fi stabile dacă comutarea notificării este oprită.")</f>
        <v>În unele dispozitive 888 nu vor fi stabile dacă comutarea notificării este oprită.</v>
      </c>
      <c r="I176" s="4" t="str">
        <f>IFERROR(__xludf.DUMMYFUNCTION("GOOGLETRANSLATE(B176, ""en"", ""my"")"),"Notification Toggle ကိုပိတ်ထားပါကအချို့သောကိရိယာများတွင် 888 ခုတွင် 888 သည်တည်ငြိမ်လိမ့်မည်မဟုတ်ပါ။")</f>
        <v>Notification Toggle ကိုပိတ်ထားပါကအချို့သောကိရိယာများတွင် 888 ခုတွင် 888 သည်တည်ငြိမ်လိမ့်မည်မဟုတ်ပါ။</v>
      </c>
      <c r="J176" s="4" t="str">
        <f>IFERROR(__xludf.DUMMYFUNCTION("GOOGLETRANSLATE(B176, ""en"", ""sw"")"),"Katika vifaa vingine 888 haviwezi kuwa imara kama kugeuza taarifa kunazima.")</f>
        <v>Katika vifaa vingine 888 haviwezi kuwa imara kama kugeuza taarifa kunazima.</v>
      </c>
      <c r="K176" s="4" t="str">
        <f>IFERROR(__xludf.DUMMYFUNCTION("GOOGLETRANSLATE(B176, ""en"", ""th"")"),"ในอุปกรณ์บางอย่าง 888 จะไม่เสถียรหากปิดการสลับการแจ้งเตือน")</f>
        <v>ในอุปกรณ์บางอย่าง 888 จะไม่เสถียรหากปิดการสลับการแจ้งเตือน</v>
      </c>
      <c r="L176" s="4" t="str">
        <f>IFERROR(__xludf.DUMMYFUNCTION("GOOGLETRANSLATE(B176, ""en"", ""si"")"),"දැනුම්දීමක් ටොගල්ව අක්රිය කර ඇත්නම් 888 සමහර උපාංගවල ස්ථාවර නොවනු ඇත.")</f>
        <v>දැනුම්දීමක් ටොගල්ව අක්රිය කර ඇත්නම් 888 සමහර උපාංගවල ස්ථාවර නොවනු ඇත.</v>
      </c>
      <c r="M176" s="4" t="str">
        <f>IFERROR(__xludf.DUMMYFUNCTION("GOOGLETRANSLATE(B176, ""en"", ""vi"")"),"Trong một số thiết bị 888 sẽ không ổn định nếu tắt chuyển đổi thông báo.")</f>
        <v>Trong một số thiết bị 888 sẽ không ổn định nếu tắt chuyển đổi thông báo.</v>
      </c>
      <c r="N176" s="4" t="str">
        <f>IFERROR(__xludf.DUMMYFUNCTION("GOOGLETRANSLATE(B176, ""en"", ""ne"")"),"केही उपकरणहरूमा 88 888 स्थिर हुने छैन यदि असामान्य टगल बन्द छ भने।")</f>
        <v>केही उपकरणहरूमा 88 888 स्थिर हुने छैन यदि असामान्य टगल बन्द छ भने।</v>
      </c>
      <c r="O176" s="4" t="str">
        <f>IFERROR(__xludf.DUMMYFUNCTION("GOOGLETRANSLATE(B176, ""en"", ""de"")"),"In einigen Geräten ist 888 nicht stabil, wenn die Benachrichtigungs-Toggle ausgeschaltet ist.")</f>
        <v>In einigen Geräten ist 888 nicht stabil, wenn die Benachrichtigungs-Toggle ausgeschaltet ist.</v>
      </c>
      <c r="P176" s="4" t="str">
        <f>IFERROR(__xludf.DUMMYFUNCTION("GOOGLETRANSLATE(B176, ""en"", ""he"")"),"במכשירים מסוימים 888 לא יהיו יציבים אם ניתוח הודעה על כך.")</f>
        <v>במכשירים מסוימים 888 לא יהיו יציבים אם ניתוח הודעה על כך.</v>
      </c>
      <c r="Q176" s="4" t="str">
        <f>IFERROR(__xludf.DUMMYFUNCTION("GOOGLETRANSLATE(B176, ""en"", ""cs"")"),"V některých zařízeních 888 nebude stabilní, pokud je přepínání oznámení vypnut.")</f>
        <v>V některých zařízeních 888 nebude stabilní, pokud je přepínání oznámení vypnut.</v>
      </c>
      <c r="R176" s="4" t="str">
        <f>IFERROR(__xludf.DUMMYFUNCTION("GOOGLETRANSLATE(B176, ""en"", ""it"")"),"In alcuni dispositivi 888 non saranno stabili se la notifica disattivata è disattivata.")</f>
        <v>In alcuni dispositivi 888 non saranno stabili se la notifica disattivata è disattivata.</v>
      </c>
      <c r="S176" s="4" t="str">
        <f>IFERROR(__xludf.DUMMYFUNCTION("GOOGLETRANSLATE(B176, ""en"", ""el"")"),"Σε ορισμένες συσκευές 888 δεν θα είναι σταθερή αν η ειδοποίηση είναι απενεργοποιημένη.")</f>
        <v>Σε ορισμένες συσκευές 888 δεν θα είναι σταθερή αν η ειδοποίηση είναι απενεργοποιημένη.</v>
      </c>
    </row>
    <row r="177" ht="15.75" customHeight="1">
      <c r="A177" s="4" t="s">
        <v>367</v>
      </c>
      <c r="B177" s="4" t="s">
        <v>368</v>
      </c>
      <c r="C177" s="4" t="str">
        <f>IFERROR(__xludf.DUMMYFUNCTION("GOOGLETRANSLATE(B177, ""en"", ""es"")"),"¡Finalizado!")</f>
        <v>¡Finalizado!</v>
      </c>
      <c r="D177" s="4" t="str">
        <f>IFERROR(__xludf.DUMMYFUNCTION("GOOGLETRANSLATE(B177, ""en"", ""pt"")"),"Finalizado!")</f>
        <v>Finalizado!</v>
      </c>
      <c r="E177" s="4" t="str">
        <f>IFERROR(__xludf.DUMMYFUNCTION("GOOGLETRANSLATE(B177, ""en"", ""ar"")"),"تم الانتهاء من!")</f>
        <v>تم الانتهاء من!</v>
      </c>
      <c r="F177" s="4" t="str">
        <f>IFERROR(__xludf.DUMMYFUNCTION("GOOGLETRANSLATE(B177, ""en"", ""km"")"),"ចប់ហើយ!")</f>
        <v>ចប់ហើយ!</v>
      </c>
      <c r="G177" s="4" t="str">
        <f>IFERROR(__xludf.DUMMYFUNCTION("GOOGLETRANSLATE(B177, ""en"", ""fr"")"),"Fini!")</f>
        <v>Fini!</v>
      </c>
      <c r="H177" s="4" t="str">
        <f>IFERROR(__xludf.DUMMYFUNCTION("GOOGLETRANSLATE(B177, ""en"", ""ro"")"),"Terminat!")</f>
        <v>Terminat!</v>
      </c>
      <c r="I177" s="4" t="str">
        <f>IFERROR(__xludf.DUMMYFUNCTION("GOOGLETRANSLATE(B177, ""en"", ""my"")"),"ပြီးပြီ")</f>
        <v>ပြီးပြီ</v>
      </c>
      <c r="J177" s="4" t="str">
        <f>IFERROR(__xludf.DUMMYFUNCTION("GOOGLETRANSLATE(B177, ""en"", ""sw"")"),"Imekamilika!")</f>
        <v>Imekamilika!</v>
      </c>
      <c r="K177" s="4" t="str">
        <f>IFERROR(__xludf.DUMMYFUNCTION("GOOGLETRANSLATE(B177, ""en"", ""th"")"),"ที่เสร็จเรียบร้อย!")</f>
        <v>ที่เสร็จเรียบร้อย!</v>
      </c>
      <c r="L177" s="4" t="str">
        <f>IFERROR(__xludf.DUMMYFUNCTION("GOOGLETRANSLATE(B177, ""en"", ""si"")"),"අවසන්!")</f>
        <v>අවසන්!</v>
      </c>
      <c r="M177" s="4" t="str">
        <f>IFERROR(__xludf.DUMMYFUNCTION("GOOGLETRANSLATE(B177, ""en"", ""vi"")"),"Hoàn thành!")</f>
        <v>Hoàn thành!</v>
      </c>
      <c r="N177" s="4" t="str">
        <f>IFERROR(__xludf.DUMMYFUNCTION("GOOGLETRANSLATE(B177, ""en"", ""ne"")"),"समाप्त भयो!")</f>
        <v>समाप्त भयो!</v>
      </c>
      <c r="O177" s="4" t="str">
        <f>IFERROR(__xludf.DUMMYFUNCTION("GOOGLETRANSLATE(B177, ""en"", ""de"")"),"Fertig!")</f>
        <v>Fertig!</v>
      </c>
      <c r="P177" s="4" t="str">
        <f>IFERROR(__xludf.DUMMYFUNCTION("GOOGLETRANSLATE(B177, ""en"", ""he"")"),"גָמוּר!")</f>
        <v>גָמוּר!</v>
      </c>
      <c r="Q177" s="4" t="str">
        <f>IFERROR(__xludf.DUMMYFUNCTION("GOOGLETRANSLATE(B177, ""en"", ""cs"")"),"Dokončeno!")</f>
        <v>Dokončeno!</v>
      </c>
      <c r="R177" s="4" t="str">
        <f>IFERROR(__xludf.DUMMYFUNCTION("GOOGLETRANSLATE(B177, ""en"", ""it"")"),"Finito!")</f>
        <v>Finito!</v>
      </c>
      <c r="S177" s="4" t="str">
        <f>IFERROR(__xludf.DUMMYFUNCTION("GOOGLETRANSLATE(B177, ""en"", ""el"")"),"Πεπερασμένος!")</f>
        <v>Πεπερασμένος!</v>
      </c>
    </row>
    <row r="178" ht="15.75" customHeight="1">
      <c r="A178" s="4" t="s">
        <v>369</v>
      </c>
      <c r="B178" s="4" t="s">
        <v>370</v>
      </c>
      <c r="C178" s="4" t="str">
        <f>IFERROR(__xludf.DUMMYFUNCTION("GOOGLETRANSLATE(B178, ""en"", ""es"")"),"Brillo")</f>
        <v>Brillo</v>
      </c>
      <c r="D178" s="4" t="str">
        <f>IFERROR(__xludf.DUMMYFUNCTION("GOOGLETRANSLATE(B178, ""en"", ""pt"")"),"Brilho")</f>
        <v>Brilho</v>
      </c>
      <c r="E178" s="4" t="str">
        <f>IFERROR(__xludf.DUMMYFUNCTION("GOOGLETRANSLATE(B178, ""en"", ""ar"")"),"سطوع")</f>
        <v>سطوع</v>
      </c>
      <c r="F178" s="4" t="str">
        <f>IFERROR(__xludf.DUMMYFUNCTION("GOOGLETRANSLATE(B178, ""en"", ""km"")"),"ពន្លឺ")</f>
        <v>ពន្លឺ</v>
      </c>
      <c r="G178" s="4" t="str">
        <f>IFERROR(__xludf.DUMMYFUNCTION("GOOGLETRANSLATE(B178, ""en"", ""fr"")"),"Luminosité")</f>
        <v>Luminosité</v>
      </c>
      <c r="H178" s="4" t="str">
        <f>IFERROR(__xludf.DUMMYFUNCTION("GOOGLETRANSLATE(B178, ""en"", ""ro"")"),"Luminozitate")</f>
        <v>Luminozitate</v>
      </c>
      <c r="I178" s="4" t="str">
        <f>IFERROR(__xludf.DUMMYFUNCTION("GOOGLETRANSLATE(B178, ""en"", ""my"")"),"တောက်ပမှု")</f>
        <v>တောက်ပမှု</v>
      </c>
      <c r="J178" s="4" t="str">
        <f>IFERROR(__xludf.DUMMYFUNCTION("GOOGLETRANSLATE(B178, ""en"", ""sw"")"),"Mwangaza")</f>
        <v>Mwangaza</v>
      </c>
      <c r="K178" s="4" t="str">
        <f>IFERROR(__xludf.DUMMYFUNCTION("GOOGLETRANSLATE(B178, ""en"", ""th"")"),"ความสว่าง")</f>
        <v>ความสว่าง</v>
      </c>
      <c r="L178" s="4" t="str">
        <f>IFERROR(__xludf.DUMMYFUNCTION("GOOGLETRANSLATE(B178, ""en"", ""si"")"),"දීප්තිය")</f>
        <v>දීප්තිය</v>
      </c>
      <c r="M178" s="4" t="str">
        <f>IFERROR(__xludf.DUMMYFUNCTION("GOOGLETRANSLATE(B178, ""en"", ""vi"")"),"độ sáng")</f>
        <v>độ sáng</v>
      </c>
      <c r="N178" s="4" t="str">
        <f>IFERROR(__xludf.DUMMYFUNCTION("GOOGLETRANSLATE(B178, ""en"", ""ne"")"),"काठको जग")</f>
        <v>काठको जग</v>
      </c>
      <c r="O178" s="4" t="str">
        <f>IFERROR(__xludf.DUMMYFUNCTION("GOOGLETRANSLATE(B178, ""en"", ""de"")"),"Helligkeit")</f>
        <v>Helligkeit</v>
      </c>
      <c r="P178" s="4" t="str">
        <f>IFERROR(__xludf.DUMMYFUNCTION("GOOGLETRANSLATE(B178, ""en"", ""he"")"),"בְּהִירוּת")</f>
        <v>בְּהִירוּת</v>
      </c>
      <c r="Q178" s="4" t="str">
        <f>IFERROR(__xludf.DUMMYFUNCTION("GOOGLETRANSLATE(B178, ""en"", ""cs"")"),"Jas")</f>
        <v>Jas</v>
      </c>
      <c r="R178" s="4" t="str">
        <f>IFERROR(__xludf.DUMMYFUNCTION("GOOGLETRANSLATE(B178, ""en"", ""it"")"),"Luminosità")</f>
        <v>Luminosità</v>
      </c>
      <c r="S178" s="4" t="str">
        <f>IFERROR(__xludf.DUMMYFUNCTION("GOOGLETRANSLATE(B178, ""en"", ""el"")"),"Λάμψη")</f>
        <v>Λάμψη</v>
      </c>
    </row>
    <row r="179" ht="15.75" customHeight="1">
      <c r="A179" s="4" t="s">
        <v>371</v>
      </c>
      <c r="B179" s="4" t="s">
        <v>372</v>
      </c>
      <c r="C179" s="4" t="str">
        <f>IFERROR(__xludf.DUMMYFUNCTION("GOOGLETRANSLATE(B179, ""en"", ""es"")"),"Método de contacto: QQ / teléfono celular (requerido)")</f>
        <v>Método de contacto: QQ / teléfono celular (requerido)</v>
      </c>
      <c r="D179" s="4" t="str">
        <f>IFERROR(__xludf.DUMMYFUNCTION("GOOGLETRANSLATE(B179, ""en"", ""pt"")"),"Método de contato: QQ / celular (obrigatório)")</f>
        <v>Método de contato: QQ / celular (obrigatório)</v>
      </c>
      <c r="E179" s="4" t="str">
        <f>IFERROR(__xludf.DUMMYFUNCTION("GOOGLETRANSLATE(B179, ""en"", ""ar"")"),"طريقة الاتصال: QQ / الهاتف المحمول (مطلوب)")</f>
        <v>طريقة الاتصال: QQ / الهاتف المحمول (مطلوب)</v>
      </c>
      <c r="F179" s="4" t="str">
        <f>IFERROR(__xludf.DUMMYFUNCTION("GOOGLETRANSLATE(B179, ""en"", ""km"")"),"វិធីសាស្ត្រទំនាក់ទំនង: QQ / ទូរស័ព្ទដៃ (ចាំបាច់)")</f>
        <v>វិធីសាស្ត្រទំនាក់ទំនង: QQ / ទូរស័ព្ទដៃ (ចាំបាច់)</v>
      </c>
      <c r="G179" s="4" t="str">
        <f>IFERROR(__xludf.DUMMYFUNCTION("GOOGLETRANSLATE(B179, ""en"", ""fr"")"),"Méthode de contact: qq / téléphone portable (obligatoire)")</f>
        <v>Méthode de contact: qq / téléphone portable (obligatoire)</v>
      </c>
      <c r="H179" s="4" t="str">
        <f>IFERROR(__xludf.DUMMYFUNCTION("GOOGLETRANSLATE(B179, ""en"", ""ro"")"),"Metoda de contact: QQ / telefon mobil (obligatoriu)")</f>
        <v>Metoda de contact: QQ / telefon mobil (obligatoriu)</v>
      </c>
      <c r="I179" s="4" t="str">
        <f>IFERROR(__xludf.DUMMYFUNCTION("GOOGLETRANSLATE(B179, ""en"", ""my"")"),"ဆက်သွယ်ရန်နည်းလမ်း - QQ / Cellphone (လိုအပ်သည်)")</f>
        <v>ဆက်သွယ်ရန်နည်းလမ်း - QQ / Cellphone (လိုအပ်သည်)</v>
      </c>
      <c r="J179" s="4" t="str">
        <f>IFERROR(__xludf.DUMMYFUNCTION("GOOGLETRANSLATE(B179, ""en"", ""sw"")"),"Njia ya kuwasiliana: QQ / Simu ya mkononi (inahitajika)")</f>
        <v>Njia ya kuwasiliana: QQ / Simu ya mkononi (inahitajika)</v>
      </c>
      <c r="K179" s="4" t="str">
        <f>IFERROR(__xludf.DUMMYFUNCTION("GOOGLETRANSLATE(B179, ""en"", ""th"")"),"วิธีการติดต่อ: QQ / โทรศัพท์มือถือ (จำเป็น)")</f>
        <v>วิธีการติดต่อ: QQ / โทรศัพท์มือถือ (จำเป็น)</v>
      </c>
      <c r="L179" s="4" t="str">
        <f>IFERROR(__xludf.DUMMYFUNCTION("GOOGLETRANSLATE(B179, ""en"", ""si"")"),"සම්බන්ධතා ක්රමය: QQ / ජංගම දුරකථනය (අවශ්යයි)")</f>
        <v>සම්බන්ධතා ක්රමය: QQ / ජංගම දුරකථනය (අවශ්යයි)</v>
      </c>
      <c r="M179" s="4" t="str">
        <f>IFERROR(__xludf.DUMMYFUNCTION("GOOGLETRANSLATE(B179, ""en"", ""vi"")"),"Phương thức liên hệ: QQ / Điện thoại di động (bắt buộc)")</f>
        <v>Phương thức liên hệ: QQ / Điện thoại di động (bắt buộc)</v>
      </c>
      <c r="N179" s="4" t="str">
        <f>IFERROR(__xludf.DUMMYFUNCTION("GOOGLETRANSLATE(B179, ""en"", ""ne"")"),"सम्पर्क विधि: QQ / सेलफोन (आवश्यक)")</f>
        <v>सम्पर्क विधि: QQ / सेलफोन (आवश्यक)</v>
      </c>
      <c r="O179" s="4" t="str">
        <f>IFERROR(__xludf.DUMMYFUNCTION("GOOGLETRANSLATE(B179, ""en"", ""de"")"),"Kontaktmethode: QQ / Mobiltelefon (erforderlich)")</f>
        <v>Kontaktmethode: QQ / Mobiltelefon (erforderlich)</v>
      </c>
      <c r="P179" s="4" t="str">
        <f>IFERROR(__xludf.DUMMYFUNCTION("GOOGLETRANSLATE(B179, ""en"", ""he"")"),"שיטת קשר: QQ / נייד (חובה)")</f>
        <v>שיטת קשר: QQ / נייד (חובה)</v>
      </c>
      <c r="Q179" s="4" t="str">
        <f>IFERROR(__xludf.DUMMYFUNCTION("GOOGLETRANSLATE(B179, ""en"", ""cs"")"),"Kontaktní metoda: QQ / mobilní telefon (povinné)")</f>
        <v>Kontaktní metoda: QQ / mobilní telefon (povinné)</v>
      </c>
      <c r="R179" s="4" t="str">
        <f>IFERROR(__xludf.DUMMYFUNCTION("GOOGLETRANSLATE(B179, ""en"", ""it"")"),"Metodo di contatto: QQ / Cellphone (richiesto)")</f>
        <v>Metodo di contatto: QQ / Cellphone (richiesto)</v>
      </c>
      <c r="S179" s="4" t="str">
        <f>IFERROR(__xludf.DUMMYFUNCTION("GOOGLETRANSLATE(B179, ""en"", ""el"")"),"Μέθοδος επικοινωνίας: QQ / Cellphone (απαιτείται)")</f>
        <v>Μέθοδος επικοινωνίας: QQ / Cellphone (απαιτείται)</v>
      </c>
    </row>
    <row r="180" ht="15.75" customHeight="1">
      <c r="A180" s="4" t="s">
        <v>373</v>
      </c>
      <c r="B180" s="4" t="s">
        <v>374</v>
      </c>
      <c r="C180" s="5" t="str">
        <f>IFERROR(__xludf.DUMMYFUNCTION("GOOGLETRANSLATE(B180, ""en"", ""es"")"),"https://play.google.com/store/apps/developer?id=your+store")</f>
        <v>https://play.google.com/store/apps/developer?id=your+store</v>
      </c>
      <c r="D180" s="5" t="str">
        <f>IFERROR(__xludf.DUMMYFUNCTION("GOOGLETRANSLATE(B180, ""en"", ""pt"")"),"https://play.google.com/store/apps/developer?id=your+Store.")</f>
        <v>https://play.google.com/store/apps/developer?id=your+Store.</v>
      </c>
      <c r="E180" s="4" t="str">
        <f>IFERROR(__xludf.DUMMYFUNCTION("GOOGLETRANSLATE(B180, ""en"", ""ar"")"),"https://play.google.com/store/apps/developer؟id=your+store.")</f>
        <v>https://play.google.com/store/apps/developer؟id=your+store.</v>
      </c>
      <c r="F180" s="4" t="str">
        <f>IFERROR(__xludf.DUMMYFUNCTION("GOOGLETRANSLATE(B180, ""en"", ""km"")"),"https://play.google.com/store/store/store.com advevelopererer អ្នកជំនួញ")</f>
        <v>https://play.google.com/store/store/store.com advevelopererer អ្នកជំនួញ</v>
      </c>
      <c r="G180" s="5" t="str">
        <f>IFERROR(__xludf.DUMMYFUNCTION("GOOGLETRANSLATE(B180, ""en"", ""fr"")"),"https://play.google.com/store/apps/developer?id=your+Store")</f>
        <v>https://play.google.com/store/apps/developer?id=your+Store</v>
      </c>
      <c r="H180" s="5" t="str">
        <f>IFERROR(__xludf.DUMMYFUNCTION("GOOGLETRANSLATE(B180, ""en"", ""ro"")"),"https://play.google.com/store/apps/developer?id=your+store.")</f>
        <v>https://play.google.com/store/apps/developer?id=your+store.</v>
      </c>
      <c r="I180" s="4" t="str">
        <f>IFERROR(__xludf.DUMMYFUNCTION("GOOGLETRANSLATE(B180, ""en"", ""my"")"),"https://play.google.com/stance &gt;/pps/appsa")</f>
        <v>https://play.google.com/stance &gt;/pps/appsa</v>
      </c>
      <c r="J180" s="4" t="str">
        <f>IFERROR(__xludf.DUMMYFUNCTION("GOOGLETRANSLATE(B180, ""en"", ""sw"")"),"https://play.google.com/store/apps/developer?id=Your +Store.")</f>
        <v>https://play.google.com/store/apps/developer?id=Your +Store.</v>
      </c>
      <c r="K180" s="5" t="str">
        <f>IFERROR(__xludf.DUMMYFUNCTION("GOOGLETRANSLATE(B180, ""en"", ""th"")"),"https://play.google.com/store/apps/developer?id=your+store")</f>
        <v>https://play.google.com/store/apps/developer?id=your+store</v>
      </c>
      <c r="L180" s="4" t="str">
        <f>IFERROR(__xludf.DUMMYFUNCTION("GOOGLETRANSLATE(B180, ""en"", ""si"")"),"https:/pplay.google.com/Store/apps/apps/develore? Hide=your+ ToSore")</f>
        <v>https:/pplay.google.com/Store/apps/apps/develore? Hide=your+ ToSore</v>
      </c>
      <c r="M180" s="5" t="str">
        <f>IFERROR(__xludf.DUMMYFUNCTION("GOOGLETRANSLATE(B180, ""en"", ""vi"")"),"https://play.google.com.vn/store/apps/developer?id=your+store.")</f>
        <v>https://play.google.com.vn/store/apps/developer?id=your+store.</v>
      </c>
      <c r="N180" s="4" t="str">
        <f>IFERROR(__xludf.DUMMYFUNCTION("GOOGLETRANSLATE(B180, ""en"", ""ne"")"),"HTTPS:///ply.google.com/apse/apps/demsterme?ive=yly +")</f>
        <v>HTTPS:///ply.google.com/apse/apps/demsterme?ive=yly +</v>
      </c>
      <c r="O180" s="5" t="str">
        <f>IFERROR(__xludf.DUMMYFUNCTION("GOOGLETRANSLATE(B180, ""en"", ""de"")"),"https://play.google.com/store/apps/develoPer?id=your+Store.")</f>
        <v>https://play.google.com/store/apps/develoPer?id=your+Store.</v>
      </c>
      <c r="P180" s="5" t="str">
        <f>IFERROR(__xludf.DUMMYFUNCTION("GOOGLETRANSLATE(B180, ""en"", ""he"")"),"https://play.google.com/store/apps/developer?id=Your+store.")</f>
        <v>https://play.google.com/store/apps/developer?id=Your+store.</v>
      </c>
      <c r="Q180" s="5" t="str">
        <f>IFERROR(__xludf.DUMMYFUNCTION("GOOGLETRANSLATE(B180, ""en"", ""cs"")"),"https://play.google.com/store/apps/developer?id=your+store.")</f>
        <v>https://play.google.com/store/apps/developer?id=your+store.</v>
      </c>
      <c r="R180" s="5" t="str">
        <f>IFERROR(__xludf.DUMMYFUNCTION("GOOGLETRANSLATE(B180, ""en"", ""it"")"),"https://play.google.com/store/apps/developer?id=your+store.")</f>
        <v>https://play.google.com/store/apps/developer?id=your+store.</v>
      </c>
      <c r="S180" s="5" t="str">
        <f>IFERROR(__xludf.DUMMYFUNCTION("GOOGLETRANSLATE(B180, ""en"", ""el"")"),"https://play.google.com/store/apps/developer?id=your+store")</f>
        <v>https://play.google.com/store/apps/developer?id=your+store</v>
      </c>
    </row>
    <row r="181" ht="15.75" customHeight="1">
      <c r="A181" s="4" t="s">
        <v>375</v>
      </c>
      <c r="B181" s="4" t="s">
        <v>376</v>
      </c>
      <c r="C181" s="4" t="str">
        <f>IFERROR(__xludf.DUMMYFUNCTION("GOOGLETRANSLATE(B181, ""en"", ""es"")"),"Aplicaciones del sistema")</f>
        <v>Aplicaciones del sistema</v>
      </c>
      <c r="D181" s="4" t="str">
        <f>IFERROR(__xludf.DUMMYFUNCTION("GOOGLETRANSLATE(B181, ""en"", ""pt"")"),"Aplicativos do sistema.")</f>
        <v>Aplicativos do sistema.</v>
      </c>
      <c r="E181" s="4" t="str">
        <f>IFERROR(__xludf.DUMMYFUNCTION("GOOGLETRANSLATE(B181, ""en"", ""ar"")"),"تطبيقات النظام")</f>
        <v>تطبيقات النظام</v>
      </c>
      <c r="F181" s="4" t="str">
        <f>IFERROR(__xludf.DUMMYFUNCTION("GOOGLETRANSLATE(B181, ""en"", ""km"")"),"កម្មវិធីប្រព័ន្ធ")</f>
        <v>កម្មវិធីប្រព័ន្ធ</v>
      </c>
      <c r="G181" s="4" t="str">
        <f>IFERROR(__xludf.DUMMYFUNCTION("GOOGLETRANSLATE(B181, ""en"", ""fr"")"),"Applications système")</f>
        <v>Applications système</v>
      </c>
      <c r="H181" s="4" t="str">
        <f>IFERROR(__xludf.DUMMYFUNCTION("GOOGLETRANSLATE(B181, ""en"", ""ro"")"),"Aplicații de sistem")</f>
        <v>Aplicații de sistem</v>
      </c>
      <c r="I181" s="4" t="str">
        <f>IFERROR(__xludf.DUMMYFUNCTION("GOOGLETRANSLATE(B181, ""en"", ""my"")"),"စနစ်အက်ပလီကေးရှင်းများ")</f>
        <v>စနစ်အက်ပလီကေးရှင်းများ</v>
      </c>
      <c r="J181" s="4" t="str">
        <f>IFERROR(__xludf.DUMMYFUNCTION("GOOGLETRANSLATE(B181, ""en"", ""sw"")"),"Programu za Mfumo")</f>
        <v>Programu za Mfumo</v>
      </c>
      <c r="K181" s="4" t="str">
        <f>IFERROR(__xludf.DUMMYFUNCTION("GOOGLETRANSLATE(B181, ""en"", ""th"")"),"แอประบบ")</f>
        <v>แอประบบ</v>
      </c>
      <c r="L181" s="4" t="str">
        <f>IFERROR(__xludf.DUMMYFUNCTION("GOOGLETRANSLATE(B181, ""en"", ""si"")"),"පද්ධති යෙදුම්")</f>
        <v>පද්ධති යෙදුම්</v>
      </c>
      <c r="M181" s="4" t="str">
        <f>IFERROR(__xludf.DUMMYFUNCTION("GOOGLETRANSLATE(B181, ""en"", ""vi"")"),"Ứng dụng hệ thống")</f>
        <v>Ứng dụng hệ thống</v>
      </c>
      <c r="N181" s="4" t="str">
        <f>IFERROR(__xludf.DUMMYFUNCTION("GOOGLETRANSLATE(B181, ""en"", ""ne"")"),"प्रणाली अनुप्रयोगहरू")</f>
        <v>प्रणाली अनुप्रयोगहरू</v>
      </c>
      <c r="O181" s="4" t="str">
        <f>IFERROR(__xludf.DUMMYFUNCTION("GOOGLETRANSLATE(B181, ""en"", ""de"")"),"System-Apps.")</f>
        <v>System-Apps.</v>
      </c>
      <c r="P181" s="4" t="str">
        <f>IFERROR(__xludf.DUMMYFUNCTION("GOOGLETRANSLATE(B181, ""en"", ""he"")"),"מערכת Apps.")</f>
        <v>מערכת Apps.</v>
      </c>
      <c r="Q181" s="4" t="str">
        <f>IFERROR(__xludf.DUMMYFUNCTION("GOOGLETRANSLATE(B181, ""en"", ""cs"")"),"Systémové aplikace")</f>
        <v>Systémové aplikace</v>
      </c>
      <c r="R181" s="4" t="str">
        <f>IFERROR(__xludf.DUMMYFUNCTION("GOOGLETRANSLATE(B181, ""en"", ""it"")"),"App di sistema.")</f>
        <v>App di sistema.</v>
      </c>
      <c r="S181" s="4" t="str">
        <f>IFERROR(__xludf.DUMMYFUNCTION("GOOGLETRANSLATE(B181, ""en"", ""el"")"),"Εφαρμογές συστήματος")</f>
        <v>Εφαρμογές συστήματος</v>
      </c>
    </row>
    <row r="182" ht="15.75" customHeight="1">
      <c r="A182" s="4" t="s">
        <v>377</v>
      </c>
      <c r="B182" s="4" t="s">
        <v>378</v>
      </c>
      <c r="C182" s="4" t="str">
        <f>IFERROR(__xludf.DUMMYFUNCTION("GOOGLETRANSLATE(B182, ""en"", ""es"")"),"Al continuar, usted acepta la Política de privacidad.")</f>
        <v>Al continuar, usted acepta la Política de privacidad.</v>
      </c>
      <c r="D182" s="4" t="str">
        <f>IFERROR(__xludf.DUMMYFUNCTION("GOOGLETRANSLATE(B182, ""en"", ""pt"")"),"Continuando, você concorda com a política de privacidade")</f>
        <v>Continuando, você concorda com a política de privacidade</v>
      </c>
      <c r="E182" s="4" t="str">
        <f>IFERROR(__xludf.DUMMYFUNCTION("GOOGLETRANSLATE(B182, ""en"", ""ar"")"),"من خلال الاستمرار، فإنك توافق على سياسة الخصوصية")</f>
        <v>من خلال الاستمرار، فإنك توافق على سياسة الخصوصية</v>
      </c>
      <c r="F182" s="4" t="str">
        <f>IFERROR(__xludf.DUMMYFUNCTION("GOOGLETRANSLATE(B182, ""en"", ""km"")"),"តាមរយៈការបន្តអ្នកយល់ព្រមនឹងគោលការណ៍ឯកជនភាព")</f>
        <v>តាមរយៈការបន្តអ្នកយល់ព្រមនឹងគោលការណ៍ឯកជនភាព</v>
      </c>
      <c r="G182" s="4" t="str">
        <f>IFERROR(__xludf.DUMMYFUNCTION("GOOGLETRANSLATE(B182, ""en"", ""fr"")"),"En continuant, vous acceptez la politique de confidentialité")</f>
        <v>En continuant, vous acceptez la politique de confidentialité</v>
      </c>
      <c r="H182" s="4" t="str">
        <f>IFERROR(__xludf.DUMMYFUNCTION("GOOGLETRANSLATE(B182, ""en"", ""ro"")"),"Continuând, sunteți de acord cu Politica de confidențialitate")</f>
        <v>Continuând, sunteți de acord cu Politica de confidențialitate</v>
      </c>
      <c r="I182" s="4" t="str">
        <f>IFERROR(__xludf.DUMMYFUNCTION("GOOGLETRANSLATE(B182, ""en"", ""my"")"),"ဆက်လုပ်ခြင်းအားဖြင့်သင်သည်သီးသန့်တည်ရှိမှုမူဝါဒကိုသင်သဘောတူသည်")</f>
        <v>ဆက်လုပ်ခြင်းအားဖြင့်သင်သည်သီးသန့်တည်ရှိမှုမူဝါဒကိုသင်သဘောတူသည်</v>
      </c>
      <c r="J182" s="4" t="str">
        <f>IFERROR(__xludf.DUMMYFUNCTION("GOOGLETRANSLATE(B182, ""en"", ""sw"")"),"Kwa kuendelea, unakubaliana na Sera ya Faragha.")</f>
        <v>Kwa kuendelea, unakubaliana na Sera ya Faragha.</v>
      </c>
      <c r="K182" s="4" t="str">
        <f>IFERROR(__xludf.DUMMYFUNCTION("GOOGLETRANSLATE(B182, ""en"", ""th"")"),"โดยดำเนินการต่อคุณยอมรับนโยบายความเป็นส่วนตัว")</f>
        <v>โดยดำเนินการต่อคุณยอมรับนโยบายความเป็นส่วนตัว</v>
      </c>
      <c r="L182" s="4" t="str">
        <f>IFERROR(__xludf.DUMMYFUNCTION("GOOGLETRANSLATE(B182, ""en"", ""si"")"),"අඛණ්ඩව, ඔබ රහස්යතා ප්රතිපත්තියට එකඟ වේ")</f>
        <v>අඛණ්ඩව, ඔබ රහස්යතා ප්රතිපත්තියට එකඟ වේ</v>
      </c>
      <c r="M182" s="4" t="str">
        <f>IFERROR(__xludf.DUMMYFUNCTION("GOOGLETRANSLATE(B182, ""en"", ""vi"")"),"Bằng cách tiếp tục, bạn đồng ý với Chính sách quyền riêng tư")</f>
        <v>Bằng cách tiếp tục, bạn đồng ý với Chính sách quyền riêng tư</v>
      </c>
      <c r="N182" s="4" t="str">
        <f>IFERROR(__xludf.DUMMYFUNCTION("GOOGLETRANSLATE(B182, ""en"", ""ne"")"),"जारी राखेर, तपाईं गोपनीयता नीतिमा सहमत हुनुहुन्छ")</f>
        <v>जारी राखेर, तपाईं गोपनीयता नीतिमा सहमत हुनुहुन्छ</v>
      </c>
      <c r="O182" s="4" t="str">
        <f>IFERROR(__xludf.DUMMYFUNCTION("GOOGLETRANSLATE(B182, ""en"", ""de"")"),"Indem Sie fortfahren, stimmen Sie der Datenschutzrichtlinie zu")</f>
        <v>Indem Sie fortfahren, stimmen Sie der Datenschutzrichtlinie zu</v>
      </c>
      <c r="P182" s="4" t="str">
        <f>IFERROR(__xludf.DUMMYFUNCTION("GOOGLETRANSLATE(B182, ""en"", ""he"")"),"על ידי המשך, אתה מסכים למדיניות הפרטיות")</f>
        <v>על ידי המשך, אתה מסכים למדיניות הפרטיות</v>
      </c>
      <c r="Q182" s="4" t="str">
        <f>IFERROR(__xludf.DUMMYFUNCTION("GOOGLETRANSLATE(B182, ""en"", ""cs"")"),"Pokračováním, souhlasíte s zásadami ochrany osobních údajů")</f>
        <v>Pokračováním, souhlasíte s zásadami ochrany osobních údajů</v>
      </c>
      <c r="R182" s="4" t="str">
        <f>IFERROR(__xludf.DUMMYFUNCTION("GOOGLETRANSLATE(B182, ""en"", ""it"")"),"Continuando, accetti l'informativa sulla privacy")</f>
        <v>Continuando, accetti l'informativa sulla privacy</v>
      </c>
      <c r="S182" s="4" t="str">
        <f>IFERROR(__xludf.DUMMYFUNCTION("GOOGLETRANSLATE(B182, ""en"", ""el"")"),"Συνεχίζοντας, συμφωνείτε με την πολιτική απορρήτου")</f>
        <v>Συνεχίζοντας, συμφωνείτε με την πολιτική απορρήτου</v>
      </c>
    </row>
    <row r="183" ht="15.75" customHeight="1">
      <c r="A183" s="4" t="s">
        <v>379</v>
      </c>
      <c r="B183" s="4" t="s">
        <v>380</v>
      </c>
      <c r="C183" s="4" t="str">
        <f>IFERROR(__xludf.DUMMYFUNCTION("GOOGLETRANSLATE(B183, ""en"", ""es"")"),"La aplicación no existe")</f>
        <v>La aplicación no existe</v>
      </c>
      <c r="D183" s="4" t="str">
        <f>IFERROR(__xludf.DUMMYFUNCTION("GOOGLETRANSLATE(B183, ""en"", ""pt"")"),"Aplicação não existe")</f>
        <v>Aplicação não existe</v>
      </c>
      <c r="E183" s="4" t="str">
        <f>IFERROR(__xludf.DUMMYFUNCTION("GOOGLETRANSLATE(B183, ""en"", ""ar"")"),"التطبيق غير موجود")</f>
        <v>التطبيق غير موجود</v>
      </c>
      <c r="F183" s="4" t="str">
        <f>IFERROR(__xludf.DUMMYFUNCTION("GOOGLETRANSLATE(B183, ""en"", ""km"")"),"មិនមានកម្មវិធីទេ")</f>
        <v>មិនមានកម្មវិធីទេ</v>
      </c>
      <c r="G183" s="4" t="str">
        <f>IFERROR(__xludf.DUMMYFUNCTION("GOOGLETRANSLATE(B183, ""en"", ""fr"")"),"L'application n'existe pas")</f>
        <v>L'application n'existe pas</v>
      </c>
      <c r="H183" s="4" t="str">
        <f>IFERROR(__xludf.DUMMYFUNCTION("GOOGLETRANSLATE(B183, ""en"", ""ro"")"),"Cererea nu există")</f>
        <v>Cererea nu există</v>
      </c>
      <c r="I183" s="4" t="str">
        <f>IFERROR(__xludf.DUMMYFUNCTION("GOOGLETRANSLATE(B183, ""en"", ""my"")"),"လျှောက်လွှာမရှိပါ")</f>
        <v>လျှောက်လွှာမရှိပါ</v>
      </c>
      <c r="J183" s="4" t="str">
        <f>IFERROR(__xludf.DUMMYFUNCTION("GOOGLETRANSLATE(B183, ""en"", ""sw"")"),"Maombi haipo")</f>
        <v>Maombi haipo</v>
      </c>
      <c r="K183" s="4" t="str">
        <f>IFERROR(__xludf.DUMMYFUNCTION("GOOGLETRANSLATE(B183, ""en"", ""th"")"),"ไม่มีแอปพลิเคชัน")</f>
        <v>ไม่มีแอปพลิเคชัน</v>
      </c>
      <c r="L183" s="4" t="str">
        <f>IFERROR(__xludf.DUMMYFUNCTION("GOOGLETRANSLATE(B183, ""en"", ""si"")"),"යෙදුම නොපවතී")</f>
        <v>යෙදුම නොපවතී</v>
      </c>
      <c r="M183" s="4" t="str">
        <f>IFERROR(__xludf.DUMMYFUNCTION("GOOGLETRANSLATE(B183, ""en"", ""vi"")"),"Ứng dụng không tồn tại")</f>
        <v>Ứng dụng không tồn tại</v>
      </c>
      <c r="N183" s="4" t="str">
        <f>IFERROR(__xludf.DUMMYFUNCTION("GOOGLETRANSLATE(B183, ""en"", ""ne"")"),"अनुप्रयोग अवस्थित छैन")</f>
        <v>अनुप्रयोग अवस्थित छैन</v>
      </c>
      <c r="O183" s="4" t="str">
        <f>IFERROR(__xludf.DUMMYFUNCTION("GOOGLETRANSLATE(B183, ""en"", ""de"")"),"Bewerbung nicht existiert.")</f>
        <v>Bewerbung nicht existiert.</v>
      </c>
      <c r="P183" s="4" t="str">
        <f>IFERROR(__xludf.DUMMYFUNCTION("GOOGLETRANSLATE(B183, ""en"", ""he"")"),"בקשה לא קיימת")</f>
        <v>בקשה לא קיימת</v>
      </c>
      <c r="Q183" s="4" t="str">
        <f>IFERROR(__xludf.DUMMYFUNCTION("GOOGLETRANSLATE(B183, ""en"", ""cs"")"),"Aplikace neexistuje")</f>
        <v>Aplikace neexistuje</v>
      </c>
      <c r="R183" s="4" t="str">
        <f>IFERROR(__xludf.DUMMYFUNCTION("GOOGLETRANSLATE(B183, ""en"", ""it"")"),"L'applicazione non esiste")</f>
        <v>L'applicazione non esiste</v>
      </c>
      <c r="S183" s="4" t="str">
        <f>IFERROR(__xludf.DUMMYFUNCTION("GOOGLETRANSLATE(B183, ""en"", ""el"")"),"Η εφαρμογή δεν υπάρχει")</f>
        <v>Η εφαρμογή δεν υπάρχει</v>
      </c>
    </row>
    <row r="184" ht="15.75" customHeight="1">
      <c r="A184" s="4" t="s">
        <v>381</v>
      </c>
      <c r="B184" s="4" t="s">
        <v>382</v>
      </c>
      <c r="C184" s="4" t="str">
        <f>IFERROR(__xludf.DUMMYFUNCTION("GOOGLETRANSLATE(B184, ""en"", ""es"")"),"Use Function Funcion Fiche para limpiar")</f>
        <v>Use Function Funcion Fiche para limpiar</v>
      </c>
      <c r="D184" s="4" t="str">
        <f>IFERROR(__xludf.DUMMYFUNCTION("GOOGLETRANSLATE(B184, ""en"", ""pt"")"),"Use o arquivo de lixo de função para limpar")</f>
        <v>Use o arquivo de lixo de função para limpar</v>
      </c>
      <c r="E184" s="4" t="str">
        <f>IFERROR(__xludf.DUMMYFUNCTION("GOOGLETRANSLATE(B184, ""en"", ""ar"")"),"استخدام وظيفة الملف غير المرغوب فيه لتنظيف")</f>
        <v>استخدام وظيفة الملف غير المرغوب فيه لتنظيف</v>
      </c>
      <c r="F184" s="4" t="str">
        <f>IFERROR(__xludf.DUMMYFUNCTION("GOOGLETRANSLATE(B184, ""en"", ""km"")"),"ប្រើមុខងារមុខងារសម្អាតមុខងារដើម្បីសម្អាត")</f>
        <v>ប្រើមុខងារមុខងារសម្អាតមុខងារដើម្បីសម្អាត</v>
      </c>
      <c r="G184" s="4" t="str">
        <f>IFERROR(__xludf.DUMMYFUNCTION("GOOGLETRANSLATE(B184, ""en"", ""fr"")"),"Utilisez la fonction de fonction de la fonction pour nettoyer")</f>
        <v>Utilisez la fonction de fonction de la fonction pour nettoyer</v>
      </c>
      <c r="H184" s="4" t="str">
        <f>IFERROR(__xludf.DUMMYFUNCTION("GOOGLETRANSLATE(B184, ""en"", ""ro"")"),"Utilizați fișierul Junk Function pentru a curăța")</f>
        <v>Utilizați fișierul Junk Function pentru a curăța</v>
      </c>
      <c r="I184" s="4" t="str">
        <f>IFERROR(__xludf.DUMMYFUNCTION("GOOGLETRANSLATE(B184, ""en"", ""my"")"),"သန့်ရှင်းဖို့ function junk file ကိုသုံးပါ")</f>
        <v>သန့်ရှင်းဖို့ function junk file ကိုသုံးပါ</v>
      </c>
      <c r="J184" s="4" t="str">
        <f>IFERROR(__xludf.DUMMYFUNCTION("GOOGLETRANSLATE(B184, ""en"", ""sw"")"),"Tumia faili ya junk ya kazi ili kusafisha")</f>
        <v>Tumia faili ya junk ya kazi ili kusafisha</v>
      </c>
      <c r="K184" s="4" t="str">
        <f>IFERROR(__xludf.DUMMYFUNCTION("GOOGLETRANSLATE(B184, ""en"", ""th"")"),"ใช้ฟังก์ชั่นไฟล์ขยะเพื่อทำความสะอาด")</f>
        <v>ใช้ฟังก์ชั่นไฟล์ขยะเพื่อทำความสะอาด</v>
      </c>
      <c r="L184" s="4" t="str">
        <f>IFERROR(__xludf.DUMMYFUNCTION("GOOGLETRANSLATE(B184, ""en"", ""si"")"),"පිරිසිදු කිරීම සඳහා ක්රියාකාරී කුණු ගොනුව භාවිතා කරන්න")</f>
        <v>පිරිසිදු කිරීම සඳහා ක්රියාකාරී කුණු ගොනුව භාවිතා කරන්න</v>
      </c>
      <c r="M184" s="4" t="str">
        <f>IFERROR(__xludf.DUMMYFUNCTION("GOOGLETRANSLATE(B184, ""en"", ""vi"")"),"Sử dụng tập tin rác chức năng để làm sạch")</f>
        <v>Sử dụng tập tin rác chức năng để làm sạch</v>
      </c>
      <c r="N184" s="4" t="str">
        <f>IFERROR(__xludf.DUMMYFUNCTION("GOOGLETRANSLATE(B184, ""en"", ""ne"")"),"सफा गर्न कार्य जंक फाईल प्रयोग गर्नुहोस्")</f>
        <v>सफा गर्न कार्य जंक फाईल प्रयोग गर्नुहोस्</v>
      </c>
      <c r="O184" s="4" t="str">
        <f>IFERROR(__xludf.DUMMYFUNCTION("GOOGLETRANSLATE(B184, ""en"", ""de"")"),"Verwenden Sie die Funktionsstreuungsdatei, um zu reinigen")</f>
        <v>Verwenden Sie die Funktionsstreuungsdatei, um zu reinigen</v>
      </c>
      <c r="P184" s="4" t="str">
        <f>IFERROR(__xludf.DUMMYFUNCTION("GOOGLETRANSLATE(B184, ""en"", ""he"")"),"השתמש בקובץ זבל פונקציה לניקוי")</f>
        <v>השתמש בקובץ זבל פונקציה לניקוי</v>
      </c>
      <c r="Q184" s="4" t="str">
        <f>IFERROR(__xludf.DUMMYFUNCTION("GOOGLETRANSLATE(B184, ""en"", ""cs"")"),"Použijte funkci nevyžádaného souboru")</f>
        <v>Použijte funkci nevyžádaného souboru</v>
      </c>
      <c r="R184" s="4" t="str">
        <f>IFERROR(__xludf.DUMMYFUNCTION("GOOGLETRANSLATE(B184, ""en"", ""it"")"),"Utilizzare Funzione file junk per pulire")</f>
        <v>Utilizzare Funzione file junk per pulire</v>
      </c>
      <c r="S184" s="4" t="str">
        <f>IFERROR(__xludf.DUMMYFUNCTION("GOOGLETRANSLATE(B184, ""en"", ""el"")"),"Χρησιμοποιήστε το αρχείο ανεπιθύμητης λειτουργίας για να καθαρίσετε")</f>
        <v>Χρησιμοποιήστε το αρχείο ανεπιθύμητης λειτουργίας για να καθαρίσετε</v>
      </c>
    </row>
    <row r="185" ht="15.75" customHeight="1">
      <c r="A185" s="4" t="s">
        <v>383</v>
      </c>
      <c r="B185" s="4" t="s">
        <v>384</v>
      </c>
      <c r="C185" s="4" t="str">
        <f>IFERROR(__xludf.DUMMYFUNCTION("GOOGLETRANSLATE(B185, ""en"", ""es"")"),"Reducir la temperatura del dispositivo para ahorrar la batería")</f>
        <v>Reducir la temperatura del dispositivo para ahorrar la batería</v>
      </c>
      <c r="D185" s="4" t="str">
        <f>IFERROR(__xludf.DUMMYFUNCTION("GOOGLETRANSLATE(B185, ""en"", ""pt"")"),"Reduza a temperatura do dispositivo para economizar bateria")</f>
        <v>Reduza a temperatura do dispositivo para economizar bateria</v>
      </c>
      <c r="E185" s="4" t="str">
        <f>IFERROR(__xludf.DUMMYFUNCTION("GOOGLETRANSLATE(B185, ""en"", ""ar"")"),"تقليل درجة حرارة الجهاز لتوفير البطارية")</f>
        <v>تقليل درجة حرارة الجهاز لتوفير البطارية</v>
      </c>
      <c r="F185" s="4" t="str">
        <f>IFERROR(__xludf.DUMMYFUNCTION("GOOGLETRANSLATE(B185, ""en"", ""km"")"),"កាត់បន្ថយសីតុណ្ហភាពឧបករណ៍ដើម្បីសន្សំថ្ម")</f>
        <v>កាត់បន្ថយសីតុណ្ហភាពឧបករណ៍ដើម្បីសន្សំថ្ម</v>
      </c>
      <c r="G185" s="4" t="str">
        <f>IFERROR(__xludf.DUMMYFUNCTION("GOOGLETRANSLATE(B185, ""en"", ""fr"")"),"Réduisez la température de l'appareil pour économiser la batterie")</f>
        <v>Réduisez la température de l'appareil pour économiser la batterie</v>
      </c>
      <c r="H185" s="4" t="str">
        <f>IFERROR(__xludf.DUMMYFUNCTION("GOOGLETRANSLATE(B185, ""en"", ""ro"")"),"Reduceți temperatura dispozitivului pentru a economisi bateria")</f>
        <v>Reduceți temperatura dispozitivului pentru a economisi bateria</v>
      </c>
      <c r="I185" s="4" t="str">
        <f>IFERROR(__xludf.DUMMYFUNCTION("GOOGLETRANSLATE(B185, ""en"", ""my"")"),"ဘက်ထရီကိုကယ်တင်ရန် device အပူချိန်ကိုလျှော့ချပါ")</f>
        <v>ဘက်ထရီကိုကယ်တင်ရန် device အပူချိန်ကိုလျှော့ချပါ</v>
      </c>
      <c r="J185" s="4" t="str">
        <f>IFERROR(__xludf.DUMMYFUNCTION("GOOGLETRANSLATE(B185, ""en"", ""sw"")"),"Kupunguza joto la kifaa ili kuokoa betri.")</f>
        <v>Kupunguza joto la kifaa ili kuokoa betri.</v>
      </c>
      <c r="K185" s="4" t="str">
        <f>IFERROR(__xludf.DUMMYFUNCTION("GOOGLETRANSLATE(B185, ""en"", ""th"")"),"ลดอุณหภูมิของอุปกรณ์เพื่อประหยัดแบตเตอรี่")</f>
        <v>ลดอุณหภูมิของอุปกรณ์เพื่อประหยัดแบตเตอรี่</v>
      </c>
      <c r="L185" s="4" t="str">
        <f>IFERROR(__xludf.DUMMYFUNCTION("GOOGLETRANSLATE(B185, ""en"", ""si"")"),"බැටරිය සුරැකීම සඳහා උපාංග උෂ්ණත්වය අඩු කරන්න")</f>
        <v>බැටරිය සුරැකීම සඳහා උපාංග උෂ්ණත්වය අඩු කරන්න</v>
      </c>
      <c r="M185" s="4" t="str">
        <f>IFERROR(__xludf.DUMMYFUNCTION("GOOGLETRANSLATE(B185, ""en"", ""vi"")"),"Giảm nhiệt độ thiết bị để tiết kiệm pin")</f>
        <v>Giảm nhiệt độ thiết bị để tiết kiệm pin</v>
      </c>
      <c r="N185" s="4" t="str">
        <f>IFERROR(__xludf.DUMMYFUNCTION("GOOGLETRANSLATE(B185, ""en"", ""ne"")"),"ब्याट्री बचत गर्न उपकरण तापमान कम गर्नुहोस्")</f>
        <v>ब्याट्री बचत गर्न उपकरण तापमान कम गर्नुहोस्</v>
      </c>
      <c r="O185" s="4" t="str">
        <f>IFERROR(__xludf.DUMMYFUNCTION("GOOGLETRANSLATE(B185, ""en"", ""de"")"),"Reduzieren Sie die Gerätetemperatur, um den Akku zu speichern")</f>
        <v>Reduzieren Sie die Gerätetemperatur, um den Akku zu speichern</v>
      </c>
      <c r="P185" s="4" t="str">
        <f>IFERROR(__xludf.DUMMYFUNCTION("GOOGLETRANSLATE(B185, ""en"", ""he"")"),"הפחת את טמפרטורת המכשיר כדי לשמור את הסוללה")</f>
        <v>הפחת את טמפרטורת המכשיר כדי לשמור את הסוללה</v>
      </c>
      <c r="Q185" s="4" t="str">
        <f>IFERROR(__xludf.DUMMYFUNCTION("GOOGLETRANSLATE(B185, ""en"", ""cs"")"),"Snižte teplotu zařízení pro uložení baterie")</f>
        <v>Snižte teplotu zařízení pro uložení baterie</v>
      </c>
      <c r="R185" s="4" t="str">
        <f>IFERROR(__xludf.DUMMYFUNCTION("GOOGLETRANSLATE(B185, ""en"", ""it"")"),"Ridurre la temperatura del dispositivo per salvare la batteria")</f>
        <v>Ridurre la temperatura del dispositivo per salvare la batteria</v>
      </c>
      <c r="S185" s="4" t="str">
        <f>IFERROR(__xludf.DUMMYFUNCTION("GOOGLETRANSLATE(B185, ""en"", ""el"")"),"Μειώστε τη θερμοκρασία της συσκευής για εξοικονόμηση μπαταρίας")</f>
        <v>Μειώστε τη θερμοκρασία της συσκευής για εξοικονόμηση μπαταρίας</v>
      </c>
    </row>
    <row r="186" ht="15.75" customHeight="1">
      <c r="A186" s="4" t="s">
        <v>385</v>
      </c>
      <c r="B186" s="4" t="s">
        <v>386</v>
      </c>
      <c r="C186" s="4" t="str">
        <f>IFERROR(__xludf.DUMMYFUNCTION("GOOGLETRANSLATE(B186, ""en"", ""es"")"),"Crea clave gráfica para la cerradura de la aplicación")</f>
        <v>Crea clave gráfica para la cerradura de la aplicación</v>
      </c>
      <c r="D186" s="4" t="str">
        <f>IFERROR(__xludf.DUMMYFUNCTION("GOOGLETRANSLATE(B186, ""en"", ""pt"")"),"Crie chave gráfica para bloqueio de aplicativo")</f>
        <v>Crie chave gráfica para bloqueio de aplicativo</v>
      </c>
      <c r="E186" s="4" t="str">
        <f>IFERROR(__xludf.DUMMYFUNCTION("GOOGLETRANSLATE(B186, ""en"", ""ar"")"),"إنشاء مفتاح الرسم لقفل التطبيق")</f>
        <v>إنشاء مفتاح الرسم لقفل التطبيق</v>
      </c>
      <c r="F186" s="4" t="str">
        <f>IFERROR(__xludf.DUMMYFUNCTION("GOOGLETRANSLATE(B186, ""en"", ""km"")"),"បង្កើតកូនសោក្រាហ្វិកសម្រាប់សោរកម្មវិធី")</f>
        <v>បង្កើតកូនសោក្រាហ្វិកសម្រាប់សោរកម្មវិធី</v>
      </c>
      <c r="G186" s="4" t="str">
        <f>IFERROR(__xludf.DUMMYFUNCTION("GOOGLETRANSLATE(B186, ""en"", ""fr"")"),"Créer une clé graphique pour l'application LOCK")</f>
        <v>Créer une clé graphique pour l'application LOCK</v>
      </c>
      <c r="H186" s="4" t="str">
        <f>IFERROR(__xludf.DUMMYFUNCTION("GOOGLETRANSLATE(B186, ""en"", ""ro"")"),"Creați cheia grafică pentru blocarea aplicației")</f>
        <v>Creați cheia grafică pentru blocarea aplicației</v>
      </c>
      <c r="I186" s="4" t="str">
        <f>IFERROR(__xludf.DUMMYFUNCTION("GOOGLETRANSLATE(B186, ""en"", ""my"")"),"App Lock အတွက်ဂရပ်ဖစ်သော့ကိုဖန်တီးပါ")</f>
        <v>App Lock အတွက်ဂရပ်ဖစ်သော့ကိုဖန်တီးပါ</v>
      </c>
      <c r="J186" s="4" t="str">
        <f>IFERROR(__xludf.DUMMYFUNCTION("GOOGLETRANSLATE(B186, ""en"", ""sw"")"),"Unda ufunguo wa graphic kwa programu ya lock.")</f>
        <v>Unda ufunguo wa graphic kwa programu ya lock.</v>
      </c>
      <c r="K186" s="4" t="str">
        <f>IFERROR(__xludf.DUMMYFUNCTION("GOOGLETRANSLATE(B186, ""en"", ""th"")"),"สร้างคีย์กราฟิกสำหรับล็อคแอป")</f>
        <v>สร้างคีย์กราฟิกสำหรับล็อคแอป</v>
      </c>
      <c r="L186" s="4" t="str">
        <f>IFERROR(__xludf.DUMMYFUNCTION("GOOGLETRANSLATE(B186, ""en"", ""si"")"),"යෙදුම් අගුල සඳහා ග්රැෆික් යතුර සාදන්න")</f>
        <v>යෙදුම් අගුල සඳහා ග්රැෆික් යතුර සාදන්න</v>
      </c>
      <c r="M186" s="4" t="str">
        <f>IFERROR(__xludf.DUMMYFUNCTION("GOOGLETRANSLATE(B186, ""en"", ""vi"")"),"Tạo khóa đồ họa cho khóa ứng dụng")</f>
        <v>Tạo khóa đồ họa cho khóa ứng dụng</v>
      </c>
      <c r="N186" s="4" t="str">
        <f>IFERROR(__xludf.DUMMYFUNCTION("GOOGLETRANSLATE(B186, ""en"", ""ne"")"),"अनुप्रयोग लक को लागी ग्राफिक्स कुञ्जी सिर्जना गर्नुहोस्")</f>
        <v>अनुप्रयोग लक को लागी ग्राफिक्स कुञ्जी सिर्जना गर्नुहोस्</v>
      </c>
      <c r="O186" s="4" t="str">
        <f>IFERROR(__xludf.DUMMYFUNCTION("GOOGLETRANSLATE(B186, ""en"", ""de"")"),"Erstellen Sie den Grafikschlüssel für die App-Sperre")</f>
        <v>Erstellen Sie den Grafikschlüssel für die App-Sperre</v>
      </c>
      <c r="P186" s="4" t="str">
        <f>IFERROR(__xludf.DUMMYFUNCTION("GOOGLETRANSLATE(B186, ""en"", ""he"")"),"צור מפתח גרפי עבור מנעול App")</f>
        <v>צור מפתח גרפי עבור מנעול App</v>
      </c>
      <c r="Q186" s="4" t="str">
        <f>IFERROR(__xludf.DUMMYFUNCTION("GOOGLETRANSLATE(B186, ""en"", ""cs"")"),"Vytvořit grafický klíč pro aplikaci Lock")</f>
        <v>Vytvořit grafický klíč pro aplikaci Lock</v>
      </c>
      <c r="R186" s="4" t="str">
        <f>IFERROR(__xludf.DUMMYFUNCTION("GOOGLETRANSLATE(B186, ""en"", ""it"")"),"Creare la chiave grafica per il blocco dell'app")</f>
        <v>Creare la chiave grafica per il blocco dell'app</v>
      </c>
      <c r="S186" s="4" t="str">
        <f>IFERROR(__xludf.DUMMYFUNCTION("GOOGLETRANSLATE(B186, ""en"", ""el"")"),"Δημιουργία γραφικού πλήκτρου για κλειδαριά εφαρμογής")</f>
        <v>Δημιουργία γραφικού πλήκτρου για κλειδαριά εφαρμογής</v>
      </c>
    </row>
    <row r="187" ht="15.75" customHeight="1">
      <c r="A187" s="4" t="s">
        <v>387</v>
      </c>
      <c r="B187" s="4" t="s">
        <v>388</v>
      </c>
      <c r="C187" s="4" t="str">
        <f>IFERROR(__xludf.DUMMYFUNCTION("GOOGLETRANSLATE(B187, ""en"", ""es"")"),"Saltar a todos")</f>
        <v>Saltar a todos</v>
      </c>
      <c r="D187" s="4" t="str">
        <f>IFERROR(__xludf.DUMMYFUNCTION("GOOGLETRANSLATE(B187, ""en"", ""pt"")"),"Pule tudo")</f>
        <v>Pule tudo</v>
      </c>
      <c r="E187" s="4" t="str">
        <f>IFERROR(__xludf.DUMMYFUNCTION("GOOGLETRANSLATE(B187, ""en"", ""ar"")"),"تخطي الكل")</f>
        <v>تخطي الكل</v>
      </c>
      <c r="F187" s="4" t="str">
        <f>IFERROR(__xludf.DUMMYFUNCTION("GOOGLETRANSLATE(B187, ""en"", ""km"")"),"រំលង​ទាំងអស់")</f>
        <v>រំលង​ទាំងអស់</v>
      </c>
      <c r="G187" s="4" t="str">
        <f>IFERROR(__xludf.DUMMYFUNCTION("GOOGLETRANSLATE(B187, ""en"", ""fr"")"),"Tout passer")</f>
        <v>Tout passer</v>
      </c>
      <c r="H187" s="4" t="str">
        <f>IFERROR(__xludf.DUMMYFUNCTION("GOOGLETRANSLATE(B187, ""en"", ""ro"")"),"Sari peste tot")</f>
        <v>Sari peste tot</v>
      </c>
      <c r="I187" s="4" t="str">
        <f>IFERROR(__xludf.DUMMYFUNCTION("GOOGLETRANSLATE(B187, ""en"", ""my"")"),"အားလုံးကိုကျော်မယ်")</f>
        <v>အားလုံးကိုကျော်မယ်</v>
      </c>
      <c r="J187" s="4" t="str">
        <f>IFERROR(__xludf.DUMMYFUNCTION("GOOGLETRANSLATE(B187, ""en"", ""sw"")"),"Ruka yote")</f>
        <v>Ruka yote</v>
      </c>
      <c r="K187" s="4" t="str">
        <f>IFERROR(__xludf.DUMMYFUNCTION("GOOGLETRANSLATE(B187, ""en"", ""th"")"),"ข้ามทั้งหมด")</f>
        <v>ข้ามทั้งหมด</v>
      </c>
      <c r="L187" s="4" t="str">
        <f>IFERROR(__xludf.DUMMYFUNCTION("GOOGLETRANSLATE(B187, ""en"", ""si"")"),"සියල්ල මග හරින්න")</f>
        <v>සියල්ල මග හරින්න</v>
      </c>
      <c r="M187" s="4" t="str">
        <f>IFERROR(__xludf.DUMMYFUNCTION("GOOGLETRANSLATE(B187, ""en"", ""vi"")"),"Bỏ qua tất cả")</f>
        <v>Bỏ qua tất cả</v>
      </c>
      <c r="N187" s="4" t="str">
        <f>IFERROR(__xludf.DUMMYFUNCTION("GOOGLETRANSLATE(B187, ""en"", ""ne"")"),"सबै छोड्नुहोस्")</f>
        <v>सबै छोड्नुहोस्</v>
      </c>
      <c r="O187" s="4" t="str">
        <f>IFERROR(__xludf.DUMMYFUNCTION("GOOGLETRANSLATE(B187, ""en"", ""de"")"),"Alles überspringen")</f>
        <v>Alles überspringen</v>
      </c>
      <c r="P187" s="4" t="str">
        <f>IFERROR(__xludf.DUMMYFUNCTION("GOOGLETRANSLATE(B187, ""en"", ""he"")"),"דלג על הכל")</f>
        <v>דלג על הכל</v>
      </c>
      <c r="Q187" s="4" t="str">
        <f>IFERROR(__xludf.DUMMYFUNCTION("GOOGLETRANSLATE(B187, ""en"", ""cs"")"),"Přeskočit vše")</f>
        <v>Přeskočit vše</v>
      </c>
      <c r="R187" s="4" t="str">
        <f>IFERROR(__xludf.DUMMYFUNCTION("GOOGLETRANSLATE(B187, ""en"", ""it"")"),"Salta tutto")</f>
        <v>Salta tutto</v>
      </c>
      <c r="S187" s="4" t="str">
        <f>IFERROR(__xludf.DUMMYFUNCTION("GOOGLETRANSLATE(B187, ""en"", ""el"")"),"Παράληψη όλων")</f>
        <v>Παράληψη όλων</v>
      </c>
    </row>
    <row r="188" ht="15.75" customHeight="1">
      <c r="A188" s="4" t="s">
        <v>389</v>
      </c>
      <c r="B188" s="4" t="s">
        <v>390</v>
      </c>
      <c r="C188" s="4" t="str">
        <f>IFERROR(__xludf.DUMMYFUNCTION("GOOGLETRANSLATE(B188, ""en"", ""es"")"),"RECORDATORIO DE AUMENTO DE TELÉFONO")</f>
        <v>RECORDATORIO DE AUMENTO DE TELÉFONO</v>
      </c>
      <c r="D188" s="4" t="str">
        <f>IFERROR(__xludf.DUMMYFUNCTION("GOOGLETRANSLATE(B188, ""en"", ""pt"")"),"Telefone impulsionar lembrete")</f>
        <v>Telefone impulsionar lembrete</v>
      </c>
      <c r="E188" s="4" t="str">
        <f>IFERROR(__xludf.DUMMYFUNCTION("GOOGLETRANSLATE(B188, ""en"", ""ar"")"),"دفعة الهاتف تذكير")</f>
        <v>دفعة الهاتف تذكير</v>
      </c>
      <c r="F188" s="4" t="str">
        <f>IFERROR(__xludf.DUMMYFUNCTION("GOOGLETRANSLATE(B188, ""en"", ""km"")"),"ជំរុញការរំលឹករបស់ទូរស័ព្ទ")</f>
        <v>ជំរុញការរំលឹករបស់ទូរស័ព្ទ</v>
      </c>
      <c r="G188" s="4" t="str">
        <f>IFERROR(__xludf.DUMMYFUNCTION("GOOGLETRANSLATE(B188, ""en"", ""fr"")"),"Rappel de boost de téléphone")</f>
        <v>Rappel de boost de téléphone</v>
      </c>
      <c r="H188" s="4" t="str">
        <f>IFERROR(__xludf.DUMMYFUNCTION("GOOGLETRANSLATE(B188, ""en"", ""ro"")"),"Telefon Boost Memento")</f>
        <v>Telefon Boost Memento</v>
      </c>
      <c r="I188" s="4" t="str">
        <f>IFERROR(__xludf.DUMMYFUNCTION("GOOGLETRANSLATE(B188, ""en"", ""my"")"),"ဖုန်းကိုမြှင့်တင်ရန်")</f>
        <v>ဖုန်းကိုမြှင့်တင်ရန်</v>
      </c>
      <c r="J188" s="4" t="str">
        <f>IFERROR(__xludf.DUMMYFUNCTION("GOOGLETRANSLATE(B188, ""en"", ""sw"")"),"Kumbukumbu ya kukuza simu.")</f>
        <v>Kumbukumbu ya kukuza simu.</v>
      </c>
      <c r="K188" s="4" t="str">
        <f>IFERROR(__xludf.DUMMYFUNCTION("GOOGLETRANSLATE(B188, ""en"", ""th"")"),"โทรศัพท์เตือนการเตือน")</f>
        <v>โทรศัพท์เตือนการเตือน</v>
      </c>
      <c r="L188" s="4" t="str">
        <f>IFERROR(__xludf.DUMMYFUNCTION("GOOGLETRANSLATE(B188, ""en"", ""si"")"),"දුරකථන බූට් මතක් කිරීම")</f>
        <v>දුරකථන බූට් මතක් කිරීම</v>
      </c>
      <c r="M188" s="4" t="str">
        <f>IFERROR(__xludf.DUMMYFUNCTION("GOOGLETRANSLATE(B188, ""en"", ""vi"")"),"Nhắc nhở điện thoại")</f>
        <v>Nhắc nhở điện thoại</v>
      </c>
      <c r="N188" s="4" t="str">
        <f>IFERROR(__xludf.DUMMYFUNCTION("GOOGLETRANSLATE(B188, ""en"", ""ne"")"),"फोन सर्वोच्च रिमाइन्डर")</f>
        <v>फोन सर्वोच्च रिमाइन्डर</v>
      </c>
      <c r="O188" s="4" t="str">
        <f>IFERROR(__xludf.DUMMYFUNCTION("GOOGLETRANSLATE(B188, ""en"", ""de"")"),"Telefonschüchterinnerkeit")</f>
        <v>Telefonschüchterinnerkeit</v>
      </c>
      <c r="P188" s="4" t="str">
        <f>IFERROR(__xludf.DUMMYFUNCTION("GOOGLETRANSLATE(B188, ""en"", ""he"")"),"תזכורת טלפון Boost.")</f>
        <v>תזכורת טלפון Boost.</v>
      </c>
      <c r="Q188" s="4" t="str">
        <f>IFERROR(__xludf.DUMMYFUNCTION("GOOGLETRANSLATE(B188, ""en"", ""cs"")"),"Připomenutí telefonu")</f>
        <v>Připomenutí telefonu</v>
      </c>
      <c r="R188" s="4" t="str">
        <f>IFERROR(__xludf.DUMMYFUNCTION("GOOGLETRANSLATE(B188, ""en"", ""it"")"),"Phone Boost Promemoria")</f>
        <v>Phone Boost Promemoria</v>
      </c>
      <c r="S188" s="4" t="str">
        <f>IFERROR(__xludf.DUMMYFUNCTION("GOOGLETRANSLATE(B188, ""en"", ""el"")"),"Υπενθύμιση ώθησης τηλεφώνου")</f>
        <v>Υπενθύμιση ώθησης τηλεφώνου</v>
      </c>
    </row>
    <row r="189" ht="15.75" customHeight="1">
      <c r="A189" s="4" t="s">
        <v>391</v>
      </c>
      <c r="B189" s="4" t="s">
        <v>392</v>
      </c>
      <c r="C189" s="4" t="str">
        <f>IFERROR(__xludf.DUMMYFUNCTION("GOOGLETRANSLATE(B189, ""en"", ""es"")"),"Mejorar el rendimiento, liberar la memoria.")</f>
        <v>Mejorar el rendimiento, liberar la memoria.</v>
      </c>
      <c r="D189" s="4" t="str">
        <f>IFERROR(__xludf.DUMMYFUNCTION("GOOGLETRANSLATE(B189, ""en"", ""pt"")"),"Melhorar o desempenho, liberar a memória")</f>
        <v>Melhorar o desempenho, liberar a memória</v>
      </c>
      <c r="E189" s="4" t="str">
        <f>IFERROR(__xludf.DUMMYFUNCTION("GOOGLETRANSLATE(B189, ""en"", ""ar"")"),"تحسين الأداء، حرر الذاكرة")</f>
        <v>تحسين الأداء، حرر الذاكرة</v>
      </c>
      <c r="F189" s="4" t="str">
        <f>IFERROR(__xludf.DUMMYFUNCTION("GOOGLETRANSLATE(B189, ""en"", ""km"")"),"ធ្វើឱ្យប្រសើរឡើងនូវការអនុវត្តការចងចាំកើនឡើង")</f>
        <v>ធ្វើឱ្យប្រសើរឡើងនូវការអនុវត្តការចងចាំកើនឡើង</v>
      </c>
      <c r="G189" s="4" t="str">
        <f>IFERROR(__xludf.DUMMYFUNCTION("GOOGLETRANSLATE(B189, ""en"", ""fr"")"),"Améliorer les performances, libérer la mémoire")</f>
        <v>Améliorer les performances, libérer la mémoire</v>
      </c>
      <c r="H189" s="4" t="str">
        <f>IFERROR(__xludf.DUMMYFUNCTION("GOOGLETRANSLATE(B189, ""en"", ""ro"")"),"Îmbunătățiți performanța, eliberați memoria")</f>
        <v>Îmbunătățiți performanța, eliberați memoria</v>
      </c>
      <c r="I189" s="4" t="str">
        <f>IFERROR(__xludf.DUMMYFUNCTION("GOOGLETRANSLATE(B189, ""en"", ""my"")"),"စွမ်းဆောင်ရည်ကိုတိုးတက်အောင်လုပ်ပါ")</f>
        <v>စွမ်းဆောင်ရည်ကိုတိုးတက်အောင်လုပ်ပါ</v>
      </c>
      <c r="J189" s="4" t="str">
        <f>IFERROR(__xludf.DUMMYFUNCTION("GOOGLETRANSLATE(B189, ""en"", ""sw"")"),"Kuboresha utendaji, Kumbukumbu ya bure")</f>
        <v>Kuboresha utendaji, Kumbukumbu ya bure</v>
      </c>
      <c r="K189" s="4" t="str">
        <f>IFERROR(__xludf.DUMMYFUNCTION("GOOGLETRANSLATE(B189, ""en"", ""th"")"),"ปรับปรุงประสิทธิภาพเพิ่มหน่วยความจำ")</f>
        <v>ปรับปรุงประสิทธิภาพเพิ่มหน่วยความจำ</v>
      </c>
      <c r="L189" s="4" t="str">
        <f>IFERROR(__xludf.DUMMYFUNCTION("GOOGLETRANSLATE(B189, ""en"", ""si"")"),"කාර්ය සාධනය වැඩි දියුණු කිරීම, නිදහස් මතකය")</f>
        <v>කාර්ය සාධනය වැඩි දියුණු කිරීම, නිදහස් මතකය</v>
      </c>
      <c r="M189" s="4" t="str">
        <f>IFERROR(__xludf.DUMMYFUNCTION("GOOGLETRANSLATE(B189, ""en"", ""vi"")"),"Cải thiện hiệu suất, giải phóng trí nhớ")</f>
        <v>Cải thiện hiệu suất, giải phóng trí nhớ</v>
      </c>
      <c r="N189" s="4" t="str">
        <f>IFERROR(__xludf.DUMMYFUNCTION("GOOGLETRANSLATE(B189, ""en"", ""ne"")"),"प्रदर्शन सुधार, नि: शुल्क मेमोरी")</f>
        <v>प्रदर्शन सुधार, नि: शुल्क मेमोरी</v>
      </c>
      <c r="O189" s="4" t="str">
        <f>IFERROR(__xludf.DUMMYFUNCTION("GOOGLETRANSLATE(B189, ""en"", ""de"")"),"Verbessern Sie die Leistung, freie Speicher")</f>
        <v>Verbessern Sie die Leistung, freie Speicher</v>
      </c>
      <c r="P189" s="4" t="str">
        <f>IFERROR(__xludf.DUMMYFUNCTION("GOOGLETRANSLATE(B189, ""en"", ""he"")"),"לשפר את הביצועים, חינם זיכרון")</f>
        <v>לשפר את הביצועים, חינם זיכרון</v>
      </c>
      <c r="Q189" s="4" t="str">
        <f>IFERROR(__xludf.DUMMYFUNCTION("GOOGLETRANSLATE(B189, ""en"", ""cs"")"),"Zlepšit výkon, uvolnit paměť")</f>
        <v>Zlepšit výkon, uvolnit paměť</v>
      </c>
      <c r="R189" s="4" t="str">
        <f>IFERROR(__xludf.DUMMYFUNCTION("GOOGLETRANSLATE(B189, ""en"", ""it"")"),"Migliorare le prestazioni, libera la memoria")</f>
        <v>Migliorare le prestazioni, libera la memoria</v>
      </c>
      <c r="S189" s="4" t="str">
        <f>IFERROR(__xludf.DUMMYFUNCTION("GOOGLETRANSLATE(B189, ""en"", ""el"")"),"Βελτιώστε την απόδοση, απελευθέρωση μνήμης")</f>
        <v>Βελτιώστε την απόδοση, απελευθέρωση μνήμης</v>
      </c>
    </row>
    <row r="190" ht="15.75" customHeight="1">
      <c r="A190" s="4" t="s">
        <v>393</v>
      </c>
      <c r="B190" s="4" t="s">
        <v>394</v>
      </c>
      <c r="C190" s="4" t="str">
        <f>IFERROR(__xludf.DUMMYFUNCTION("GOOGLETRANSLATE(B190, ""en"", ""es"")"),"Seleccione la aplicación para proteger")</f>
        <v>Seleccione la aplicación para proteger</v>
      </c>
      <c r="D190" s="4" t="str">
        <f>IFERROR(__xludf.DUMMYFUNCTION("GOOGLETRANSLATE(B190, ""en"", ""pt"")"),"Selecione o aplicativo para proteger")</f>
        <v>Selecione o aplicativo para proteger</v>
      </c>
      <c r="E190" s="4" t="str">
        <f>IFERROR(__xludf.DUMMYFUNCTION("GOOGLETRANSLATE(B190, ""en"", ""ar"")"),"حدد التطبيق لحماية")</f>
        <v>حدد التطبيق لحماية</v>
      </c>
      <c r="F190" s="4" t="str">
        <f>IFERROR(__xludf.DUMMYFUNCTION("GOOGLETRANSLATE(B190, ""en"", ""km"")"),"ជ្រើសរើសពាក្យសុំដើម្បីការពារ")</f>
        <v>ជ្រើសរើសពាក្យសុំដើម្បីការពារ</v>
      </c>
      <c r="G190" s="4" t="str">
        <f>IFERROR(__xludf.DUMMYFUNCTION("GOOGLETRANSLATE(B190, ""en"", ""fr"")"),"Sélectionnez l'application pour protéger")</f>
        <v>Sélectionnez l'application pour protéger</v>
      </c>
      <c r="H190" s="4" t="str">
        <f>IFERROR(__xludf.DUMMYFUNCTION("GOOGLETRANSLATE(B190, ""en"", ""ro"")"),"Selectați aplicația pentru a vă proteja")</f>
        <v>Selectați aplicația pentru a vă proteja</v>
      </c>
      <c r="I190" s="4" t="str">
        <f>IFERROR(__xludf.DUMMYFUNCTION("GOOGLETRANSLATE(B190, ""en"", ""my"")"),"ကာကွယ်ရန် application ကိုရွေးချယ်ပါ")</f>
        <v>ကာကွယ်ရန် application ကိုရွေးချယ်ပါ</v>
      </c>
      <c r="J190" s="4" t="str">
        <f>IFERROR(__xludf.DUMMYFUNCTION("GOOGLETRANSLATE(B190, ""en"", ""sw"")"),"Chagua programu ya kulinda")</f>
        <v>Chagua programu ya kulinda</v>
      </c>
      <c r="K190" s="4" t="str">
        <f>IFERROR(__xludf.DUMMYFUNCTION("GOOGLETRANSLATE(B190, ""en"", ""th"")"),"เลือกแอปพลิเคชันเพื่อป้องกัน")</f>
        <v>เลือกแอปพลิเคชันเพื่อป้องกัน</v>
      </c>
      <c r="L190" s="4" t="str">
        <f>IFERROR(__xludf.DUMMYFUNCTION("GOOGLETRANSLATE(B190, ""en"", ""si"")"),"ආරක්ෂා කිරීමට යෙදුම තෝරන්න")</f>
        <v>ආරක්ෂා කිරීමට යෙදුම තෝරන්න</v>
      </c>
      <c r="M190" s="4" t="str">
        <f>IFERROR(__xludf.DUMMYFUNCTION("GOOGLETRANSLATE(B190, ""en"", ""vi"")"),"Chọn ứng dụng để bảo vệ")</f>
        <v>Chọn ứng dụng để bảo vệ</v>
      </c>
      <c r="N190" s="4" t="str">
        <f>IFERROR(__xludf.DUMMYFUNCTION("GOOGLETRANSLATE(B190, ""en"", ""ne"")"),"सुरक्षाको लागि आवेदन चयन गर्नुहोस्")</f>
        <v>सुरक्षाको लागि आवेदन चयन गर्नुहोस्</v>
      </c>
      <c r="O190" s="4" t="str">
        <f>IFERROR(__xludf.DUMMYFUNCTION("GOOGLETRANSLATE(B190, ""en"", ""de"")"),"Wählen Sie den Antrag zum Schutz aus")</f>
        <v>Wählen Sie den Antrag zum Schutz aus</v>
      </c>
      <c r="P190" s="4" t="str">
        <f>IFERROR(__xludf.DUMMYFUNCTION("GOOGLETRANSLATE(B190, ""en"", ""he"")"),"בחר את היישום כדי להגן")</f>
        <v>בחר את היישום כדי להגן</v>
      </c>
      <c r="Q190" s="4" t="str">
        <f>IFERROR(__xludf.DUMMYFUNCTION("GOOGLETRANSLATE(B190, ""en"", ""cs"")"),"Vyberte aplikaci pro ochranu")</f>
        <v>Vyberte aplikaci pro ochranu</v>
      </c>
      <c r="R190" s="4" t="str">
        <f>IFERROR(__xludf.DUMMYFUNCTION("GOOGLETRANSLATE(B190, ""en"", ""it"")"),"Seleziona l'applicazione per proteggere")</f>
        <v>Seleziona l'applicazione per proteggere</v>
      </c>
      <c r="S190" s="4" t="str">
        <f>IFERROR(__xludf.DUMMYFUNCTION("GOOGLETRANSLATE(B190, ""en"", ""el"")"),"Επιλέξτε την εφαρμογή για προστασία")</f>
        <v>Επιλέξτε την εφαρμογή για προστασία</v>
      </c>
    </row>
    <row r="191" ht="15.75" customHeight="1">
      <c r="A191" s="4" t="s">
        <v>395</v>
      </c>
      <c r="B191" s="4" t="s">
        <v>216</v>
      </c>
      <c r="C191" s="4" t="str">
        <f>IFERROR(__xludf.DUMMYFUNCTION("GOOGLETRANSLATE(B191, ""en"", ""es"")"),"Realimentación")</f>
        <v>Realimentación</v>
      </c>
      <c r="D191" s="4" t="str">
        <f>IFERROR(__xludf.DUMMYFUNCTION("GOOGLETRANSLATE(B191, ""en"", ""pt"")"),"Comentários")</f>
        <v>Comentários</v>
      </c>
      <c r="E191" s="4" t="str">
        <f>IFERROR(__xludf.DUMMYFUNCTION("GOOGLETRANSLATE(B191, ""en"", ""ar"")"),"استجابة")</f>
        <v>استجابة</v>
      </c>
      <c r="F191" s="4" t="str">
        <f>IFERROR(__xludf.DUMMYFUNCTION("GOOGLETRANSLATE(B191, ""en"", ""km"")"),"មតិប្រតិកម្ម")</f>
        <v>មតិប្រតិកម្ម</v>
      </c>
      <c r="G191" s="4" t="str">
        <f>IFERROR(__xludf.DUMMYFUNCTION("GOOGLETRANSLATE(B191, ""en"", ""fr"")"),"Retour d'information")</f>
        <v>Retour d'information</v>
      </c>
      <c r="H191" s="4" t="str">
        <f>IFERROR(__xludf.DUMMYFUNCTION("GOOGLETRANSLATE(B191, ""en"", ""ro"")"),"Părere")</f>
        <v>Părere</v>
      </c>
      <c r="I191" s="4" t="str">
        <f>IFERROR(__xludf.DUMMYFUNCTION("GOOGLETRANSLATE(B191, ""en"", ""my"")"),"အကြံပေးချက်")</f>
        <v>အကြံပေးချက်</v>
      </c>
      <c r="J191" s="4" t="str">
        <f>IFERROR(__xludf.DUMMYFUNCTION("GOOGLETRANSLATE(B191, ""en"", ""sw"")"),"Maoni")</f>
        <v>Maoni</v>
      </c>
      <c r="K191" s="4" t="str">
        <f>IFERROR(__xludf.DUMMYFUNCTION("GOOGLETRANSLATE(B191, ""en"", ""th"")"),"ข้อเสนอแนะ")</f>
        <v>ข้อเสนอแนะ</v>
      </c>
      <c r="L191" s="4" t="str">
        <f>IFERROR(__xludf.DUMMYFUNCTION("GOOGLETRANSLATE(B191, ""en"", ""si"")"),"ප්රතිපෝෂණය")</f>
        <v>ප්රතිපෝෂණය</v>
      </c>
      <c r="M191" s="4" t="str">
        <f>IFERROR(__xludf.DUMMYFUNCTION("GOOGLETRANSLATE(B191, ""en"", ""vi"")"),"Nhận xét")</f>
        <v>Nhận xét</v>
      </c>
      <c r="N191" s="4" t="str">
        <f>IFERROR(__xludf.DUMMYFUNCTION("GOOGLETRANSLATE(B191, ""en"", ""ne"")"),"प्रतिक्रिया")</f>
        <v>प्रतिक्रिया</v>
      </c>
      <c r="O191" s="4" t="str">
        <f>IFERROR(__xludf.DUMMYFUNCTION("GOOGLETRANSLATE(B191, ""en"", ""de"")"),"Rückmeldung")</f>
        <v>Rückmeldung</v>
      </c>
      <c r="P191" s="4" t="str">
        <f>IFERROR(__xludf.DUMMYFUNCTION("GOOGLETRANSLATE(B191, ""en"", ""he"")"),"מָשׁוֹב")</f>
        <v>מָשׁוֹב</v>
      </c>
      <c r="Q191" s="4" t="str">
        <f>IFERROR(__xludf.DUMMYFUNCTION("GOOGLETRANSLATE(B191, ""en"", ""cs"")"),"Zpětná vazba")</f>
        <v>Zpětná vazba</v>
      </c>
      <c r="R191" s="4" t="str">
        <f>IFERROR(__xludf.DUMMYFUNCTION("GOOGLETRANSLATE(B191, ""en"", ""it"")"),"Feedback")</f>
        <v>Feedback</v>
      </c>
      <c r="S191" s="4" t="str">
        <f>IFERROR(__xludf.DUMMYFUNCTION("GOOGLETRANSLATE(B191, ""en"", ""el"")"),"Ανατροφοδότηση")</f>
        <v>Ανατροφοδότηση</v>
      </c>
    </row>
    <row r="192" ht="15.75" customHeight="1">
      <c r="A192" s="4" t="s">
        <v>396</v>
      </c>
      <c r="B192" s="4" t="s">
        <v>397</v>
      </c>
      <c r="C192" s="4" t="str">
        <f>IFERROR(__xludf.DUMMYFUNCTION("GOOGLETRANSLATE(B192, ""en"", ""es"")"),"Bloqueo de aplicación")</f>
        <v>Bloqueo de aplicación</v>
      </c>
      <c r="D192" s="4" t="str">
        <f>IFERROR(__xludf.DUMMYFUNCTION("GOOGLETRANSLATE(B192, ""en"", ""pt"")"),"Bloqueio do aplicativo")</f>
        <v>Bloqueio do aplicativo</v>
      </c>
      <c r="E192" s="4" t="str">
        <f>IFERROR(__xludf.DUMMYFUNCTION("GOOGLETRANSLATE(B192, ""en"", ""ar"")"),"قفل التطبيق")</f>
        <v>قفل التطبيق</v>
      </c>
      <c r="F192" s="4" t="str">
        <f>IFERROR(__xludf.DUMMYFUNCTION("GOOGLETRANSLATE(B192, ""en"", ""km"")"),"ចាក់សោកម្មវិធី")</f>
        <v>ចាក់សោកម្មវិធី</v>
      </c>
      <c r="G192" s="4" t="str">
        <f>IFERROR(__xludf.DUMMYFUNCTION("GOOGLETRANSLATE(B192, ""en"", ""fr"")"),"Verrou d'application")</f>
        <v>Verrou d'application</v>
      </c>
      <c r="H192" s="4" t="str">
        <f>IFERROR(__xludf.DUMMYFUNCTION("GOOGLETRANSLATE(B192, ""en"", ""ro"")"),"Aplicație Blocare")</f>
        <v>Aplicație Blocare</v>
      </c>
      <c r="I192" s="4" t="str">
        <f>IFERROR(__xludf.DUMMYFUNCTION("GOOGLETRANSLATE(B192, ""en"", ""my"")"),"App Lock")</f>
        <v>App Lock</v>
      </c>
      <c r="J192" s="4" t="str">
        <f>IFERROR(__xludf.DUMMYFUNCTION("GOOGLETRANSLATE(B192, ""en"", ""sw"")"),"App Lock.")</f>
        <v>App Lock.</v>
      </c>
      <c r="K192" s="4" t="str">
        <f>IFERROR(__xludf.DUMMYFUNCTION("GOOGLETRANSLATE(B192, ""en"", ""th"")"),"ล็อคแอป")</f>
        <v>ล็อคแอป</v>
      </c>
      <c r="L192" s="4" t="str">
        <f>IFERROR(__xludf.DUMMYFUNCTION("GOOGLETRANSLATE(B192, ""en"", ""si"")"),"යෙදුම් අගුල")</f>
        <v>යෙදුම් අගුල</v>
      </c>
      <c r="M192" s="4" t="str">
        <f>IFERROR(__xludf.DUMMYFUNCTION("GOOGLETRANSLATE(B192, ""en"", ""vi"")"),"Khóa ứng dụng")</f>
        <v>Khóa ứng dụng</v>
      </c>
      <c r="N192" s="4" t="str">
        <f>IFERROR(__xludf.DUMMYFUNCTION("GOOGLETRANSLATE(B192, ""en"", ""ne"")"),"निवेश लक")</f>
        <v>निवेश लक</v>
      </c>
      <c r="O192" s="4" t="str">
        <f>IFERROR(__xludf.DUMMYFUNCTION("GOOGLETRANSLATE(B192, ""en"", ""de"")"),"App-Sperre.")</f>
        <v>App-Sperre.</v>
      </c>
      <c r="P192" s="4" t="str">
        <f>IFERROR(__xludf.DUMMYFUNCTION("GOOGLETRANSLATE(B192, ""en"", ""he"")"),"מנעול App.")</f>
        <v>מנעול App.</v>
      </c>
      <c r="Q192" s="4" t="str">
        <f>IFERROR(__xludf.DUMMYFUNCTION("GOOGLETRANSLATE(B192, ""en"", ""cs"")"),"App Lock.")</f>
        <v>App Lock.</v>
      </c>
      <c r="R192" s="4" t="str">
        <f>IFERROR(__xludf.DUMMYFUNCTION("GOOGLETRANSLATE(B192, ""en"", ""it"")"),"Blocco dell'app")</f>
        <v>Blocco dell'app</v>
      </c>
      <c r="S192" s="4" t="str">
        <f>IFERROR(__xludf.DUMMYFUNCTION("GOOGLETRANSLATE(B192, ""en"", ""el"")"),"Κλειδαριά")</f>
        <v>Κλειδαριά</v>
      </c>
    </row>
    <row r="193" ht="15.75" customHeight="1">
      <c r="A193" s="4" t="s">
        <v>398</v>
      </c>
      <c r="B193" s="4" t="s">
        <v>399</v>
      </c>
      <c r="C193" s="4" t="str">
        <f>IFERROR(__xludf.DUMMYFUNCTION("GOOGLETRANSLATE(B193, ""en"", ""es"")"),"Olvidó gesto")</f>
        <v>Olvidó gesto</v>
      </c>
      <c r="D193" s="4" t="str">
        <f>IFERROR(__xludf.DUMMYFUNCTION("GOOGLETRANSLATE(B193, ""en"", ""pt"")"),"Esqueceu o gesto")</f>
        <v>Esqueceu o gesto</v>
      </c>
      <c r="E193" s="4" t="str">
        <f>IFERROR(__xludf.DUMMYFUNCTION("GOOGLETRANSLATE(B193, ""en"", ""ar"")"),"نسيت لفتة")</f>
        <v>نسيت لفتة</v>
      </c>
      <c r="F193" s="4" t="str">
        <f>IFERROR(__xludf.DUMMYFUNCTION("GOOGLETRANSLATE(B193, ""en"", ""km"")"),"ភ្លេចកាយវិការ")</f>
        <v>ភ្លេចកាយវិការ</v>
      </c>
      <c r="G193" s="4" t="str">
        <f>IFERROR(__xludf.DUMMYFUNCTION("GOOGLETRANSLATE(B193, ""en"", ""fr"")"),"Geste oublié")</f>
        <v>Geste oublié</v>
      </c>
      <c r="H193" s="4" t="str">
        <f>IFERROR(__xludf.DUMMYFUNCTION("GOOGLETRANSLATE(B193, ""en"", ""ro"")"),"Ați uitat gestul")</f>
        <v>Ați uitat gestul</v>
      </c>
      <c r="I193" s="4" t="str">
        <f>IFERROR(__xludf.DUMMYFUNCTION("GOOGLETRANSLATE(B193, ""en"", ""my"")"),"အမူအရာမေ့နေတယ်")</f>
        <v>အမူအရာမေ့နေတယ်</v>
      </c>
      <c r="J193" s="4" t="str">
        <f>IFERROR(__xludf.DUMMYFUNCTION("GOOGLETRANSLATE(B193, ""en"", ""sw"")"),"Umesahau ishara.")</f>
        <v>Umesahau ishara.</v>
      </c>
      <c r="K193" s="4" t="str">
        <f>IFERROR(__xludf.DUMMYFUNCTION("GOOGLETRANSLATE(B193, ""en"", ""th"")"),"ลืมท่าทาง")</f>
        <v>ลืมท่าทาง</v>
      </c>
      <c r="L193" s="4" t="str">
        <f>IFERROR(__xludf.DUMMYFUNCTION("GOOGLETRANSLATE(B193, ""en"", ""si"")"),"අභිනය අමතක කළා")</f>
        <v>අභිනය අමතක කළා</v>
      </c>
      <c r="M193" s="4" t="str">
        <f>IFERROR(__xludf.DUMMYFUNCTION("GOOGLETRANSLATE(B193, ""en"", ""vi"")"),"Quên cử chỉ")</f>
        <v>Quên cử chỉ</v>
      </c>
      <c r="N193" s="4" t="str">
        <f>IFERROR(__xludf.DUMMYFUNCTION("GOOGLETRANSLATE(B193, ""en"", ""ne"")"),"इशारा बिर्सनुभयो")</f>
        <v>इशारा बिर्सनुभयो</v>
      </c>
      <c r="O193" s="4" t="str">
        <f>IFERROR(__xludf.DUMMYFUNCTION("GOOGLETRANSLATE(B193, ""en"", ""de"")"),"Griff vergessen")</f>
        <v>Griff vergessen</v>
      </c>
      <c r="P193" s="4" t="str">
        <f>IFERROR(__xludf.DUMMYFUNCTION("GOOGLETRANSLATE(B193, ""en"", ""he"")"),"שכחתי את המחווה")</f>
        <v>שכחתי את המחווה</v>
      </c>
      <c r="Q193" s="4" t="str">
        <f>IFERROR(__xludf.DUMMYFUNCTION("GOOGLETRANSLATE(B193, ""en"", ""cs"")"),"Zapomněli jste gesto")</f>
        <v>Zapomněli jste gesto</v>
      </c>
      <c r="R193" s="4" t="str">
        <f>IFERROR(__xludf.DUMMYFUNCTION("GOOGLETRANSLATE(B193, ""en"", ""it"")"),"Dimenticato il gesto")</f>
        <v>Dimenticato il gesto</v>
      </c>
      <c r="S193" s="4" t="str">
        <f>IFERROR(__xludf.DUMMYFUNCTION("GOOGLETRANSLATE(B193, ""en"", ""el"")"),"Ξεχάσατε τη χειρονομία")</f>
        <v>Ξεχάσατε τη χειρονομία</v>
      </c>
    </row>
    <row r="194" ht="15.75" customHeight="1">
      <c r="A194" s="4" t="s">
        <v>400</v>
      </c>
      <c r="B194" s="4" t="s">
        <v>401</v>
      </c>
      <c r="C194" s="4" t="str">
        <f>IFERROR(__xludf.DUMMYFUNCTION("GOOGLETRANSLATE(B194, ""en"", ""es"")"),"Batería - Aplicaciones de drenaje")</f>
        <v>Batería - Aplicaciones de drenaje</v>
      </c>
      <c r="D194" s="4" t="str">
        <f>IFERROR(__xludf.DUMMYFUNCTION("GOOGLETRANSLATE(B194, ""en"", ""pt"")"),"Bateria - drenagem aplicativos")</f>
        <v>Bateria - drenagem aplicativos</v>
      </c>
      <c r="E194" s="4" t="str">
        <f>IFERROR(__xludf.DUMMYFUNCTION("GOOGLETRANSLATE(B194, ""en"", ""ar"")"),"بطارية تستنزف التطبيقات")</f>
        <v>بطارية تستنزف التطبيقات</v>
      </c>
      <c r="F194" s="4" t="str">
        <f>IFERROR(__xludf.DUMMYFUNCTION("GOOGLETRANSLATE(B194, ""en"", ""km"")"),"ថ្ម - បង្ហូរកម្មវិធី")</f>
        <v>ថ្ម - បង្ហូរកម្មវិធី</v>
      </c>
      <c r="G194" s="4" t="str">
        <f>IFERROR(__xludf.DUMMYFUNCTION("GOOGLETRANSLATE(B194, ""en"", ""fr"")"),"Batterie - Applications drainantes")</f>
        <v>Batterie - Applications drainantes</v>
      </c>
      <c r="H194" s="4" t="str">
        <f>IFERROR(__xludf.DUMMYFUNCTION("GOOGLETRANSLATE(B194, ""en"", ""ro"")"),"Baterie - Aplicații de scurgere")</f>
        <v>Baterie - Aplicații de scurgere</v>
      </c>
      <c r="I194" s="4" t="str">
        <f>IFERROR(__xludf.DUMMYFUNCTION("GOOGLETRANSLATE(B194, ""en"", ""my"")"),"ဘက်ထရီ - apps များကိုဖျောက်ရန်")</f>
        <v>ဘက်ထရီ - apps များကိုဖျောက်ရန်</v>
      </c>
      <c r="J194" s="4" t="str">
        <f>IFERROR(__xludf.DUMMYFUNCTION("GOOGLETRANSLATE(B194, ""en"", ""sw"")"),"Battery - kufuta programu.")</f>
        <v>Battery - kufuta programu.</v>
      </c>
      <c r="K194" s="4" t="str">
        <f>IFERROR(__xludf.DUMMYFUNCTION("GOOGLETRANSLATE(B194, ""en"", ""th"")"),"แอพพลิเคชั่นแบตเตอรี่ - การระบายน้ำ")</f>
        <v>แอพพลิเคชั่นแบตเตอรี่ - การระบายน้ำ</v>
      </c>
      <c r="L194" s="4" t="str">
        <f>IFERROR(__xludf.DUMMYFUNCTION("GOOGLETRANSLATE(B194, ""en"", ""si"")"),"බැටරි - යෙදුම්")</f>
        <v>බැටරි - යෙදුම්</v>
      </c>
      <c r="M194" s="4" t="str">
        <f>IFERROR(__xludf.DUMMYFUNCTION("GOOGLETRANSLATE(B194, ""en"", ""vi"")"),"Pin - Ứng dụng thoát nước")</f>
        <v>Pin - Ứng dụng thoát nước</v>
      </c>
      <c r="N194" s="4" t="str">
        <f>IFERROR(__xludf.DUMMYFUNCTION("GOOGLETRANSLATE(B194, ""en"", ""ne"")"),"ब्याट्री - अवकाश निकास")</f>
        <v>ब्याट्री - अवकाश निकास</v>
      </c>
      <c r="O194" s="4" t="str">
        <f>IFERROR(__xludf.DUMMYFUNCTION("GOOGLETRANSLATE(B194, ""en"", ""de"")"),"Batterie - Entwässerung von Apps")</f>
        <v>Batterie - Entwässerung von Apps</v>
      </c>
      <c r="P194" s="4" t="str">
        <f>IFERROR(__xludf.DUMMYFUNCTION("GOOGLETRANSLATE(B194, ""en"", ""he"")"),"סוללה - ניקוז יישומים")</f>
        <v>סוללה - ניקוז יישומים</v>
      </c>
      <c r="Q194" s="4" t="str">
        <f>IFERROR(__xludf.DUMMYFUNCTION("GOOGLETRANSLATE(B194, ""en"", ""cs"")"),"Baterie - Vypouštěcí aplikace")</f>
        <v>Baterie - Vypouštěcí aplikace</v>
      </c>
      <c r="R194" s="4" t="str">
        <f>IFERROR(__xludf.DUMMYFUNCTION("GOOGLETRANSLATE(B194, ""en"", ""it"")"),"Batteria - App drenanti")</f>
        <v>Batteria - App drenanti</v>
      </c>
      <c r="S194" s="4" t="str">
        <f>IFERROR(__xludf.DUMMYFUNCTION("GOOGLETRANSLATE(B194, ""en"", ""el"")"),"Εφαρμογές αποστράγγισης μπαταρίας")</f>
        <v>Εφαρμογές αποστράγγισης μπαταρίας</v>
      </c>
    </row>
    <row r="195" ht="15.75" customHeight="1">
      <c r="A195" s="4" t="s">
        <v>402</v>
      </c>
      <c r="B195" s="4" t="s">
        <v>403</v>
      </c>
      <c r="C195" s="4" t="str">
        <f>IFERROR(__xludf.DUMMYFUNCTION("GOOGLETRANSLATE(B195, ""en"", ""es"")"),"Deshabilitar notificaciones al jugar juegos.")</f>
        <v>Deshabilitar notificaciones al jugar juegos.</v>
      </c>
      <c r="D195" s="4" t="str">
        <f>IFERROR(__xludf.DUMMYFUNCTION("GOOGLETRANSLATE(B195, ""en"", ""pt"")"),"Desativar notificações ao jogar jogos")</f>
        <v>Desativar notificações ao jogar jogos</v>
      </c>
      <c r="E195" s="4" t="str">
        <f>IFERROR(__xludf.DUMMYFUNCTION("GOOGLETRANSLATE(B195, ""en"", ""ar"")"),"تعطيل الإخطارات عند لعب الألعاب")</f>
        <v>تعطيل الإخطارات عند لعب الألعاب</v>
      </c>
      <c r="F195" s="4" t="str">
        <f>IFERROR(__xludf.DUMMYFUNCTION("GOOGLETRANSLATE(B195, ""en"", ""km"")"),"បិទការជូនដំណឹងនៅពេលលេងហ្គេម")</f>
        <v>បិទការជូនដំណឹងនៅពេលលេងហ្គេម</v>
      </c>
      <c r="G195" s="4" t="str">
        <f>IFERROR(__xludf.DUMMYFUNCTION("GOOGLETRANSLATE(B195, ""en"", ""fr"")"),"Désactiver les notifications lors de la lecture de jeux")</f>
        <v>Désactiver les notifications lors de la lecture de jeux</v>
      </c>
      <c r="H195" s="4" t="str">
        <f>IFERROR(__xludf.DUMMYFUNCTION("GOOGLETRANSLATE(B195, ""en"", ""ro"")"),"Dezactivați notificările atunci când jucați jocuri")</f>
        <v>Dezactivați notificările atunci când jucați jocuri</v>
      </c>
      <c r="I195" s="4" t="str">
        <f>IFERROR(__xludf.DUMMYFUNCTION("GOOGLETRANSLATE(B195, ""en"", ""my"")"),"ဂိမ်းကစားသည့်အခါအသိပေးချက်များကိုပိတ်ပါ")</f>
        <v>ဂိမ်းကစားသည့်အခါအသိပေးချက်များကိုပိတ်ပါ</v>
      </c>
      <c r="J195" s="4" t="str">
        <f>IFERROR(__xludf.DUMMYFUNCTION("GOOGLETRANSLATE(B195, ""en"", ""sw"")"),"Zima arifa wakati wa kucheza michezo.")</f>
        <v>Zima arifa wakati wa kucheza michezo.</v>
      </c>
      <c r="K195" s="4" t="str">
        <f>IFERROR(__xludf.DUMMYFUNCTION("GOOGLETRANSLATE(B195, ""en"", ""th"")"),"ปิดการใช้งานการแจ้งเตือนเมื่อเล่นเกม")</f>
        <v>ปิดการใช้งานการแจ้งเตือนเมื่อเล่นเกม</v>
      </c>
      <c r="L195" s="4" t="str">
        <f>IFERROR(__xludf.DUMMYFUNCTION("GOOGLETRANSLATE(B195, ""en"", ""si"")"),"ක්රීඩා කරන විට දැනුම්දීම් අක්රීය කරන්න")</f>
        <v>ක්රීඩා කරන විට දැනුම්දීම් අක්රීය කරන්න</v>
      </c>
      <c r="M195" s="4" t="str">
        <f>IFERROR(__xludf.DUMMYFUNCTION("GOOGLETRANSLATE(B195, ""en"", ""vi"")"),"Vô hiệu hóa thông báo khi chơi game")</f>
        <v>Vô hiệu hóa thông báo khi chơi game</v>
      </c>
      <c r="N195" s="4" t="str">
        <f>IFERROR(__xludf.DUMMYFUNCTION("GOOGLETRANSLATE(B195, ""en"", ""ne"")"),"खेलहरू खेल्दा सूचनाहरू असक्षम गर्नुहोस्")</f>
        <v>खेलहरू खेल्दा सूचनाहरू असक्षम गर्नुहोस्</v>
      </c>
      <c r="O195" s="4" t="str">
        <f>IFERROR(__xludf.DUMMYFUNCTION("GOOGLETRANSLATE(B195, ""en"", ""de"")"),"Deaktivieren Sie Benachrichtigungen beim Spielen von Spielen")</f>
        <v>Deaktivieren Sie Benachrichtigungen beim Spielen von Spielen</v>
      </c>
      <c r="P195" s="4" t="str">
        <f>IFERROR(__xludf.DUMMYFUNCTION("GOOGLETRANSLATE(B195, ""en"", ""he"")"),"להשבית הודעות בעת משחק משחקים")</f>
        <v>להשבית הודעות בעת משחק משחקים</v>
      </c>
      <c r="Q195" s="4" t="str">
        <f>IFERROR(__xludf.DUMMYFUNCTION("GOOGLETRANSLATE(B195, ""en"", ""cs"")"),"Zakázat oznámení při hraní her")</f>
        <v>Zakázat oznámení při hraní her</v>
      </c>
      <c r="R195" s="4" t="str">
        <f>IFERROR(__xludf.DUMMYFUNCTION("GOOGLETRANSLATE(B195, ""en"", ""it"")"),"Disabilita le notifiche durante il gioco")</f>
        <v>Disabilita le notifiche durante il gioco</v>
      </c>
      <c r="S195" s="4" t="str">
        <f>IFERROR(__xludf.DUMMYFUNCTION("GOOGLETRANSLATE(B195, ""en"", ""el"")"),"Απενεργοποιήστε τις ειδοποιήσεις κατά την αναπαραγωγή παιχνιδιών")</f>
        <v>Απενεργοποιήστε τις ειδοποιήσεις κατά την αναπαραγωγή παιχνιδιών</v>
      </c>
    </row>
    <row r="196" ht="15.75" customHeight="1">
      <c r="A196" s="4" t="s">
        <v>404</v>
      </c>
      <c r="B196" s="4" t="s">
        <v>405</v>
      </c>
      <c r="C196" s="4" t="str">
        <f>IFERROR(__xludf.DUMMYFUNCTION("GOOGLETRANSLATE(B196, ""en"", ""es"")"),"Luz, rápida e inteligente.")</f>
        <v>Luz, rápida e inteligente.</v>
      </c>
      <c r="D196" s="4" t="str">
        <f>IFERROR(__xludf.DUMMYFUNCTION("GOOGLETRANSLATE(B196, ""en"", ""pt"")"),"Luz, rápido e inteligente")</f>
        <v>Luz, rápido e inteligente</v>
      </c>
      <c r="E196" s="4" t="str">
        <f>IFERROR(__xludf.DUMMYFUNCTION("GOOGLETRANSLATE(B196, ""en"", ""ar"")"),"الضوء، سريع وذكي")</f>
        <v>الضوء، سريع وذكي</v>
      </c>
      <c r="F196" s="4" t="str">
        <f>IFERROR(__xludf.DUMMYFUNCTION("GOOGLETRANSLATE(B196, ""en"", ""km"")"),"ពន្លឺលឿននិងឆ្លាត")</f>
        <v>ពន្លឺលឿននិងឆ្លាត</v>
      </c>
      <c r="G196" s="4" t="str">
        <f>IFERROR(__xludf.DUMMYFUNCTION("GOOGLETRANSLATE(B196, ""en"", ""fr"")"),"Lumière, rapide et intelligente")</f>
        <v>Lumière, rapide et intelligente</v>
      </c>
      <c r="H196" s="4" t="str">
        <f>IFERROR(__xludf.DUMMYFUNCTION("GOOGLETRANSLATE(B196, ""en"", ""ro"")"),"Lumina, rapidă și inteligentă")</f>
        <v>Lumina, rapidă și inteligentă</v>
      </c>
      <c r="I196" s="4" t="str">
        <f>IFERROR(__xludf.DUMMYFUNCTION("GOOGLETRANSLATE(B196, ""en"", ""my"")"),"အလင်း, အစာရှောင်ခြင်းနှင့်စမတ်")</f>
        <v>အလင်း, အစာရှောင်ခြင်းနှင့်စမတ်</v>
      </c>
      <c r="J196" s="4" t="str">
        <f>IFERROR(__xludf.DUMMYFUNCTION("GOOGLETRANSLATE(B196, ""en"", ""sw"")"),"Mwanga, haraka na smart.")</f>
        <v>Mwanga, haraka na smart.</v>
      </c>
      <c r="K196" s="4" t="str">
        <f>IFERROR(__xludf.DUMMYFUNCTION("GOOGLETRANSLATE(B196, ""en"", ""th"")"),"แสงเร็วและสมาร์ท")</f>
        <v>แสงเร็วและสมาร์ท</v>
      </c>
      <c r="L196" s="4" t="str">
        <f>IFERROR(__xludf.DUMMYFUNCTION("GOOGLETRANSLATE(B196, ""en"", ""si"")"),"ආලෝකය, වේගවත් හා බුද්ධිමත්")</f>
        <v>ආලෝකය, වේගවත් හා බුද්ධිමත්</v>
      </c>
      <c r="M196" s="4" t="str">
        <f>IFERROR(__xludf.DUMMYFUNCTION("GOOGLETRANSLATE(B196, ""en"", ""vi"")"),"Ánh sáng, nhanh chóng và thông minh")</f>
        <v>Ánh sáng, nhanh chóng và thông minh</v>
      </c>
      <c r="N196" s="4" t="str">
        <f>IFERROR(__xludf.DUMMYFUNCTION("GOOGLETRANSLATE(B196, ""en"", ""ne"")"),"प्रकाश, छिटो र स्मार्ट")</f>
        <v>प्रकाश, छिटो र स्मार्ट</v>
      </c>
      <c r="O196" s="4" t="str">
        <f>IFERROR(__xludf.DUMMYFUNCTION("GOOGLETRANSLATE(B196, ""en"", ""de"")"),"Leicht, schnell und klug")</f>
        <v>Leicht, schnell und klug</v>
      </c>
      <c r="P196" s="4" t="str">
        <f>IFERROR(__xludf.DUMMYFUNCTION("GOOGLETRANSLATE(B196, ""en"", ""he"")"),"אור, מהיר וחכם")</f>
        <v>אור, מהיר וחכם</v>
      </c>
      <c r="Q196" s="4" t="str">
        <f>IFERROR(__xludf.DUMMYFUNCTION("GOOGLETRANSLATE(B196, ""en"", ""cs"")"),"Světlo, rychlé a inteligentní")</f>
        <v>Světlo, rychlé a inteligentní</v>
      </c>
      <c r="R196" s="4" t="str">
        <f>IFERROR(__xludf.DUMMYFUNCTION("GOOGLETRANSLATE(B196, ""en"", ""it"")"),"Luce, veloce e intelligente")</f>
        <v>Luce, veloce e intelligente</v>
      </c>
      <c r="S196" s="4" t="str">
        <f>IFERROR(__xludf.DUMMYFUNCTION("GOOGLETRANSLATE(B196, ""en"", ""el"")"),"Φως, Γρήγορη και έξυπνη")</f>
        <v>Φως, Γρήγορη και έξυπνη</v>
      </c>
    </row>
    <row r="197" ht="15.75" customHeight="1">
      <c r="A197" s="4" t="s">
        <v>406</v>
      </c>
      <c r="B197" s="4" t="s">
        <v>407</v>
      </c>
      <c r="C197" s="4" t="str">
        <f>IFERROR(__xludf.DUMMYFUNCTION("GOOGLETRANSLATE(B197, ""en"", ""es"")"),"Establecer el patrón de desbloqueo de la aplicación")</f>
        <v>Establecer el patrón de desbloqueo de la aplicación</v>
      </c>
      <c r="D197" s="4" t="str">
        <f>IFERROR(__xludf.DUMMYFUNCTION("GOOGLETRANSLATE(B197, ""en"", ""pt"")"),"Defina o padrão de desbloqueio do aplicativo")</f>
        <v>Defina o padrão de desbloqueio do aplicativo</v>
      </c>
      <c r="E197" s="4" t="str">
        <f>IFERROR(__xludf.DUMMYFUNCTION("GOOGLETRANSLATE(B197, ""en"", ""ar"")"),"اضبط نمط فتح التطبيق")</f>
        <v>اضبط نمط فتح التطبيق</v>
      </c>
      <c r="F197" s="4" t="str">
        <f>IFERROR(__xludf.DUMMYFUNCTION("GOOGLETRANSLATE(B197, ""en"", ""km"")"),"កំណត់លំនាំដោះសោរបស់កម្មវិធី")</f>
        <v>កំណត់លំនាំដោះសោរបស់កម្មវិធី</v>
      </c>
      <c r="G197" s="4" t="str">
        <f>IFERROR(__xludf.DUMMYFUNCTION("GOOGLETRANSLATE(B197, ""en"", ""fr"")"),"Définir le modèle de déverrouillage de l'application")</f>
        <v>Définir le modèle de déverrouillage de l'application</v>
      </c>
      <c r="H197" s="4" t="str">
        <f>IFERROR(__xludf.DUMMYFUNCTION("GOOGLETRANSLATE(B197, ""en"", ""ro"")"),"Setați modelul de deblocare al aplicației")</f>
        <v>Setați modelul de deblocare al aplicației</v>
      </c>
      <c r="I197" s="4" t="str">
        <f>IFERROR(__xludf.DUMMYFUNCTION("GOOGLETRANSLATE(B197, ""en"", ""my"")"),"app ကို 's ကိုသော့ဖွင့်ပုံစံကိုသတ်မှတ်ပါ")</f>
        <v>app ကို 's ကိုသော့ဖွင့်ပုံစံကိုသတ်မှတ်ပါ</v>
      </c>
      <c r="J197" s="4" t="str">
        <f>IFERROR(__xludf.DUMMYFUNCTION("GOOGLETRANSLATE(B197, ""en"", ""sw"")"),"Weka muundo wa kufungua programu")</f>
        <v>Weka muundo wa kufungua programu</v>
      </c>
      <c r="K197" s="4" t="str">
        <f>IFERROR(__xludf.DUMMYFUNCTION("GOOGLETRANSLATE(B197, ""en"", ""th"")"),"ตั้งรูปแบบการปลดล็อคของแอป")</f>
        <v>ตั้งรูปแบบการปลดล็อคของแอป</v>
      </c>
      <c r="L197" s="4" t="str">
        <f>IFERROR(__xludf.DUMMYFUNCTION("GOOGLETRANSLATE(B197, ""en"", ""si"")"),"යෙදුම අගුළු ඇරීමේ රටාව සකසන්න")</f>
        <v>යෙදුම අගුළු ඇරීමේ රටාව සකසන්න</v>
      </c>
      <c r="M197" s="4" t="str">
        <f>IFERROR(__xludf.DUMMYFUNCTION("GOOGLETRANSLATE(B197, ""en"", ""vi"")"),"Đặt mẫu mở khóa của ứng dụng")</f>
        <v>Đặt mẫu mở khóa của ứng dụng</v>
      </c>
      <c r="N197" s="4" t="str">
        <f>IFERROR(__xludf.DUMMYFUNCTION("GOOGLETRANSLATE(B197, ""en"", ""ne"")"),"अनुप्रयोग अनलक ढाँचा सेट गर्नुहोस्")</f>
        <v>अनुप्रयोग अनलक ढाँचा सेट गर्नुहोस्</v>
      </c>
      <c r="O197" s="4" t="str">
        <f>IFERROR(__xludf.DUMMYFUNCTION("GOOGLETRANSLATE(B197, ""en"", ""de"")"),"Stellen Sie das Entriegelungsmuster des App \'S ein")</f>
        <v>Stellen Sie das Entriegelungsmuster des App \'S ein</v>
      </c>
      <c r="P197" s="4" t="str">
        <f>IFERROR(__xludf.DUMMYFUNCTION("GOOGLETRANSLATE(B197, ""en"", ""he"")"),"הגדר את תבנית הנעילה של App \")</f>
        <v>הגדר את תבנית הנעילה של App \</v>
      </c>
      <c r="Q197" s="4" t="str">
        <f>IFERROR(__xludf.DUMMYFUNCTION("GOOGLETRANSLATE(B197, ""en"", ""cs"")"),"Nastavte vzor pro odemknutí aplikace")</f>
        <v>Nastavte vzor pro odemknutí aplikace</v>
      </c>
      <c r="R197" s="4" t="str">
        <f>IFERROR(__xludf.DUMMYFUNCTION("GOOGLETRANSLATE(B197, ""en"", ""it"")"),"Imposta il modello di sblocco dell'app")</f>
        <v>Imposta il modello di sblocco dell'app</v>
      </c>
      <c r="S197" s="4" t="str">
        <f>IFERROR(__xludf.DUMMYFUNCTION("GOOGLETRANSLATE(B197, ""en"", ""el"")"),"Ορίστε το μοτίβο ξεκλειδώματος της App \")</f>
        <v>Ορίστε το μοτίβο ξεκλειδώματος της App \</v>
      </c>
    </row>
    <row r="198" ht="15.75" customHeight="1">
      <c r="A198" s="4" t="s">
        <v>408</v>
      </c>
      <c r="B198" s="4" t="s">
        <v>409</v>
      </c>
      <c r="C198" s="4" t="str">
        <f>IFERROR(__xludf.DUMMYFUNCTION("GOOGLETRANSLATE(B198, ""en"", ""es"")"),"Por favor, conceda la accesibilidad para cerrar las siguientes aplicaciones de inicio automático. La aceleración podría aumentarse en un 50%.")</f>
        <v>Por favor, conceda la accesibilidad para cerrar las siguientes aplicaciones de inicio automático. La aceleración podría aumentarse en un 50%.</v>
      </c>
      <c r="D198" s="4" t="str">
        <f>IFERROR(__xludf.DUMMYFUNCTION("GOOGLETRANSLATE(B198, ""en"", ""pt"")"),"Por favor, conceda à acessibilidade para fechar os seguintes aplicativos de início automático. A aceleração poderia ser aumentada em 50%")</f>
        <v>Por favor, conceda à acessibilidade para fechar os seguintes aplicativos de início automático. A aceleração poderia ser aumentada em 50%</v>
      </c>
      <c r="E198" s="4" t="str">
        <f>IFERROR(__xludf.DUMMYFUNCTION("GOOGLETRANSLATE(B198, ""en"", ""ar"")"),"يرجى منح إمكانية الوصول إلى إغلاق تطبيقات بدء التشغيل التلقائي. يمكن زيادة التسارع بنسبة 50٪")</f>
        <v>يرجى منح إمكانية الوصول إلى إغلاق تطبيقات بدء التشغيل التلقائي. يمكن زيادة التسارع بنسبة 50٪</v>
      </c>
      <c r="F198" s="4" t="str">
        <f>IFERROR(__xludf.DUMMYFUNCTION("GOOGLETRANSLATE(B198, ""en"", ""km"")"),"សូមផ្តល់ភាពងាយស្រួលក្នុងការបិទការបិទកម្មវិធីចាប់ផ្តើមដោយស្វ័យប្រវត្តិ។ ការបង្កើនល្បឿនអាចត្រូវបានកើនឡើង 50%")</f>
        <v>សូមផ្តល់ភាពងាយស្រួលក្នុងការបិទការបិទកម្មវិធីចាប់ផ្តើមដោយស្វ័យប្រវត្តិ។ ការបង្កើនល្បឿនអាចត្រូវបានកើនឡើង 50%</v>
      </c>
      <c r="G198" s="4" t="str">
        <f>IFERROR(__xludf.DUMMYFUNCTION("GOOGLETRANSLATE(B198, ""en"", ""fr"")"),"Veuillez accorder l'accessibilité à la fermeture des applications de démarrage automatique. L'accélération pourrait être augmentée de 50%")</f>
        <v>Veuillez accorder l'accessibilité à la fermeture des applications de démarrage automatique. L'accélération pourrait être augmentée de 50%</v>
      </c>
      <c r="H198" s="4" t="str">
        <f>IFERROR(__xludf.DUMMYFUNCTION("GOOGLETRANSLATE(B198, ""en"", ""ro"")"),"Vă rugăm să acordați accesibilitatea la închiderea următoarelor aplicații de pornire automată. Accelerarea ar putea fi mărită cu 50%")</f>
        <v>Vă rugăm să acordați accesibilitatea la închiderea următoarelor aplicații de pornire automată. Accelerarea ar putea fi mărită cu 50%</v>
      </c>
      <c r="I198" s="4" t="str">
        <f>IFERROR(__xludf.DUMMYFUNCTION("GOOGLETRANSLATE(B198, ""en"", ""my"")"),"ကျေးဇူးပြု. Auto Start Apps များကိုပိတ်ထားနိုင်ရန်ခွင့်ပြုပါ။ အရှိန်ကို 50% တိုးလာနိုင်သည်")</f>
        <v>ကျေးဇူးပြု. Auto Start Apps များကိုပိတ်ထားနိုင်ရန်ခွင့်ပြုပါ။ အရှိန်ကို 50% တိုးလာနိုင်သည်</v>
      </c>
      <c r="J198" s="4" t="str">
        <f>IFERROR(__xludf.DUMMYFUNCTION("GOOGLETRANSLATE(B198, ""en"", ""sw"")"),"Tafadhali ruhusu upatikanaji wa kufungua programu zifuatazo za kuanza auto. Kuharakisha inaweza kuongezeka kwa 50%")</f>
        <v>Tafadhali ruhusu upatikanaji wa kufungua programu zifuatazo za kuanza auto. Kuharakisha inaweza kuongezeka kwa 50%</v>
      </c>
      <c r="K198" s="4" t="str">
        <f>IFERROR(__xludf.DUMMYFUNCTION("GOOGLETRANSLATE(B198, ""en"", ""th"")"),"โปรดให้สิทธิ์การเข้าถึงเพื่อปิดแอปเริ่มต้นอัตโนมัติ การเร่งความเร็วอาจเพิ่มขึ้น 50%")</f>
        <v>โปรดให้สิทธิ์การเข้าถึงเพื่อปิดแอปเริ่มต้นอัตโนมัติ การเร่งความเร็วอาจเพิ่มขึ้น 50%</v>
      </c>
      <c r="L198" s="4" t="str">
        <f>IFERROR(__xludf.DUMMYFUNCTION("GOOGLETRANSLATE(B198, ""en"", ""si"")"),"කරුණාකර ස්වයංක්රීය ආරම්භක යෙදුම් වසා දැමීමට ප්රවේශය ලබා දෙන්න. ත්වරණය 50% කින් වැඩි කළ හැකිය")</f>
        <v>කරුණාකර ස්වයංක්රීය ආරම්භක යෙදුම් වසා දැමීමට ප්රවේශය ලබා දෙන්න. ත්වරණය 50% කින් වැඩි කළ හැකිය</v>
      </c>
      <c r="M198" s="4" t="str">
        <f>IFERROR(__xludf.DUMMYFUNCTION("GOOGLETRANSLATE(B198, ""en"", ""vi"")"),"Vui lòng cấp quyền truy cập để đóng các ứng dụng Tự động khởi động sau. Tăng tốc có thể được tăng thêm 50%")</f>
        <v>Vui lòng cấp quyền truy cập để đóng các ứng dụng Tự động khởi động sau. Tăng tốc có thể được tăng thêm 50%</v>
      </c>
      <c r="N198" s="4" t="str">
        <f>IFERROR(__xludf.DUMMYFUNCTION("GOOGLETRANSLATE(B198, ""en"", ""ne"")"),"कृपया Auto सुरु अनुप्रयोगहरू बन्द गर्न पहुँच प्रदान गर्नुहोस्। त्वती 500% ले वृद्धि गर्न सकिन्छ")</f>
        <v>कृपया Auto सुरु अनुप्रयोगहरू बन्द गर्न पहुँच प्रदान गर्नुहोस्। त्वती 500% ले वृद्धि गर्न सकिन्छ</v>
      </c>
      <c r="O198" s="4" t="str">
        <f>IFERROR(__xludf.DUMMYFUNCTION("GOOGLETRANSLATE(B198, ""en"", ""de"")"),"Bitte geben Sie die Zugänglichkeit, um folgende Auto-Start-Apps zu schließen. Die Beschleunigung könnte um 50% erhöht werden")</f>
        <v>Bitte geben Sie die Zugänglichkeit, um folgende Auto-Start-Apps zu schließen. Die Beschleunigung könnte um 50% erhöht werden</v>
      </c>
      <c r="P198" s="4" t="str">
        <f>IFERROR(__xludf.DUMMYFUNCTION("GOOGLETRANSLATE(B198, ""en"", ""he"")"),"בבקשה להעניק נגישות לסגירת יישומי התחלה אוטומטית הבאות. ההאצה יכולה להיות מוגברת ב -50%")</f>
        <v>בבקשה להעניק נגישות לסגירת יישומי התחלה אוטומטית הבאות. ההאצה יכולה להיות מוגברת ב -50%</v>
      </c>
      <c r="Q198" s="4" t="str">
        <f>IFERROR(__xludf.DUMMYFUNCTION("GOOGLETRANSLATE(B198, ""en"", ""cs"")"),"Uveďte přístupnost k ukončení aplikací Auto Start. Zrychlení by mohlo být zvýšeno o 50%")</f>
        <v>Uveďte přístupnost k ukončení aplikací Auto Start. Zrychlení by mohlo být zvýšeno o 50%</v>
      </c>
      <c r="R198" s="4" t="str">
        <f>IFERROR(__xludf.DUMMYFUNCTION("GOOGLETRANSLATE(B198, ""en"", ""it"")"),"Si prega di concedere l'accessibilità a chiudere le seguenti app Auto Start. L'accelerazione potrebbe essere aumentata del 50%")</f>
        <v>Si prega di concedere l'accessibilità a chiudere le seguenti app Auto Start. L'accelerazione potrebbe essere aumentata del 50%</v>
      </c>
      <c r="S198" s="4" t="str">
        <f>IFERROR(__xludf.DUMMYFUNCTION("GOOGLETRANSLATE(B198, ""en"", ""el"")"),"Παρακαλείστε να παραδώσετε την προσβασιμότητα για να κλείσετε τις παρακάτω εφαρμογές αυτόματης εκκίνησης. Η επιτάχυνση θα μπορούσε να αυξηθεί κατά 50%")</f>
        <v>Παρακαλείστε να παραδώσετε την προσβασιμότητα για να κλείσετε τις παρακάτω εφαρμογές αυτόματης εκκίνησης. Η επιτάχυνση θα μπορούσε να αυξηθεί κατά 50%</v>
      </c>
    </row>
    <row r="199" ht="15.75" customHeight="1">
      <c r="A199" s="4" t="s">
        <v>410</v>
      </c>
      <c r="B199" s="4" t="s">
        <v>411</v>
      </c>
      <c r="C199" s="4" t="str">
        <f>IFERROR(__xludf.DUMMYFUNCTION("GOOGLETRANSLATE(B199, ""en"", ""es"")"),"Toque en el primer uso derecho al servicio de acceso.
        Esto permitirá a Super Cleaner:
        - Limpieza profunda de la basura oculta
        - Hibernar las aplicaciones de drenaje
        Tendrá que aceptar Warinings del sistema Android al permit"&amp;"ir el servicio de accesibilidad. El maestro limpio no usará estos para ningún propósito más oral de lo que se enumerará aquí.
    ")</f>
        <v>Toque en el primer uso derecho al servicio de acceso.
        Esto permitirá a Super Cleaner:
        - Limpieza profunda de la basura oculta
        - Hibernar las aplicaciones de drenaje
        Tendrá que aceptar Warinings del sistema Android al permitir el servicio de accesibilidad. El maestro limpio no usará estos para ningún propósito más oral de lo que se enumerará aquí.
    </v>
      </c>
      <c r="D199" s="4" t="str">
        <f>IFERROR(__xludf.DUMMYFUNCTION("GOOGLETRANSLATE(B199, ""en"", ""pt"")"),"Toque no topo de uso direto para o serviço de acessibilidade.
        Isso permitirá super limpeza para:
        - lixo oculto limpo profundo
        - Hibernate drenando aplicativos
        Você terá que aceitar guerras do sistema Android ao habilitar o "&amp;"serviço de acessibilidade. O Mestre Limpo não irá usá-los para qualquer finalidade ou listado aqui.
    ")</f>
        <v>Toque no topo de uso direto para o serviço de acessibilidade.
        Isso permitirá super limpeza para:
        - lixo oculto limpo profundo
        - Hibernate drenando aplicativos
        Você terá que aceitar guerras do sistema Android ao habilitar o serviço de acessibilidade. O Mestre Limpo não irá usá-los para qualquer finalidade ou listado aqui.
    </v>
      </c>
      <c r="E199" s="4" t="str">
        <f>IFERROR(__xludf.DUMMYFUNCTION("GOOGLETRANSLATE(B199, ""en"", ""ar"")"),"انقر فوق أعلى الاستخدام الصحيح لخدمة Accessiblility.
        هذا سيسمح سوبر نظافة إلى:
        - عميق نظيف خفية غير مرغوب فيه
        - السبات استنزاف التطبيقات
        سيتعين عليك قبول تحذيرات نظام Android عند تمكين خدمة الوصول. لن يستخدم ماجستير نظيفة ه"&amp;"ذه لأي غرض أورثر من مدرج هنا.
    ")</f>
        <v>انقر فوق أعلى الاستخدام الصحيح لخدمة Accessiblility.
        هذا سيسمح سوبر نظافة إلى:
        - عميق نظيف خفية غير مرغوب فيه
        - السبات استنزاف التطبيقات
        سيتعين عليك قبول تحذيرات نظام Android عند تمكين خدمة الوصول. لن يستخدم ماجستير نظيفة هذه لأي غرض أورثر من مدرج هنا.
    </v>
      </c>
      <c r="F199" s="4" t="str">
        <f>IFERROR(__xludf.DUMMYFUNCTION("GOOGLETRANSLATE(B199, ""en"", ""km"")"),"ប៉ះលើការប្រើប្រាស់ខាងស្តាំលើសេវាកម្មដែលអាចចូលដំណើរការបាន។
        នេះនឹងអនុញ្ញាតឱ្យអ្នកសំអាតទំនើបសម្រាប់:
        - ឥតបានការលាក់លៀមស្អាត
        - hibibertate កម្មវិធីបង្ហូរទឹក
        អ្នកនឹងត្រូវទទួលយកការព្រមានប្រព័ន្ធ Android នៅពេលបើកសេវាកម្មភាពងាយស្រួ"&amp;"ល។ ម៉ាស្ទ័រស្អាតនឹងមិនប្រើរបស់ទាំងនេះសម្រាប់គោលបំណង orther ណាមួយជាងការចុះបញ្ជីនៅទីនេះទេ។
    ")</f>
        <v>ប៉ះលើការប្រើប្រាស់ខាងស្តាំលើសេវាកម្មដែលអាចចូលដំណើរការបាន។
        នេះនឹងអនុញ្ញាតឱ្យអ្នកសំអាតទំនើបសម្រាប់:
        - ឥតបានការលាក់លៀមស្អាត
        - hibibertate កម្មវិធីបង្ហូរទឹក
        អ្នកនឹងត្រូវទទួលយកការព្រមានប្រព័ន្ធ Android នៅពេលបើកសេវាកម្មភាពងាយស្រួល។ ម៉ាស្ទ័រស្អាតនឹងមិនប្រើរបស់ទាំងនេះសម្រាប់គោលបំណង orther ណាមួយជាងការចុះបញ្ជីនៅទីនេះទេ។
    </v>
      </c>
      <c r="G199" s="4" t="str">
        <f>IFERROR(__xludf.DUMMYFUNCTION("GOOGLETRANSLATE(B199, ""en"", ""fr"")"),"Tapez sur l'utilisation en haut à droite pour accéder à accessibilility.
        Cela permettra à Super Nettoyant de:
        - déchets cachés propres profonds
        - hibernate draining applications
        Vous devrez accepter Android System Warinings"&amp;" lors de l'activation du service d'accessibilité. Clean Master n'utilisera pas celles-ci pour aucun objectif orthère que celui indiqué ici.
    ")</f>
        <v>Tapez sur l'utilisation en haut à droite pour accéder à accessibilility.
        Cela permettra à Super Nettoyant de:
        - déchets cachés propres profonds
        - hibernate draining applications
        Vous devrez accepter Android System Warinings lors de l'activation du service d'accessibilité. Clean Master n'utilisera pas celles-ci pour aucun objectif orthère que celui indiqué ici.
    </v>
      </c>
      <c r="H199" s="4" t="str">
        <f>IFERROR(__xludf.DUMMYFUNCTION("GOOGLETRANSLATE(B199, ""en"", ""ro"")"),"Atingeți în partea dreaptă sus la serviciul de accesIblility.
        Acest lucru va permite Super Cleaner la:
        - Junk ascuns ascuns
        - Hibernate drenare Apps
        Va trebui să acceptați răspunsurile sistemului Android atunci când permite"&amp;"ți serviciului de accesibilitate. Clean Master nu va folosi aceste lucruri pentru orice scop orterie decât listat aici.
    ")</f>
        <v>Atingeți în partea dreaptă sus la serviciul de accesIblility.
        Acest lucru va permite Super Cleaner la:
        - Junk ascuns ascuns
        - Hibernate drenare Apps
        Va trebui să acceptați răspunsurile sistemului Android atunci când permiteți serviciului de accesibilitate. Clean Master nu va folosi aceste lucruri pentru orice scop orterie decât listat aici.
    </v>
      </c>
      <c r="I199" s="4" t="str">
        <f>IFERROR(__xludf.DUMMYFUNCTION("GOOGLETRANSLATE(B199, ""en"", ""my"")"),"Accessible 0 န်ဆောင်မှုကိုအပေါ်ညာဘက်အသုံးပြုမှုကိုအသာပုတ်ပါ။
        ၎င်းသည် Super Cleaner ကိုခွင့်ပြုလိမ့်မည်။
        - နက်ရှိုင်းသောသန့်ရှင်းသောဝှက်ထားသော junk
        - hibernate apps များ
        လက်လှမ်းမီမှု 0 န်ဆောင်မှုကိုဖွင့်သောအခါ Android Syste"&amp;"m Warinings ကိုသင်လက်ခံရပါလိမ့်မည်။ စင်ကြယ်သောမာစတာသည်ဤနေရာတွင်ဖော်ပြထားခြင်းထက်မည်သည့် orther ရည်ရွယ်ချက်အတွက်မသုံးပါ။
    ")</f>
        <v>Accessible 0 န်ဆောင်မှုကိုအပေါ်ညာဘက်အသုံးပြုမှုကိုအသာပုတ်ပါ။
        ၎င်းသည် Super Cleaner ကိုခွင့်ပြုလိမ့်မည်။
        - နက်ရှိုင်းသောသန့်ရှင်းသောဝှက်ထားသော junk
        - hibernate apps များ
        လက်လှမ်းမီမှု 0 န်ဆောင်မှုကိုဖွင့်သောအခါ Android System Warinings ကိုသင်လက်ခံရပါလိမ့်မည်။ စင်ကြယ်သောမာစတာသည်ဤနေရာတွင်ဖော်ပြထားခြင်းထက်မည်သည့် orther ရည်ရွယ်ချက်အတွက်မသုံးပါ။
    </v>
      </c>
      <c r="J199" s="4" t="str">
        <f>IFERROR(__xludf.DUMMYFUNCTION("GOOGLETRANSLATE(B199, ""en"", ""sw"")"),"Gonga juu ya matumizi ya juu kwa huduma ya upatikanaji.
        Hii itawawezesha Super Cleaner:
        - kina kizuri cha siri
        - Hibernate kufuta programu.
        Utahitaji kukubali maji ya android wakati wa kuwezesha huduma ya upatikanaji. Mwali"&amp;"mu safi haitatumia haya kwa lengo lolote kuliko ilivyoorodheshwa hapa.
    ")</f>
        <v>Gonga juu ya matumizi ya juu kwa huduma ya upatikanaji.
        Hii itawawezesha Super Cleaner:
        - kina kizuri cha siri
        - Hibernate kufuta programu.
        Utahitaji kukubali maji ya android wakati wa kuwezesha huduma ya upatikanaji. Mwalimu safi haitatumia haya kwa lengo lolote kuliko ilivyoorodheshwa hapa.
    </v>
      </c>
      <c r="K199" s="4" t="str">
        <f>IFERROR(__xludf.DUMMYFUNCTION("GOOGLETRANSLATE(B199, ""en"", ""th"")"),"แตะที่ด้านบนขวาใช้กับบริการ Accessiblility
        สิ่งนี้จะช่วยให้ Super Cleaner ไปที่:
        - ขยะที่ซ่อนอยู่ลึก ๆ
        - ไฮเบอร์เนตการระบายน้ำแอป
        คุณจะต้องรับการเตือนระบบ Android เมื่อเปิดใช้งานบริการการเข้าถึง Clean Master จะไม่ใช้สิ่งเหล"&amp;"่านี้สำหรับวัตถุประสงค์ของ Orther ใด ๆ มากกว่าที่ระบุไว้ที่นี่
    ")</f>
        <v>แตะที่ด้านบนขวาใช้กับบริการ Accessiblility
        สิ่งนี้จะช่วยให้ Super Cleaner ไปที่:
        - ขยะที่ซ่อนอยู่ลึก ๆ
        - ไฮเบอร์เนตการระบายน้ำแอป
        คุณจะต้องรับการเตือนระบบ Android เมื่อเปิดใช้งานบริการการเข้าถึง Clean Master จะไม่ใช้สิ่งเหล่านี้สำหรับวัตถุประสงค์ของ Orther ใด ๆ มากกว่าที่ระบุไว้ที่นี่
    </v>
      </c>
      <c r="L199" s="4" t="str">
        <f>IFERROR(__xludf.DUMMYFUNCTION("GOOGLETRANSLATE(B199, ""en"", ""si"")"),"AccessBlixity සේවාව සඳහා ඉහළ දකුණේ සම්පූර්ණ භාවිතයක් මත තට්ටු කරන්න.
        මෙය සුපිරි ක්ලීනර්ට ඉඩ දෙනු ඇත:
        - ගැඹුරු පිරිසිදු සැඟවුණු කුණු
        - ශිශිරතාරණය
        ප්රවේශවීමේ සේවාව ලබා දීමේදී ඔබට ඇන්ඩ්රොයිඩ් පද්ධති වර්ෂාව පිළිගැනීමට සිදුවේ. ප"&amp;"ිරිසිදු මාස්ටර් මෙහි ලැයිස්තුගත කර ඇති තරම් orter අරමුණක් සඳහා මේවා භාවිතා නොකරනු ඇත.
    ")</f>
        <v>AccessBlixity සේවාව සඳහා ඉහළ දකුණේ සම්පූර්ණ භාවිතයක් මත තට්ටු කරන්න.
        මෙය සුපිරි ක්ලීනර්ට ඉඩ දෙනු ඇත:
        - ගැඹුරු පිරිසිදු සැඟවුණු කුණු
        - ශිශිරතාරණය
        ප්රවේශවීමේ සේවාව ලබා දීමේදී ඔබට ඇන්ඩ්රොයිඩ් පද්ධති වර්ෂාව පිළිගැනීමට සිදුවේ. පිරිසිදු මාස්ටර් මෙහි ලැයිස්තුගත කර ඇති තරම් orter අරමුණක් සඳහා මේවා භාවිතා නොකරනු ඇත.
    </v>
      </c>
      <c r="M199" s="4" t="str">
        <f>IFERROR(__xludf.DUMMYFUNCTION("GOOGLETRANSLATE(B199, ""en"", ""vi"")"),"Nhấn vào quyền sử dụng trên cùng để dịch vụ Accessiblity.
        Điều này sẽ cho phép Super Cleaner với:
        - Deep Sweet Hidden Junk
        - Ứng dụng thoát nhiệt hibernate
        Bạn sẽ phải chấp nhận xoay hệ thống Android khi bật dịch vụ trợ năn"&amp;"g. Làm sạch Master sẽ không sử dụng những thứ này cho bất kỳ mục đích khác nào hơn được liệt kê ở đây.
    ")</f>
        <v>Nhấn vào quyền sử dụng trên cùng để dịch vụ Accessiblity.
        Điều này sẽ cho phép Super Cleaner với:
        - Deep Sweet Hidden Junk
        - Ứng dụng thoát nhiệt hibernate
        Bạn sẽ phải chấp nhận xoay hệ thống Android khi bật dịch vụ trợ năng. Làm sạch Master sẽ không sử dụng những thứ này cho bất kỳ mục đích khác nào hơn được liệt kê ở đây.
    </v>
      </c>
      <c r="N199" s="4" t="str">
        <f>IFERROR(__xludf.DUMMYFUNCTION("GOOGLETRANSLATE(B199, ""en"", ""ne"")"),"एक्टिबलिपीय सेवामा शीर्ष दायाँ प्रयोगमा ट्याप गर्नुहोस्।
        यसले सुपर क्लीनरलाई अनुमति दिनेछ:
        - गहिरो सफा कतार
        - Hidernte ड्रेन अनुप्रयोगहरू
        तपाईंले पहुँच पहुँच गर्न सक्षम पार्दै एन्ड्रोइड प्रणाली चेतावनी स्वीकार्नुपर्नेछ। सफा"&amp;" मालिकले यी यहाँ सूचीबद्ध बाहेक कुनै एक वेदर उद्देश्यका लागि प्रयोग गर्दैन।
    ")</f>
        <v>एक्टिबलिपीय सेवामा शीर्ष दायाँ प्रयोगमा ट्याप गर्नुहोस्।
        यसले सुपर क्लीनरलाई अनुमति दिनेछ:
        - गहिरो सफा कतार
        - Hidernte ड्रेन अनुप्रयोगहरू
        तपाईंले पहुँच पहुँच गर्न सक्षम पार्दै एन्ड्रोइड प्रणाली चेतावनी स्वीकार्नुपर्नेछ। सफा मालिकले यी यहाँ सूचीबद्ध बाहेक कुनै एक वेदर उद्देश्यका लागि प्रयोग गर्दैन।
    </v>
      </c>
      <c r="O199" s="4" t="str">
        <f>IFERROR(__xludf.DUMMYFUNCTION("GOOGLETRANSLATE(B199, ""en"", ""de"")"),"Tippen Sie auf die obere rechte Verwendung in den Zugriffsservice.
        Dies ermöglicht den Superreiniger an:
        - Tiefe sauberer versteckter Müll
        - Hibernate-Entwässerung von Apps
        Sie müssen Android-Systemwarinings annehmen, wenn "&amp;"Sie den Zugriffsdienst ermöglichen. Der saubere Master wird diese nicht für einen anderen Zweck benutzen als hier aufgelistet.
    ")</f>
        <v>Tippen Sie auf die obere rechte Verwendung in den Zugriffsservice.
        Dies ermöglicht den Superreiniger an:
        - Tiefe sauberer versteckter Müll
        - Hibernate-Entwässerung von Apps
        Sie müssen Android-Systemwarinings annehmen, wenn Sie den Zugriffsdienst ermöglichen. Der saubere Master wird diese nicht für einen anderen Zweck benutzen als hier aufgelistet.
    </v>
      </c>
      <c r="P199" s="4" t="str">
        <f>IFERROR(__xludf.DUMMYFUNCTION("GOOGLETRANSLATE(B199, ""en"", ""he"")"),"הקש על שימוש נכון לשימוש ב- Englishblility.
        זה יאפשר מנקה סופר:
        - זבל נקי נקי עמוק
        - מצב שינה
        יהיה עליך לקבל Warinings מערכת אנדרואיד בעת הפעלת שירות נגישות. הורים נקיים לא ישתמש אלה עבור כל מטרה או תכלית מאשר הרשום כאן.
  "&amp;"  ")</f>
        <v>הקש על שימוש נכון לשימוש ב- Englishblility.
        זה יאפשר מנקה סופר:
        - זבל נקי נקי עמוק
        - מצב שינה
        יהיה עליך לקבל Warinings מערכת אנדרואיד בעת הפעלת שירות נגישות. הורים נקיים לא ישתמש אלה עבור כל מטרה או תכלית מאשר הרשום כאן.
    </v>
      </c>
      <c r="Q199" s="4" t="str">
        <f>IFERROR(__xludf.DUMMYFUNCTION("GOOGLETRANSLATE(B199, ""en"", ""cs"")"),"Klepněte na pravé tlačítko TOP pro službu AccessBlility.
        To umožní Super Cleaner na:
        - Hluboké čisté skryté odpadky
        - Hibernate Draking Apps
        Při povolení služby pro přístupnost budete muset přijmout varování systému Android"&amp;" System. Clean Mistr nebude používat pro žádný orther účel, než je uveden zde.
    ")</f>
        <v>Klepněte na pravé tlačítko TOP pro službu AccessBlility.
        To umožní Super Cleaner na:
        - Hluboké čisté skryté odpadky
        - Hibernate Draking Apps
        Při povolení služby pro přístupnost budete muset přijmout varování systému Android System. Clean Mistr nebude používat pro žádný orther účel, než je uveden zde.
    </v>
      </c>
      <c r="R199" s="4" t="str">
        <f>IFERROR(__xludf.DUMMYFUNCTION("GOOGLETRANSLATE(B199, ""en"", ""it"")"),"Toccare il supporto in alto a destra per accessibilizzare il servizio.
        Questo consentirà a Super Cleaner di:
        - Junk nascosto pulito profondo
        - Le app di drenaggio delle ibernate
        Dovrai accettare warining di sistemi Android "&amp;"quando si abilita il servizio di accessibilità. Pulire il master non userà questi per nessuno scopo di orther che elencato qui.
    ")</f>
        <v>Toccare il supporto in alto a destra per accessibilizzare il servizio.
        Questo consentirà a Super Cleaner di:
        - Junk nascosto pulito profondo
        - Le app di drenaggio delle ibernate
        Dovrai accettare warining di sistemi Android quando si abilita il servizio di accessibilità. Pulire il master non userà questi per nessuno scopo di orther che elencato qui.
    </v>
      </c>
      <c r="S199" s="4" t="str">
        <f>IFERROR(__xludf.DUMMYFUNCTION("GOOGLETRANSLATE(B199, ""en"", ""el"")"),"Πατήστε στην επάνω δεξιά χρήση στην υπηρεσία AccessIility.
        Αυτό θα επιτρέψει το Super Cleaner να:
        - βαθιά καθαρή κρυφή σκουπίδια
        - Εφαρμογές αποστράγγισης αδρανοποίησης
        Θα πρέπει να δεχτείτε warinings συστήματος Android ότα"&amp;"ν επιτρέπουν την υπηρεσία προσβασιμότητας. Ο καθαρός πλοίαρχος δεν θα τα χρησιμοποιήσει για οποιονδήποτε άλλο σκοπό από το εισηγμένο εδώ.
    ")</f>
        <v>Πατήστε στην επάνω δεξιά χρήση στην υπηρεσία AccessIility.
        Αυτό θα επιτρέψει το Super Cleaner να:
        - βαθιά καθαρή κρυφή σκουπίδια
        - Εφαρμογές αποστράγγισης αδρανοποίησης
        Θα πρέπει να δεχτείτε warinings συστήματος Android όταν επιτρέπουν την υπηρεσία προσβασιμότητας. Ο καθαρός πλοίαρχος δεν θα τα χρησιμοποιήσει για οποιονδήποτε άλλο σκοπό από το εισηγμένο εδώ.
    </v>
      </c>
    </row>
    <row r="200" ht="15.75" customHeight="1">
      <c r="A200" s="4" t="s">
        <v>412</v>
      </c>
      <c r="B200" s="4" t="s">
        <v>413</v>
      </c>
      <c r="C200" s="4" t="str">
        <f>IFERROR(__xludf.DUMMYFUNCTION("GOOGLETRANSLATE(B200, ""en"", ""es"")"),"Grant permiso para mostrar en otras aplicaciones")</f>
        <v>Grant permiso para mostrar en otras aplicaciones</v>
      </c>
      <c r="D200" s="4" t="str">
        <f>IFERROR(__xludf.DUMMYFUNCTION("GOOGLETRANSLATE(B200, ""en"", ""pt"")"),"Conceder permissão para exibir em outros aplicativos")</f>
        <v>Conceder permissão para exibir em outros aplicativos</v>
      </c>
      <c r="E200" s="4" t="str">
        <f>IFERROR(__xludf.DUMMYFUNCTION("GOOGLETRANSLATE(B200, ""en"", ""ar"")"),"منح إذن لعرضه على التطبيقات الأخرى")</f>
        <v>منح إذن لعرضه على التطبيقات الأخرى</v>
      </c>
      <c r="F200" s="4" t="str">
        <f>IFERROR(__xludf.DUMMYFUNCTION("GOOGLETRANSLATE(B200, ""en"", ""km"")"),"ផ្តល់ការអនុញ្ញាតឱ្យបង្ហាញលើកម្មវិធីផ្សេងទៀត")</f>
        <v>ផ្តល់ការអនុញ្ញាតឱ្យបង្ហាញលើកម្មវិធីផ្សេងទៀត</v>
      </c>
      <c r="G200" s="4" t="str">
        <f>IFERROR(__xludf.DUMMYFUNCTION("GOOGLETRANSLATE(B200, ""en"", ""fr"")"),"Autorisation de subvention à afficher sur d'autres applications")</f>
        <v>Autorisation de subvention à afficher sur d'autres applications</v>
      </c>
      <c r="H200" s="4" t="str">
        <f>IFERROR(__xludf.DUMMYFUNCTION("GOOGLETRANSLATE(B200, ""en"", ""ro"")"),"Acordați permisiunea de a afișa pe alte aplicații")</f>
        <v>Acordați permisiunea de a afișa pe alte aplicații</v>
      </c>
      <c r="I200" s="4" t="str">
        <f>IFERROR(__xludf.DUMMYFUNCTION("GOOGLETRANSLATE(B200, ""en"", ""my"")"),"အခြား applications များပေါ်တွင်ပြသရန်ခွင့်ပြုချက်")</f>
        <v>အခြား applications များပေါ်တွင်ပြသရန်ခွင့်ပြုချက်</v>
      </c>
      <c r="J200" s="4" t="str">
        <f>IFERROR(__xludf.DUMMYFUNCTION("GOOGLETRANSLATE(B200, ""en"", ""sw"")"),"Ruhusu ruhusa ya kuonyesha kwenye programu nyingine")</f>
        <v>Ruhusu ruhusa ya kuonyesha kwenye programu nyingine</v>
      </c>
      <c r="K200" s="4" t="str">
        <f>IFERROR(__xludf.DUMMYFUNCTION("GOOGLETRANSLATE(B200, ""en"", ""th"")"),"อนุญาตให้แสดงในแอปพลิเคชันอื่น ๆ")</f>
        <v>อนุญาตให้แสดงในแอปพลิเคชันอื่น ๆ</v>
      </c>
      <c r="L200" s="4" t="str">
        <f>IFERROR(__xludf.DUMMYFUNCTION("GOOGLETRANSLATE(B200, ""en"", ""si"")"),"වෙනත් යෙදුම් ප්රදර්ශනය කිරීමට අවසර ලබා දීම")</f>
        <v>වෙනත් යෙදුම් ප්රදර්ශනය කිරීමට අවසර ලබා දීම</v>
      </c>
      <c r="M200" s="4" t="str">
        <f>IFERROR(__xludf.DUMMYFUNCTION("GOOGLETRANSLATE(B200, ""en"", ""vi"")"),"Cấp phép để hiển thị trên các ứng dụng khác")</f>
        <v>Cấp phép để hiển thị trên các ứng dụng khác</v>
      </c>
      <c r="N200" s="4" t="str">
        <f>IFERROR(__xludf.DUMMYFUNCTION("GOOGLETRANSLATE(B200, ""en"", ""ne"")"),"अन्य अनुप्रयोगहरूमा प्रदर्शन गर्न अनुमति अनुमति अनुमति")</f>
        <v>अन्य अनुप्रयोगहरूमा प्रदर्शन गर्न अनुमति अनुमति अनुमति</v>
      </c>
      <c r="O200" s="4" t="str">
        <f>IFERROR(__xludf.DUMMYFUNCTION("GOOGLETRANSLATE(B200, ""en"", ""de"")"),"Erteilung der Erlaubnis, auf anderen Anwendungen anzuzeigen")</f>
        <v>Erteilung der Erlaubnis, auf anderen Anwendungen anzuzeigen</v>
      </c>
      <c r="P200" s="4" t="str">
        <f>IFERROR(__xludf.DUMMYFUNCTION("GOOGLETRANSLATE(B200, ""en"", ""he"")"),"מענק הרשאה להציג על יישומים אחרים")</f>
        <v>מענק הרשאה להציג על יישומים אחרים</v>
      </c>
      <c r="Q200" s="4" t="str">
        <f>IFERROR(__xludf.DUMMYFUNCTION("GOOGLETRANSLATE(B200, ""en"", ""cs"")"),"Udělte povolení k zobrazení v jiných aplikacích")</f>
        <v>Udělte povolení k zobrazení v jiných aplikacích</v>
      </c>
      <c r="R200" s="4" t="str">
        <f>IFERROR(__xludf.DUMMYFUNCTION("GOOGLETRANSLATE(B200, ""en"", ""it"")"),"Concedere il permesso di visualizzare su altre applicazioni")</f>
        <v>Concedere il permesso di visualizzare su altre applicazioni</v>
      </c>
      <c r="S200" s="4" t="str">
        <f>IFERROR(__xludf.DUMMYFUNCTION("GOOGLETRANSLATE(B200, ""en"", ""el"")"),"Επιτρέψτε την άδεια για εμφάνιση σε άλλες εφαρμογές")</f>
        <v>Επιτρέψτε την άδεια για εμφάνιση σε άλλες εφαρμογές</v>
      </c>
    </row>
    <row r="201" ht="15.75" customHeight="1">
      <c r="A201" s="4" t="s">
        <v>414</v>
      </c>
      <c r="B201" s="4" t="s">
        <v>415</v>
      </c>
      <c r="C201" s="4" t="str">
        <f>IFERROR(__xludf.DUMMYFUNCTION("GOOGLETRANSLATE(B201, ""en"", ""es"")"),"Cargo inteligente")</f>
        <v>Cargo inteligente</v>
      </c>
      <c r="D201" s="4" t="str">
        <f>IFERROR(__xludf.DUMMYFUNCTION("GOOGLETRANSLATE(B201, ""en"", ""pt"")"),"Carga inteligente")</f>
        <v>Carga inteligente</v>
      </c>
      <c r="E201" s="4" t="str">
        <f>IFERROR(__xludf.DUMMYFUNCTION("GOOGLETRANSLATE(B201, ""en"", ""ar"")"),"الشحن الذكي")</f>
        <v>الشحن الذكي</v>
      </c>
      <c r="F201" s="4" t="str">
        <f>IFERROR(__xludf.DUMMYFUNCTION("GOOGLETRANSLATE(B201, ""en"", ""km"")"),"ការគិតថ្លៃឆ្លាត")</f>
        <v>ការគិតថ្លៃឆ្លាត</v>
      </c>
      <c r="G201" s="4" t="str">
        <f>IFERROR(__xludf.DUMMYFUNCTION("GOOGLETRANSLATE(B201, ""en"", ""fr"")"),"Accusation intelligente")</f>
        <v>Accusation intelligente</v>
      </c>
      <c r="H201" s="4" t="str">
        <f>IFERROR(__xludf.DUMMYFUNCTION("GOOGLETRANSLATE(B201, ""en"", ""ro"")"),"Taxa inteligentă")</f>
        <v>Taxa inteligentă</v>
      </c>
      <c r="I201" s="4" t="str">
        <f>IFERROR(__xludf.DUMMYFUNCTION("GOOGLETRANSLATE(B201, ""en"", ""my"")"),"စမတ်ကြှrich")</f>
        <v>စမတ်ကြှrich</v>
      </c>
      <c r="J201" s="4" t="str">
        <f>IFERROR(__xludf.DUMMYFUNCTION("GOOGLETRANSLATE(B201, ""en"", ""sw"")"),"Malipo ya smart.")</f>
        <v>Malipo ya smart.</v>
      </c>
      <c r="K201" s="4" t="str">
        <f>IFERROR(__xludf.DUMMYFUNCTION("GOOGLETRANSLATE(B201, ""en"", ""th"")"),"ชาร์จอัจฉริยะ")</f>
        <v>ชาร์จอัจฉริยะ</v>
      </c>
      <c r="L201" s="4" t="str">
        <f>IFERROR(__xludf.DUMMYFUNCTION("GOOGLETRANSLATE(B201, ""en"", ""si"")"),"ස්මාර්ට් ගාස්තුව")</f>
        <v>ස්මාර්ට් ගාස්තුව</v>
      </c>
      <c r="M201" s="4" t="str">
        <f>IFERROR(__xludf.DUMMYFUNCTION("GOOGLETRANSLATE(B201, ""en"", ""vi"")"),"Sạc thông minh")</f>
        <v>Sạc thông minh</v>
      </c>
      <c r="N201" s="4" t="str">
        <f>IFERROR(__xludf.DUMMYFUNCTION("GOOGLETRANSLATE(B201, ""en"", ""ne"")"),"स्मार्ट शुल्क")</f>
        <v>स्मार्ट शुल्क</v>
      </c>
      <c r="O201" s="4" t="str">
        <f>IFERROR(__xludf.DUMMYFUNCTION("GOOGLETRANSLATE(B201, ""en"", ""de"")"),"Intelligente Gebühr")</f>
        <v>Intelligente Gebühr</v>
      </c>
      <c r="P201" s="4" t="str">
        <f>IFERROR(__xludf.DUMMYFUNCTION("GOOGLETRANSLATE(B201, ""en"", ""he"")"),"חכם")</f>
        <v>חכם</v>
      </c>
      <c r="Q201" s="4" t="str">
        <f>IFERROR(__xludf.DUMMYFUNCTION("GOOGLETRANSLATE(B201, ""en"", ""cs"")"),"Inteligentní poplatek")</f>
        <v>Inteligentní poplatek</v>
      </c>
      <c r="R201" s="4" t="str">
        <f>IFERROR(__xludf.DUMMYFUNCTION("GOOGLETRANSLATE(B201, ""en"", ""it"")"),"Carica intelligente")</f>
        <v>Carica intelligente</v>
      </c>
      <c r="S201" s="4" t="str">
        <f>IFERROR(__xludf.DUMMYFUNCTION("GOOGLETRANSLATE(B201, ""en"", ""el"")"),"Έξυπνη χρέωση")</f>
        <v>Έξυπνη χρέωση</v>
      </c>
    </row>
    <row r="202" ht="15.75" customHeight="1">
      <c r="A202" s="4" t="s">
        <v>416</v>
      </c>
      <c r="B202" s="4" t="s">
        <v>417</v>
      </c>
      <c r="C202" s="4" t="str">
        <f>IFERROR(__xludf.DUMMYFUNCTION("GOOGLETRANSLATE(B202, ""en"", ""es"")"),"Wifi")</f>
        <v>Wifi</v>
      </c>
      <c r="D202" s="4" t="str">
        <f>IFERROR(__xludf.DUMMYFUNCTION("GOOGLETRANSLATE(B202, ""en"", ""pt"")"),"Wi-fi")</f>
        <v>Wi-fi</v>
      </c>
      <c r="E202" s="4" t="str">
        <f>IFERROR(__xludf.DUMMYFUNCTION("GOOGLETRANSLATE(B202, ""en"", ""ar"")"),"واي فاي")</f>
        <v>واي فاي</v>
      </c>
      <c r="F202" s="4" t="str">
        <f>IFERROR(__xludf.DUMMYFUNCTION("GOOGLETRANSLATE(B202, ""en"", ""km"")"),"ប្រព័ន្ធ Wifi")</f>
        <v>ប្រព័ន្ធ Wifi</v>
      </c>
      <c r="G202" s="4" t="str">
        <f>IFERROR(__xludf.DUMMYFUNCTION("GOOGLETRANSLATE(B202, ""en"", ""fr"")"),"Wifi")</f>
        <v>Wifi</v>
      </c>
      <c r="H202" s="4" t="str">
        <f>IFERROR(__xludf.DUMMYFUNCTION("GOOGLETRANSLATE(B202, ""en"", ""ro"")"),"Wifi")</f>
        <v>Wifi</v>
      </c>
      <c r="I202" s="4" t="str">
        <f>IFERROR(__xludf.DUMMYFUNCTION("GOOGLETRANSLATE(B202, ""en"", ""my"")"),"ဝိုင်ဖိုင်")</f>
        <v>ဝိုင်ဖိုင်</v>
      </c>
      <c r="J202" s="4" t="str">
        <f>IFERROR(__xludf.DUMMYFUNCTION("GOOGLETRANSLATE(B202, ""en"", ""sw"")"),"Wi-Fi.")</f>
        <v>Wi-Fi.</v>
      </c>
      <c r="K202" s="4" t="str">
        <f>IFERROR(__xludf.DUMMYFUNCTION("GOOGLETRANSLATE(B202, ""en"", ""th"")"),"Wi-Fi")</f>
        <v>Wi-Fi</v>
      </c>
      <c r="L202" s="4" t="str">
        <f>IFERROR(__xludf.DUMMYFUNCTION("GOOGLETRANSLATE(B202, ""en"", ""si"")"),"Wifi")</f>
        <v>Wifi</v>
      </c>
      <c r="M202" s="4" t="str">
        <f>IFERROR(__xludf.DUMMYFUNCTION("GOOGLETRANSLATE(B202, ""en"", ""vi"")"),"Wifi")</f>
        <v>Wifi</v>
      </c>
      <c r="N202" s="4" t="str">
        <f>IFERROR(__xludf.DUMMYFUNCTION("GOOGLETRANSLATE(B202, ""en"", ""ne"")"),"Wi-fi")</f>
        <v>Wi-fi</v>
      </c>
      <c r="O202" s="4" t="str">
        <f>IFERROR(__xludf.DUMMYFUNCTION("GOOGLETRANSLATE(B202, ""en"", ""de"")"),"W-lan")</f>
        <v>W-lan</v>
      </c>
      <c r="P202" s="4" t="str">
        <f>IFERROR(__xludf.DUMMYFUNCTION("GOOGLETRANSLATE(B202, ""en"", ""he"")"),"וויי - פיי")</f>
        <v>וויי - פיי</v>
      </c>
      <c r="Q202" s="4" t="str">
        <f>IFERROR(__xludf.DUMMYFUNCTION("GOOGLETRANSLATE(B202, ""en"", ""cs"")"),"Wi-fi")</f>
        <v>Wi-fi</v>
      </c>
      <c r="R202" s="4" t="str">
        <f>IFERROR(__xludf.DUMMYFUNCTION("GOOGLETRANSLATE(B202, ""en"", ""it"")"),"Wifi")</f>
        <v>Wifi</v>
      </c>
      <c r="S202" s="4" t="str">
        <f>IFERROR(__xludf.DUMMYFUNCTION("GOOGLETRANSLATE(B202, ""en"", ""el"")"),"Wi-fi")</f>
        <v>Wi-fi</v>
      </c>
    </row>
    <row r="203" ht="15.75" customHeight="1">
      <c r="A203" s="4" t="s">
        <v>418</v>
      </c>
      <c r="B203" s="4" t="s">
        <v>419</v>
      </c>
      <c r="C203" s="4" t="str">
        <f>IFERROR(__xludf.DUMMYFUNCTION("GOOGLETRANSLATE(B203, ""en"", ""es"")"),"Optimizado automáticamente")</f>
        <v>Optimizado automáticamente</v>
      </c>
      <c r="D203" s="4" t="str">
        <f>IFERROR(__xludf.DUMMYFUNCTION("GOOGLETRANSLATE(B203, ""en"", ""pt"")"),"Otimizado automaticamente")</f>
        <v>Otimizado automaticamente</v>
      </c>
      <c r="E203" s="4" t="str">
        <f>IFERROR(__xludf.DUMMYFUNCTION("GOOGLETRANSLATE(B203, ""en"", ""ar"")"),"الأمثل تلقائيا")</f>
        <v>الأمثل تلقائيا</v>
      </c>
      <c r="F203" s="4" t="str">
        <f>IFERROR(__xludf.DUMMYFUNCTION("GOOGLETRANSLATE(B203, ""en"", ""km"")"),"ធ្វើឱ្យប្រសើរដោយស្វ័យប្រវត្តិ")</f>
        <v>ធ្វើឱ្យប្រសើរដោយស្វ័យប្រវត្តិ</v>
      </c>
      <c r="G203" s="4" t="str">
        <f>IFERROR(__xludf.DUMMYFUNCTION("GOOGLETRANSLATE(B203, ""en"", ""fr"")"),"Optimisé automatiquement")</f>
        <v>Optimisé automatiquement</v>
      </c>
      <c r="H203" s="4" t="str">
        <f>IFERROR(__xludf.DUMMYFUNCTION("GOOGLETRANSLATE(B203, ""en"", ""ro"")"),"Optimizat automat")</f>
        <v>Optimizat automat</v>
      </c>
      <c r="I203" s="4" t="str">
        <f>IFERROR(__xludf.DUMMYFUNCTION("GOOGLETRANSLATE(B203, ""en"", ""my"")"),"အလိုအလျောက် optimized")</f>
        <v>အလိုအလျောက် optimized</v>
      </c>
      <c r="J203" s="4" t="str">
        <f>IFERROR(__xludf.DUMMYFUNCTION("GOOGLETRANSLATE(B203, ""en"", ""sw"")"),"Imeboreshwa moja kwa moja.")</f>
        <v>Imeboreshwa moja kwa moja.</v>
      </c>
      <c r="K203" s="4" t="str">
        <f>IFERROR(__xludf.DUMMYFUNCTION("GOOGLETRANSLATE(B203, ""en"", ""th"")"),"ปรับให้เหมาะสมโดยอัตโนมัติ")</f>
        <v>ปรับให้เหมาะสมโดยอัตโนมัติ</v>
      </c>
      <c r="L203" s="4" t="str">
        <f>IFERROR(__xludf.DUMMYFUNCTION("GOOGLETRANSLATE(B203, ""en"", ""si"")"),"ස්වයංක්රීයව ප්රශස්තිකරණය")</f>
        <v>ස්වයංක්රීයව ප්රශස්තිකරණය</v>
      </c>
      <c r="M203" s="4" t="str">
        <f>IFERROR(__xludf.DUMMYFUNCTION("GOOGLETRANSLATE(B203, ""en"", ""vi"")"),"Tự động tối ưu hóa")</f>
        <v>Tự động tối ưu hóa</v>
      </c>
      <c r="N203" s="4" t="str">
        <f>IFERROR(__xludf.DUMMYFUNCTION("GOOGLETRANSLATE(B203, ""en"", ""ne"")"),"स्वचालित रूपमा अनुकूलित")</f>
        <v>स्वचालित रूपमा अनुकूलित</v>
      </c>
      <c r="O203" s="4" t="str">
        <f>IFERROR(__xludf.DUMMYFUNCTION("GOOGLETRANSLATE(B203, ""en"", ""de"")"),"Automatisch optimiert")</f>
        <v>Automatisch optimiert</v>
      </c>
      <c r="P203" s="4" t="str">
        <f>IFERROR(__xludf.DUMMYFUNCTION("GOOGLETRANSLATE(B203, ""en"", ""he"")"),"אופטימיזציה אוטומטית")</f>
        <v>אופטימיזציה אוטומטית</v>
      </c>
      <c r="Q203" s="4" t="str">
        <f>IFERROR(__xludf.DUMMYFUNCTION("GOOGLETRANSLATE(B203, ""en"", ""cs"")"),"Automaticky optimalizován")</f>
        <v>Automaticky optimalizován</v>
      </c>
      <c r="R203" s="4" t="str">
        <f>IFERROR(__xludf.DUMMYFUNCTION("GOOGLETRANSLATE(B203, ""en"", ""it"")"),"Ottimizzato automaticamente")</f>
        <v>Ottimizzato automaticamente</v>
      </c>
      <c r="S203" s="4" t="str">
        <f>IFERROR(__xludf.DUMMYFUNCTION("GOOGLETRANSLATE(B203, ""en"", ""el"")"),"Αυτόματα βελτιστοποιημένο")</f>
        <v>Αυτόματα βελτιστοποιημένο</v>
      </c>
    </row>
    <row r="204" ht="15.75" customHeight="1">
      <c r="A204" s="4" t="s">
        <v>420</v>
      </c>
      <c r="B204" s="4" t="s">
        <v>421</v>
      </c>
      <c r="C204" s="4" t="str">
        <f>IFERROR(__xludf.DUMMYFUNCTION("GOOGLETRANSLATE(B204, ""en"", ""es"")"),"Desinstalar la aplicación")</f>
        <v>Desinstalar la aplicación</v>
      </c>
      <c r="D204" s="4" t="str">
        <f>IFERROR(__xludf.DUMMYFUNCTION("GOOGLETRANSLATE(B204, ""en"", ""pt"")"),"Desinstalar app.")</f>
        <v>Desinstalar app.</v>
      </c>
      <c r="E204" s="4" t="str">
        <f>IFERROR(__xludf.DUMMYFUNCTION("GOOGLETRANSLATE(B204, ""en"", ""ar"")"),"إلغاء تثبيت التطبيق")</f>
        <v>إلغاء تثبيت التطبيق</v>
      </c>
      <c r="F204" s="4" t="str">
        <f>IFERROR(__xludf.DUMMYFUNCTION("GOOGLETRANSLATE(B204, ""en"", ""km"")"),"លុបកម្មវិធី")</f>
        <v>លុបកម្មវិធី</v>
      </c>
      <c r="G204" s="4" t="str">
        <f>IFERROR(__xludf.DUMMYFUNCTION("GOOGLETRANSLATE(B204, ""en"", ""fr"")"),"Désinstallez l'application")</f>
        <v>Désinstallez l'application</v>
      </c>
      <c r="H204" s="4" t="str">
        <f>IFERROR(__xludf.DUMMYFUNCTION("GOOGLETRANSLATE(B204, ""en"", ""ro"")"),"Dezinstalați aplicația")</f>
        <v>Dezinstalați aplicația</v>
      </c>
      <c r="I204" s="4" t="str">
        <f>IFERROR(__xludf.DUMMYFUNCTION("GOOGLETRANSLATE(B204, ""en"", ""my"")"),"uninstall uninstall")</f>
        <v>uninstall uninstall</v>
      </c>
      <c r="J204" s="4" t="str">
        <f>IFERROR(__xludf.DUMMYFUNCTION("GOOGLETRANSLATE(B204, ""en"", ""sw"")"),"Futa programu")</f>
        <v>Futa programu</v>
      </c>
      <c r="K204" s="4" t="str">
        <f>IFERROR(__xludf.DUMMYFUNCTION("GOOGLETRANSLATE(B204, ""en"", ""th"")"),"แอปถอนการติดตั้ง")</f>
        <v>แอปถอนการติดตั้ง</v>
      </c>
      <c r="L204" s="4" t="str">
        <f>IFERROR(__xludf.DUMMYFUNCTION("GOOGLETRANSLATE(B204, ""en"", ""si"")"),"යෙදුම අස්ථාපනය කරන්න")</f>
        <v>යෙදුම අස්ථාපනය කරන්න</v>
      </c>
      <c r="M204" s="4" t="str">
        <f>IFERROR(__xludf.DUMMYFUNCTION("GOOGLETRANSLATE(B204, ""en"", ""vi"")"),"Gỡ cài đặt ứng dụng.")</f>
        <v>Gỡ cài đặt ứng dụng.</v>
      </c>
      <c r="N204" s="4" t="str">
        <f>IFERROR(__xludf.DUMMYFUNCTION("GOOGLETRANSLATE(B204, ""en"", ""ne"")"),"स्थापना रद्द गर्नुहोस्")</f>
        <v>स्थापना रद्द गर्नुहोस्</v>
      </c>
      <c r="O204" s="4" t="str">
        <f>IFERROR(__xludf.DUMMYFUNCTION("GOOGLETRANSLATE(B204, ""en"", ""de"")"),"-App-App.")</f>
        <v>-App-App.</v>
      </c>
      <c r="P204" s="4" t="str">
        <f>IFERROR(__xludf.DUMMYFUNCTION("GOOGLETRANSLATE(B204, ""en"", ""he"")"),"הסר את App.")</f>
        <v>הסר את App.</v>
      </c>
      <c r="Q204" s="4" t="str">
        <f>IFERROR(__xludf.DUMMYFUNCTION("GOOGLETRANSLATE(B204, ""en"", ""cs"")"),"Odinstalovat aplikaci")</f>
        <v>Odinstalovat aplikaci</v>
      </c>
      <c r="R204" s="4" t="str">
        <f>IFERROR(__xludf.DUMMYFUNCTION("GOOGLETRANSLATE(B204, ""en"", ""it"")"),"Disinstalla App.")</f>
        <v>Disinstalla App.</v>
      </c>
      <c r="S204" s="4" t="str">
        <f>IFERROR(__xludf.DUMMYFUNCTION("GOOGLETRANSLATE(B204, ""en"", ""el"")"),"Εγκατάσταση εφαρμογής")</f>
        <v>Εγκατάσταση εφαρμογής</v>
      </c>
    </row>
    <row r="205" ht="15.75" customHeight="1">
      <c r="A205" s="4" t="s">
        <v>422</v>
      </c>
      <c r="B205" s="4" t="s">
        <v>423</v>
      </c>
      <c r="C205" s="4" t="str">
        <f>IFERROR(__xludf.DUMMYFUNCTION("GOOGLETRANSLATE(B205, ""en"", ""es"")"),"Soporte VIP")</f>
        <v>Soporte VIP</v>
      </c>
      <c r="D205" s="4" t="str">
        <f>IFERROR(__xludf.DUMMYFUNCTION("GOOGLETRANSLATE(B205, ""en"", ""pt"")"),"Suporte VIP.")</f>
        <v>Suporte VIP.</v>
      </c>
      <c r="E205" s="4" t="str">
        <f>IFERROR(__xludf.DUMMYFUNCTION("GOOGLETRANSLATE(B205, ""en"", ""ar"")"),"دعم VIP")</f>
        <v>دعم VIP</v>
      </c>
      <c r="F205" s="4" t="str">
        <f>IFERROR(__xludf.DUMMYFUNCTION("GOOGLETRANSLATE(B205, ""en"", ""km"")"),"ការគាំទ្រវីអាយភី")</f>
        <v>ការគាំទ្រវីអាយភី</v>
      </c>
      <c r="G205" s="4" t="str">
        <f>IFERROR(__xludf.DUMMYFUNCTION("GOOGLETRANSLATE(B205, ""en"", ""fr"")"),"Soutien de VIP")</f>
        <v>Soutien de VIP</v>
      </c>
      <c r="H205" s="4" t="str">
        <f>IFERROR(__xludf.DUMMYFUNCTION("GOOGLETRANSLATE(B205, ""en"", ""ro"")"),"VIP Support")</f>
        <v>VIP Support</v>
      </c>
      <c r="I205" s="4" t="str">
        <f>IFERROR(__xludf.DUMMYFUNCTION("GOOGLETRANSLATE(B205, ""en"", ""my"")"),"VIP အထောက်အပံ့")</f>
        <v>VIP အထောက်အပံ့</v>
      </c>
      <c r="J205" s="4" t="str">
        <f>IFERROR(__xludf.DUMMYFUNCTION("GOOGLETRANSLATE(B205, ""en"", ""sw"")"),"Msaada wa VIP.")</f>
        <v>Msaada wa VIP.</v>
      </c>
      <c r="K205" s="4" t="str">
        <f>IFERROR(__xludf.DUMMYFUNCTION("GOOGLETRANSLATE(B205, ""en"", ""th"")"),"การสนับสนุน VIP")</f>
        <v>การสนับสนุน VIP</v>
      </c>
      <c r="L205" s="4" t="str">
        <f>IFERROR(__xludf.DUMMYFUNCTION("GOOGLETRANSLATE(B205, ""en"", ""si"")"),"ප්රභූ සහාය")</f>
        <v>ප්රභූ සහාය</v>
      </c>
      <c r="M205" s="4" t="str">
        <f>IFERROR(__xludf.DUMMYFUNCTION("GOOGLETRANSLATE(B205, ""en"", ""vi"")"),"Hỗ trợ VIP")</f>
        <v>Hỗ trợ VIP</v>
      </c>
      <c r="N205" s="4" t="str">
        <f>IFERROR(__xludf.DUMMYFUNCTION("GOOGLETRANSLATE(B205, ""en"", ""ne"")"),"VIP समर्थन")</f>
        <v>VIP समर्थन</v>
      </c>
      <c r="O205" s="4" t="str">
        <f>IFERROR(__xludf.DUMMYFUNCTION("GOOGLETRANSLATE(B205, ""en"", ""de"")"),"VIP-Unterstützung")</f>
        <v>VIP-Unterstützung</v>
      </c>
      <c r="P205" s="4" t="str">
        <f>IFERROR(__xludf.DUMMYFUNCTION("GOOGLETRANSLATE(B205, ""en"", ""he"")"),"תמיכה VIP.")</f>
        <v>תמיכה VIP.</v>
      </c>
      <c r="Q205" s="4" t="str">
        <f>IFERROR(__xludf.DUMMYFUNCTION("GOOGLETRANSLATE(B205, ""en"", ""cs"")"),"VIP podpora")</f>
        <v>VIP podpora</v>
      </c>
      <c r="R205" s="4" t="str">
        <f>IFERROR(__xludf.DUMMYFUNCTION("GOOGLETRANSLATE(B205, ""en"", ""it"")"),"Supporto VIP.")</f>
        <v>Supporto VIP.</v>
      </c>
      <c r="S205" s="4" t="str">
        <f>IFERROR(__xludf.DUMMYFUNCTION("GOOGLETRANSLATE(B205, ""en"", ""el"")"),"Υποστήριξη VIP")</f>
        <v>Υποστήριξη VIP</v>
      </c>
    </row>
    <row r="206" ht="15.75" customHeight="1">
      <c r="A206" s="4" t="s">
        <v>424</v>
      </c>
      <c r="B206" s="4" t="s">
        <v>425</v>
      </c>
      <c r="C206" s="4" t="str">
        <f>IFERROR(__xludf.DUMMYFUNCTION("GOOGLETRANSLATE(B206, ""en"", ""es"")"),"Comience su versión de prueba gratuita de 7 días y luego $ 9.99 por mes")</f>
        <v>Comience su versión de prueba gratuita de 7 días y luego $ 9.99 por mes</v>
      </c>
      <c r="D206" s="4" t="str">
        <f>IFERROR(__xludf.DUMMYFUNCTION("GOOGLETRANSLATE(B206, ""en"", ""pt"")"),"Comece o seu teste gratuito de 7 dias, em seguida, US $ 9,99 por mês")</f>
        <v>Comece o seu teste gratuito de 7 dias, em seguida, US $ 9,99 por mês</v>
      </c>
      <c r="E206" s="4" t="str">
        <f>IFERROR(__xludf.DUMMYFUNCTION("GOOGLETRANSLATE(B206, ""en"", ""ar"")"),"ابدأ التجربة المجانية لمدة 7 أيام ثم 9.99 دولارا شهريا")</f>
        <v>ابدأ التجربة المجانية لمدة 7 أيام ثم 9.99 دولارا شهريا</v>
      </c>
      <c r="F206" s="4" t="str">
        <f>IFERROR(__xludf.DUMMYFUNCTION("GOOGLETRANSLATE(B206, ""en"", ""km"")"),"ចាប់ផ្តើមការសាកល្បងឥតគិតថ្លៃរយៈពេល 7 ថ្ងៃរបស់អ្នកបន្ទាប់មក 9,99 ដុល្លារក្នុងមួយខែ")</f>
        <v>ចាប់ផ្តើមការសាកល្បងឥតគិតថ្លៃរយៈពេល 7 ថ្ងៃរបស់អ្នកបន្ទាប់មក 9,99 ដុល្លារក្នុងមួយខែ</v>
      </c>
      <c r="G206" s="4" t="str">
        <f>IFERROR(__xludf.DUMMYFUNCTION("GOOGLETRANSLATE(B206, ""en"", ""fr"")"),"Commencez votre essai gratuit de 7 jours puis 9,99 $ par mois")</f>
        <v>Commencez votre essai gratuit de 7 jours puis 9,99 $ par mois</v>
      </c>
      <c r="H206" s="4" t="str">
        <f>IFERROR(__xludf.DUMMYFUNCTION("GOOGLETRANSLATE(B206, ""en"", ""ro"")"),"Începeți procesul gratuit de 7 zile, apoi $ 9.99 pe lună")</f>
        <v>Începeți procesul gratuit de 7 zile, apoi $ 9.99 pe lună</v>
      </c>
      <c r="I206" s="4" t="str">
        <f>IFERROR(__xludf.DUMMYFUNCTION("GOOGLETRANSLATE(B206, ""en"", ""my"")"),"သင်၏ 7 ရက်အခမဲ့ရုံးတင်စစ်ဆေးခြင်းကိုတစ်လလျှင်ဒေါ်လာ 9.99 ဖြင့်စတင်ပါ")</f>
        <v>သင်၏ 7 ရက်အခမဲ့ရုံးတင်စစ်ဆေးခြင်းကိုတစ်လလျှင်ဒေါ်လာ 9.99 ဖြင့်စတင်ပါ</v>
      </c>
      <c r="J206" s="4" t="str">
        <f>IFERROR(__xludf.DUMMYFUNCTION("GOOGLETRANSLATE(B206, ""en"", ""sw"")"),"Anza jaribio lako la bure la siku 7 basi $ 9.99 kwa mwezi")</f>
        <v>Anza jaribio lako la bure la siku 7 basi $ 9.99 kwa mwezi</v>
      </c>
      <c r="K206" s="4" t="str">
        <f>IFERROR(__xludf.DUMMYFUNCTION("GOOGLETRANSLATE(B206, ""en"", ""th"")"),"เริ่มทดลองใช้งานฟรี 7 วันของคุณ $ 9.99 ต่อเดือน")</f>
        <v>เริ่มทดลองใช้งานฟรี 7 วันของคุณ $ 9.99 ต่อเดือน</v>
      </c>
      <c r="L206" s="4" t="str">
        <f>IFERROR(__xludf.DUMMYFUNCTION("GOOGLETRANSLATE(B206, ""en"", ""si"")"),"ඔබගේ දින 7 නොමිලේ අත්හදා බැලීම ආරම්භ කරන්න එවිට මසකට ඩොලර් 9.99 කි")</f>
        <v>ඔබගේ දින 7 නොමිලේ අත්හදා බැලීම ආරම්භ කරන්න එවිට මසකට ඩොලර් 9.99 කි</v>
      </c>
      <c r="M206" s="4" t="str">
        <f>IFERROR(__xludf.DUMMYFUNCTION("GOOGLETRANSLATE(B206, ""en"", ""vi"")"),"Bắt đầu dùng thử miễn phí 7 ngày của bạn sau đó 9,99 đô la mỗi tháng")</f>
        <v>Bắt đầu dùng thử miễn phí 7 ngày của bạn sau đó 9,99 đô la mỗi tháng</v>
      </c>
      <c r="N206" s="4" t="str">
        <f>IFERROR(__xludf.DUMMYFUNCTION("GOOGLETRANSLATE(B206, ""en"", ""ne"")"),"तपाईंको day दिने नि: शुल्क परीक्षण सुरु गर्नुहोस् त्यसपछि $ 9.99 प्रति महिना")</f>
        <v>तपाईंको day दिने नि: शुल्क परीक्षण सुरु गर्नुहोस् त्यसपछि $ 9.99 प्रति महिना</v>
      </c>
      <c r="O206" s="4" t="str">
        <f>IFERROR(__xludf.DUMMYFUNCTION("GOOGLETRANSLATE(B206, ""en"", ""de"")"),"Beginnen Sie Ihre 7-tägige kostenlose Testversion, dann $ 9.99 pro Monat")</f>
        <v>Beginnen Sie Ihre 7-tägige kostenlose Testversion, dann $ 9.99 pro Monat</v>
      </c>
      <c r="P206" s="4" t="str">
        <f>IFERROR(__xludf.DUMMYFUNCTION("GOOGLETRANSLATE(B206, ""en"", ""he"")"),"התחל את 7 יום שלך ניסיון חינם אז $ 9.99 לחודש")</f>
        <v>התחל את 7 יום שלך ניסיון חינם אז $ 9.99 לחודש</v>
      </c>
      <c r="Q206" s="4" t="str">
        <f>IFERROR(__xludf.DUMMYFUNCTION("GOOGLETRANSLATE(B206, ""en"", ""cs"")"),"Začněte svůj 7 dní bezplatný proces pak $ 9,99 za měsíc")</f>
        <v>Začněte svůj 7 dní bezplatný proces pak $ 9,99 za měsíc</v>
      </c>
      <c r="R206" s="4" t="str">
        <f>IFERROR(__xludf.DUMMYFUNCTION("GOOGLETRANSLATE(B206, ""en"", ""it"")"),"Inizia la tua prova gratuita di 7 giorni, quindi $ 9,99 al mese")</f>
        <v>Inizia la tua prova gratuita di 7 giorni, quindi $ 9,99 al mese</v>
      </c>
      <c r="S206" s="4" t="str">
        <f>IFERROR(__xludf.DUMMYFUNCTION("GOOGLETRANSLATE(B206, ""en"", ""el"")"),"Ξεκινήστε την δωρεάν δοκιμή σας 7 ημερών τότε 9,99 δολάρια το μήνα")</f>
        <v>Ξεκινήστε την δωρεάν δοκιμή σας 7 ημερών τότε 9,99 δολάρια το μήνα</v>
      </c>
    </row>
    <row r="207" ht="15.75" customHeight="1">
      <c r="A207" s="4" t="s">
        <v>426</v>
      </c>
      <c r="B207" s="4" t="s">
        <v>427</v>
      </c>
      <c r="C207" s="4" t="str">
        <f>IFERROR(__xludf.DUMMYFUNCTION("GOOGLETRANSLATE(B207, ""en"", ""es"")"),"Buscar aplicaciones")</f>
        <v>Buscar aplicaciones</v>
      </c>
      <c r="D207" s="4" t="str">
        <f>IFERROR(__xludf.DUMMYFUNCTION("GOOGLETRANSLATE(B207, ""en"", ""pt"")"),"Apps de pesquisa")</f>
        <v>Apps de pesquisa</v>
      </c>
      <c r="E207" s="4" t="str">
        <f>IFERROR(__xludf.DUMMYFUNCTION("GOOGLETRANSLATE(B207, ""en"", ""ar"")"),"بحث التطبيقات")</f>
        <v>بحث التطبيقات</v>
      </c>
      <c r="F207" s="4" t="str">
        <f>IFERROR(__xludf.DUMMYFUNCTION("GOOGLETRANSLATE(B207, ""en"", ""km"")"),"ស្វែងរកកម្មវិធី")</f>
        <v>ស្វែងរកកម្មវិធី</v>
      </c>
      <c r="G207" s="4" t="str">
        <f>IFERROR(__xludf.DUMMYFUNCTION("GOOGLETRANSLATE(B207, ""en"", ""fr"")"),"Rechercher des applications")</f>
        <v>Rechercher des applications</v>
      </c>
      <c r="H207" s="4" t="str">
        <f>IFERROR(__xludf.DUMMYFUNCTION("GOOGLETRANSLATE(B207, ""en"", ""ro"")"),"Căutați aplicații")</f>
        <v>Căutați aplicații</v>
      </c>
      <c r="I207" s="4" t="str">
        <f>IFERROR(__xludf.DUMMYFUNCTION("GOOGLETRANSLATE(B207, ""en"", ""my"")"),"Apps ကိုရှာဖွေပါ")</f>
        <v>Apps ကိုရှာဖွေပါ</v>
      </c>
      <c r="J207" s="4" t="str">
        <f>IFERROR(__xludf.DUMMYFUNCTION("GOOGLETRANSLATE(B207, ""en"", ""sw"")"),"Tafuta programu.")</f>
        <v>Tafuta programu.</v>
      </c>
      <c r="K207" s="4" t="str">
        <f>IFERROR(__xludf.DUMMYFUNCTION("GOOGLETRANSLATE(B207, ""en"", ""th"")"),"ค้นหาแอป")</f>
        <v>ค้นหาแอป</v>
      </c>
      <c r="L207" s="4" t="str">
        <f>IFERROR(__xludf.DUMMYFUNCTION("GOOGLETRANSLATE(B207, ""en"", ""si"")"),"යෙදුම් සොයන්න")</f>
        <v>යෙදුම් සොයන්න</v>
      </c>
      <c r="M207" s="4" t="str">
        <f>IFERROR(__xludf.DUMMYFUNCTION("GOOGLETRANSLATE(B207, ""en"", ""vi"")"),"Tìm kiếm ứng dụng")</f>
        <v>Tìm kiếm ứng dụng</v>
      </c>
      <c r="N207" s="4" t="str">
        <f>IFERROR(__xludf.DUMMYFUNCTION("GOOGLETRANSLATE(B207, ""en"", ""ne"")"),"खोजी अनुप्रयोगहरू")</f>
        <v>खोजी अनुप्रयोगहरू</v>
      </c>
      <c r="O207" s="4" t="str">
        <f>IFERROR(__xludf.DUMMYFUNCTION("GOOGLETRANSLATE(B207, ""en"", ""de"")"),"Apps suchen")</f>
        <v>Apps suchen</v>
      </c>
      <c r="P207" s="4" t="str">
        <f>IFERROR(__xludf.DUMMYFUNCTION("GOOGLETRANSLATE(B207, ""en"", ""he"")"),"חיפוש Apps.")</f>
        <v>חיפוש Apps.</v>
      </c>
      <c r="Q207" s="4" t="str">
        <f>IFERROR(__xludf.DUMMYFUNCTION("GOOGLETRANSLATE(B207, ""en"", ""cs"")"),"Vyhledávání aplikací")</f>
        <v>Vyhledávání aplikací</v>
      </c>
      <c r="R207" s="4" t="str">
        <f>IFERROR(__xludf.DUMMYFUNCTION("GOOGLETRANSLATE(B207, ""en"", ""it"")"),"Cerca apps.")</f>
        <v>Cerca apps.</v>
      </c>
      <c r="S207" s="4" t="str">
        <f>IFERROR(__xludf.DUMMYFUNCTION("GOOGLETRANSLATE(B207, ""en"", ""el"")"),"Αναζήτηση εφαρμογών")</f>
        <v>Αναζήτηση εφαρμογών</v>
      </c>
    </row>
    <row r="208" ht="15.75" customHeight="1">
      <c r="A208" s="4" t="s">
        <v>428</v>
      </c>
      <c r="B208" s="4" t="s">
        <v>429</v>
      </c>
      <c r="C208" s="4" t="str">
        <f>IFERROR(__xludf.DUMMYFUNCTION("GOOGLETRANSLATE(B208, ""en"", ""es"")"),"Calculador....")</f>
        <v>Calculador....</v>
      </c>
      <c r="D208" s="4" t="str">
        <f>IFERROR(__xludf.DUMMYFUNCTION("GOOGLETRANSLATE(B208, ""en"", ""pt"")"),"Calculando ....")</f>
        <v>Calculando ....</v>
      </c>
      <c r="E208" s="4" t="str">
        <f>IFERROR(__xludf.DUMMYFUNCTION("GOOGLETRANSLATE(B208, ""en"", ""ar"")"),"حساب ....")</f>
        <v>حساب ....</v>
      </c>
      <c r="F208" s="4" t="str">
        <f>IFERROR(__xludf.DUMMYFUNCTION("GOOGLETRANSLATE(B208, ""en"", ""km"")"),"ការគណនា ....")</f>
        <v>ការគណនា ....</v>
      </c>
      <c r="G208" s="4" t="str">
        <f>IFERROR(__xludf.DUMMYFUNCTION("GOOGLETRANSLATE(B208, ""en"", ""fr"")"),"Calculateur....")</f>
        <v>Calculateur....</v>
      </c>
      <c r="H208" s="4" t="str">
        <f>IFERROR(__xludf.DUMMYFUNCTION("GOOGLETRANSLATE(B208, ""en"", ""ro"")"),"De calculat....")</f>
        <v>De calculat....</v>
      </c>
      <c r="I208" s="4" t="str">
        <f>IFERROR(__xludf.DUMMYFUNCTION("GOOGLETRANSLATE(B208, ""en"", ""my"")"),"တွက်ချက် ....")</f>
        <v>တွက်ချက် ....</v>
      </c>
      <c r="J208" s="4" t="str">
        <f>IFERROR(__xludf.DUMMYFUNCTION("GOOGLETRANSLATE(B208, ""en"", ""sw"")"),"Kuhesabu ....")</f>
        <v>Kuhesabu ....</v>
      </c>
      <c r="K208" s="4" t="str">
        <f>IFERROR(__xludf.DUMMYFUNCTION("GOOGLETRANSLATE(B208, ""en"", ""th"")"),"การคำนวณ ....")</f>
        <v>การคำนวณ ....</v>
      </c>
      <c r="L208" s="4" t="str">
        <f>IFERROR(__xludf.DUMMYFUNCTION("GOOGLETRANSLATE(B208, ""en"", ""si"")"),"ගණනය කිරීම ....")</f>
        <v>ගණනය කිරීම ....</v>
      </c>
      <c r="M208" s="4" t="str">
        <f>IFERROR(__xludf.DUMMYFUNCTION("GOOGLETRANSLATE(B208, ""en"", ""vi"")"),"Tính toán ....")</f>
        <v>Tính toán ....</v>
      </c>
      <c r="N208" s="4" t="str">
        <f>IFERROR(__xludf.DUMMYFUNCTION("GOOGLETRANSLATE(B208, ""en"", ""ne"")"),"गणना गर्दै ....")</f>
        <v>गणना गर्दै ....</v>
      </c>
      <c r="O208" s="4" t="str">
        <f>IFERROR(__xludf.DUMMYFUNCTION("GOOGLETRANSLATE(B208, ""en"", ""de"")"),"Berechnung ....")</f>
        <v>Berechnung ....</v>
      </c>
      <c r="P208" s="4" t="str">
        <f>IFERROR(__xludf.DUMMYFUNCTION("GOOGLETRANSLATE(B208, ""en"", ""he"")"),"חישוב ....")</f>
        <v>חישוב ....</v>
      </c>
      <c r="Q208" s="4" t="str">
        <f>IFERROR(__xludf.DUMMYFUNCTION("GOOGLETRANSLATE(B208, ""en"", ""cs"")"),"Výpočet ....")</f>
        <v>Výpočet ....</v>
      </c>
      <c r="R208" s="4" t="str">
        <f>IFERROR(__xludf.DUMMYFUNCTION("GOOGLETRANSLATE(B208, ""en"", ""it"")"),"Calcolo ....")</f>
        <v>Calcolo ....</v>
      </c>
      <c r="S208" s="4" t="str">
        <f>IFERROR(__xludf.DUMMYFUNCTION("GOOGLETRANSLATE(B208, ""en"", ""el"")"),"Υπολογιστικός....")</f>
        <v>Υπολογιστικός....</v>
      </c>
    </row>
    <row r="209" ht="15.75" customHeight="1">
      <c r="A209" s="4" t="s">
        <v>430</v>
      </c>
      <c r="B209" s="4" t="s">
        <v>431</v>
      </c>
      <c r="C209" s="4" t="str">
        <f>IFERROR(__xludf.DUMMYFUNCTION("GOOGLETRANSLATE(B209, ""en"", ""es"")"),"Empieza a usar")</f>
        <v>Empieza a usar</v>
      </c>
      <c r="D209" s="4" t="str">
        <f>IFERROR(__xludf.DUMMYFUNCTION("GOOGLETRANSLATE(B209, ""en"", ""pt"")"),"Comece a usar")</f>
        <v>Comece a usar</v>
      </c>
      <c r="E209" s="4" t="str">
        <f>IFERROR(__xludf.DUMMYFUNCTION("GOOGLETRANSLATE(B209, ""en"", ""ar"")"),"البدء في استخدام")</f>
        <v>البدء في استخدام</v>
      </c>
      <c r="F209" s="4" t="str">
        <f>IFERROR(__xludf.DUMMYFUNCTION("GOOGLETRANSLATE(B209, ""en"", ""km"")"),"ចាប់ផ្តើមប្រើ")</f>
        <v>ចាប់ផ្តើមប្រើ</v>
      </c>
      <c r="G209" s="4" t="str">
        <f>IFERROR(__xludf.DUMMYFUNCTION("GOOGLETRANSLATE(B209, ""en"", ""fr"")"),"Commencer à utiliser")</f>
        <v>Commencer à utiliser</v>
      </c>
      <c r="H209" s="4" t="str">
        <f>IFERROR(__xludf.DUMMYFUNCTION("GOOGLETRANSLATE(B209, ""en"", ""ro"")"),"Începeți să utilizați")</f>
        <v>Începeți să utilizați</v>
      </c>
      <c r="I209" s="4" t="str">
        <f>IFERROR(__xludf.DUMMYFUNCTION("GOOGLETRANSLATE(B209, ""en"", ""my"")"),"စတင်အသုံးပြုပါ")</f>
        <v>စတင်အသုံးပြုပါ</v>
      </c>
      <c r="J209" s="4" t="str">
        <f>IFERROR(__xludf.DUMMYFUNCTION("GOOGLETRANSLATE(B209, ""en"", ""sw"")"),"Anza kutumia")</f>
        <v>Anza kutumia</v>
      </c>
      <c r="K209" s="4" t="str">
        <f>IFERROR(__xludf.DUMMYFUNCTION("GOOGLETRANSLATE(B209, ""en"", ""th"")"),"เริ่มใช้")</f>
        <v>เริ่มใช้</v>
      </c>
      <c r="L209" s="4" t="str">
        <f>IFERROR(__xludf.DUMMYFUNCTION("GOOGLETRANSLATE(B209, ""en"", ""si"")"),"භාවිතා කිරීම ආරම්භ කරන්න")</f>
        <v>භාවිතා කිරීම ආරම්භ කරන්න</v>
      </c>
      <c r="M209" s="4" t="str">
        <f>IFERROR(__xludf.DUMMYFUNCTION("GOOGLETRANSLATE(B209, ""en"", ""vi"")"),"Bắt đầu sử dụng")</f>
        <v>Bắt đầu sử dụng</v>
      </c>
      <c r="N209" s="4" t="str">
        <f>IFERROR(__xludf.DUMMYFUNCTION("GOOGLETRANSLATE(B209, ""en"", ""ne"")"),"प्रयोग गरेर सुरू गर्नुहोस्")</f>
        <v>प्रयोग गरेर सुरू गर्नुहोस्</v>
      </c>
      <c r="O209" s="4" t="str">
        <f>IFERROR(__xludf.DUMMYFUNCTION("GOOGLETRANSLATE(B209, ""en"", ""de"")"),"Beginnen Sie mit.")</f>
        <v>Beginnen Sie mit.</v>
      </c>
      <c r="P209" s="4" t="str">
        <f>IFERROR(__xludf.DUMMYFUNCTION("GOOGLETRANSLATE(B209, ""en"", ""he"")"),"להתחיל להשתמש")</f>
        <v>להתחיל להשתמש</v>
      </c>
      <c r="Q209" s="4" t="str">
        <f>IFERROR(__xludf.DUMMYFUNCTION("GOOGLETRANSLATE(B209, ""en"", ""cs"")"),"Začněte používat")</f>
        <v>Začněte používat</v>
      </c>
      <c r="R209" s="4" t="str">
        <f>IFERROR(__xludf.DUMMYFUNCTION("GOOGLETRANSLATE(B209, ""en"", ""it"")"),"Inizia usando")</f>
        <v>Inizia usando</v>
      </c>
      <c r="S209" s="4" t="str">
        <f>IFERROR(__xludf.DUMMYFUNCTION("GOOGLETRANSLATE(B209, ""en"", ""el"")"),"Αρχίστε να χρησιμοποιείτε")</f>
        <v>Αρχίστε να χρησιμοποιείτε</v>
      </c>
    </row>
    <row r="210" ht="15.75" customHeight="1">
      <c r="A210" s="4" t="s">
        <v>432</v>
      </c>
      <c r="B210" s="4" t="s">
        <v>433</v>
      </c>
      <c r="C210" s="4" t="str">
        <f>IFERROR(__xludf.DUMMYFUNCTION("GOOGLETRANSLATE(B210, ""en"", ""es"")"),"Cambiar el patrón")</f>
        <v>Cambiar el patrón</v>
      </c>
      <c r="D210" s="4" t="str">
        <f>IFERROR(__xludf.DUMMYFUNCTION("GOOGLETRANSLATE(B210, ""en"", ""pt"")"),"Mudar o padrão")</f>
        <v>Mudar o padrão</v>
      </c>
      <c r="E210" s="4" t="str">
        <f>IFERROR(__xludf.DUMMYFUNCTION("GOOGLETRANSLATE(B210, ""en"", ""ar"")"),"تغيير النمط")</f>
        <v>تغيير النمط</v>
      </c>
      <c r="F210" s="4" t="str">
        <f>IFERROR(__xludf.DUMMYFUNCTION("GOOGLETRANSLATE(B210, ""en"", ""km"")"),"ផ្លាស់ប្តូរលំនាំ")</f>
        <v>ផ្លាស់ប្តូរលំនាំ</v>
      </c>
      <c r="G210" s="4" t="str">
        <f>IFERROR(__xludf.DUMMYFUNCTION("GOOGLETRANSLATE(B210, ""en"", ""fr"")"),"Changer le motif")</f>
        <v>Changer le motif</v>
      </c>
      <c r="H210" s="4" t="str">
        <f>IFERROR(__xludf.DUMMYFUNCTION("GOOGLETRANSLATE(B210, ""en"", ""ro"")"),"Schimbați modelul")</f>
        <v>Schimbați modelul</v>
      </c>
      <c r="I210" s="4" t="str">
        <f>IFERROR(__xludf.DUMMYFUNCTION("GOOGLETRANSLATE(B210, ""en"", ""my"")"),"ပုံစံကိုပြောင်းလဲပါ")</f>
        <v>ပုံစံကိုပြောင်းလဲပါ</v>
      </c>
      <c r="J210" s="4" t="str">
        <f>IFERROR(__xludf.DUMMYFUNCTION("GOOGLETRANSLATE(B210, ""en"", ""sw"")"),"Badilisha muundo")</f>
        <v>Badilisha muundo</v>
      </c>
      <c r="K210" s="4" t="str">
        <f>IFERROR(__xludf.DUMMYFUNCTION("GOOGLETRANSLATE(B210, ""en"", ""th"")"),"เปลี่ยนรูปแบบ")</f>
        <v>เปลี่ยนรูปแบบ</v>
      </c>
      <c r="L210" s="4" t="str">
        <f>IFERROR(__xludf.DUMMYFUNCTION("GOOGLETRANSLATE(B210, ""en"", ""si"")"),"රටාව වෙනස් කරන්න")</f>
        <v>රටාව වෙනස් කරන්න</v>
      </c>
      <c r="M210" s="4" t="str">
        <f>IFERROR(__xludf.DUMMYFUNCTION("GOOGLETRANSLATE(B210, ""en"", ""vi"")"),"Thay đổi mẫu")</f>
        <v>Thay đổi mẫu</v>
      </c>
      <c r="N210" s="4" t="str">
        <f>IFERROR(__xludf.DUMMYFUNCTION("GOOGLETRANSLATE(B210, ""en"", ""ne"")"),"ढाँचा परिवर्तन गर्नुहोस्")</f>
        <v>ढाँचा परिवर्तन गर्नुहोस्</v>
      </c>
      <c r="O210" s="4" t="str">
        <f>IFERROR(__xludf.DUMMYFUNCTION("GOOGLETRANSLATE(B210, ""en"", ""de"")"),"Das Muster ändern")</f>
        <v>Das Muster ändern</v>
      </c>
      <c r="P210" s="4" t="str">
        <f>IFERROR(__xludf.DUMMYFUNCTION("GOOGLETRANSLATE(B210, ""en"", ""he"")"),"שנה את הדפוס")</f>
        <v>שנה את הדפוס</v>
      </c>
      <c r="Q210" s="4" t="str">
        <f>IFERROR(__xludf.DUMMYFUNCTION("GOOGLETRANSLATE(B210, ""en"", ""cs"")"),"Změnit vzor")</f>
        <v>Změnit vzor</v>
      </c>
      <c r="R210" s="4" t="str">
        <f>IFERROR(__xludf.DUMMYFUNCTION("GOOGLETRANSLATE(B210, ""en"", ""it"")"),"Cambia il modello.")</f>
        <v>Cambia il modello.</v>
      </c>
      <c r="S210" s="4" t="str">
        <f>IFERROR(__xludf.DUMMYFUNCTION("GOOGLETRANSLATE(B210, ""en"", ""el"")"),"Αλλάξτε το μοτίβο")</f>
        <v>Αλλάξτε το μοτίβο</v>
      </c>
    </row>
    <row r="211" ht="15.75" customHeight="1">
      <c r="A211" s="4" t="s">
        <v>434</v>
      </c>
      <c r="B211" s="4" t="s">
        <v>435</v>
      </c>
      <c r="C211" s="4" t="str">
        <f>IFERROR(__xludf.DUMMYFUNCTION("GOOGLETRANSLATE(B211, ""en"", ""es"")"),"Limpieza profunda")</f>
        <v>Limpieza profunda</v>
      </c>
      <c r="D211" s="4" t="str">
        <f>IFERROR(__xludf.DUMMYFUNCTION("GOOGLETRANSLATE(B211, ""en"", ""pt"")"),"Limpeza profunda")</f>
        <v>Limpeza profunda</v>
      </c>
      <c r="E211" s="4" t="str">
        <f>IFERROR(__xludf.DUMMYFUNCTION("GOOGLETRANSLATE(B211, ""en"", ""ar"")"),"نظيفة عميق")</f>
        <v>نظيفة عميق</v>
      </c>
      <c r="F211" s="4" t="str">
        <f>IFERROR(__xludf.DUMMYFUNCTION("GOOGLETRANSLATE(B211, ""en"", ""km"")"),"ស្អាតស្អំជ្រៅ")</f>
        <v>ស្អាតស្អំជ្រៅ</v>
      </c>
      <c r="G211" s="4" t="str">
        <f>IFERROR(__xludf.DUMMYFUNCTION("GOOGLETRANSLATE(B211, ""en"", ""fr"")"),"Nettoyage en profondeur")</f>
        <v>Nettoyage en profondeur</v>
      </c>
      <c r="H211" s="4" t="str">
        <f>IFERROR(__xludf.DUMMYFUNCTION("GOOGLETRANSLATE(B211, ""en"", ""ro"")"),"Curațare in profunzime")</f>
        <v>Curațare in profunzime</v>
      </c>
      <c r="I211" s="4" t="str">
        <f>IFERROR(__xludf.DUMMYFUNCTION("GOOGLETRANSLATE(B211, ""en"", ""my"")"),"နက်ရှိုင်းသောသန့်ရှင်းရေး")</f>
        <v>နက်ရှိုင်းသောသန့်ရှင်းရေး</v>
      </c>
      <c r="J211" s="4" t="str">
        <f>IFERROR(__xludf.DUMMYFUNCTION("GOOGLETRANSLATE(B211, ""en"", ""sw"")"),"Safi safi.")</f>
        <v>Safi safi.</v>
      </c>
      <c r="K211" s="4" t="str">
        <f>IFERROR(__xludf.DUMMYFUNCTION("GOOGLETRANSLATE(B211, ""en"", ""th"")"),"ทำความสะอาดล้ำลึก")</f>
        <v>ทำความสะอาดล้ำลึก</v>
      </c>
      <c r="L211" s="4" t="str">
        <f>IFERROR(__xludf.DUMMYFUNCTION("GOOGLETRANSLATE(B211, ""en"", ""si"")"),"ගැඹුරු පිරිසිදු")</f>
        <v>ගැඹුරු පිරිසිදු</v>
      </c>
      <c r="M211" s="4" t="str">
        <f>IFERROR(__xludf.DUMMYFUNCTION("GOOGLETRANSLATE(B211, ""en"", ""vi"")"),"Sạch sâu")</f>
        <v>Sạch sâu</v>
      </c>
      <c r="N211" s="4" t="str">
        <f>IFERROR(__xludf.DUMMYFUNCTION("GOOGLETRANSLATE(B211, ""en"", ""ne"")"),"गहिरो सफा")</f>
        <v>गहिरो सफा</v>
      </c>
      <c r="O211" s="4" t="str">
        <f>IFERROR(__xludf.DUMMYFUNCTION("GOOGLETRANSLATE(B211, ""en"", ""de"")"),"Tiefenreinigung")</f>
        <v>Tiefenreinigung</v>
      </c>
      <c r="P211" s="4" t="str">
        <f>IFERROR(__xludf.DUMMYFUNCTION("GOOGLETRANSLATE(B211, ""en"", ""he"")"),"ניקוי עמוק")</f>
        <v>ניקוי עמוק</v>
      </c>
      <c r="Q211" s="4" t="str">
        <f>IFERROR(__xludf.DUMMYFUNCTION("GOOGLETRANSLATE(B211, ""en"", ""cs"")"),"Hluboký čistý")</f>
        <v>Hluboký čistý</v>
      </c>
      <c r="R211" s="4" t="str">
        <f>IFERROR(__xludf.DUMMYFUNCTION("GOOGLETRANSLATE(B211, ""en"", ""it"")"),"Pulizia a fondo")</f>
        <v>Pulizia a fondo</v>
      </c>
      <c r="S211" s="4" t="str">
        <f>IFERROR(__xludf.DUMMYFUNCTION("GOOGLETRANSLATE(B211, ""en"", ""el"")"),"Βαθιά καθαρό")</f>
        <v>Βαθιά καθαρό</v>
      </c>
    </row>
    <row r="212" ht="15.75" customHeight="1">
      <c r="A212" s="4" t="s">
        <v>436</v>
      </c>
      <c r="B212" s="4" t="s">
        <v>437</v>
      </c>
      <c r="C212" s="4" t="str">
        <f>IFERROR(__xludf.DUMMYFUNCTION("GOOGLETRANSLATE(B212, ""en"", ""es"")"),"Patrón confirmado")</f>
        <v>Patrón confirmado</v>
      </c>
      <c r="D212" s="4" t="str">
        <f>IFERROR(__xludf.DUMMYFUNCTION("GOOGLETRANSLATE(B212, ""en"", ""pt"")"),"Padrão confirmado")</f>
        <v>Padrão confirmado</v>
      </c>
      <c r="E212" s="4" t="str">
        <f>IFERROR(__xludf.DUMMYFUNCTION("GOOGLETRANSLATE(B212, ""en"", ""ar"")"),"نمط مؤكد")</f>
        <v>نمط مؤكد</v>
      </c>
      <c r="F212" s="4" t="str">
        <f>IFERROR(__xludf.DUMMYFUNCTION("GOOGLETRANSLATE(B212, ""en"", ""km"")"),"លំនាំដែលបានបញ្ជាក់")</f>
        <v>លំនាំដែលបានបញ្ជាក់</v>
      </c>
      <c r="G212" s="4" t="str">
        <f>IFERROR(__xludf.DUMMYFUNCTION("GOOGLETRANSLATE(B212, ""en"", ""fr"")"),"Modèle confirmé")</f>
        <v>Modèle confirmé</v>
      </c>
      <c r="H212" s="4" t="str">
        <f>IFERROR(__xludf.DUMMYFUNCTION("GOOGLETRANSLATE(B212, ""en"", ""ro"")"),"Modelul confirmat")</f>
        <v>Modelul confirmat</v>
      </c>
      <c r="I212" s="4" t="str">
        <f>IFERROR(__xludf.DUMMYFUNCTION("GOOGLETRANSLATE(B212, ""en"", ""my"")"),"အတည်ပြုပုံစံ")</f>
        <v>အတည်ပြုပုံစံ</v>
      </c>
      <c r="J212" s="4" t="str">
        <f>IFERROR(__xludf.DUMMYFUNCTION("GOOGLETRANSLATE(B212, ""en"", ""sw"")"),"Mfano uliothibitishwa")</f>
        <v>Mfano uliothibitishwa</v>
      </c>
      <c r="K212" s="4" t="str">
        <f>IFERROR(__xludf.DUMMYFUNCTION("GOOGLETRANSLATE(B212, ""en"", ""th"")"),"รูปแบบที่ได้รับการยืนยัน")</f>
        <v>รูปแบบที่ได้รับการยืนยัน</v>
      </c>
      <c r="L212" s="4" t="str">
        <f>IFERROR(__xludf.DUMMYFUNCTION("GOOGLETRANSLATE(B212, ""en"", ""si"")"),"තහවුරු කරන ලද රටාව")</f>
        <v>තහවුරු කරන ලද රටාව</v>
      </c>
      <c r="M212" s="4" t="str">
        <f>IFERROR(__xludf.DUMMYFUNCTION("GOOGLETRANSLATE(B212, ""en"", ""vi"")"),"Mẫu xác nhận")</f>
        <v>Mẫu xác nhận</v>
      </c>
      <c r="N212" s="4" t="str">
        <f>IFERROR(__xludf.DUMMYFUNCTION("GOOGLETRANSLATE(B212, ""en"", ""ne"")"),"पुष्टि गरिएको ढाँचा")</f>
        <v>पुष्टि गरिएको ढाँचा</v>
      </c>
      <c r="O212" s="4" t="str">
        <f>IFERROR(__xludf.DUMMYFUNCTION("GOOGLETRANSLATE(B212, ""en"", ""de"")"),"Bestätigtes Muster")</f>
        <v>Bestätigtes Muster</v>
      </c>
      <c r="P212" s="4" t="str">
        <f>IFERROR(__xludf.DUMMYFUNCTION("GOOGLETRANSLATE(B212, ""en"", ""he"")"),"דפוס אישר")</f>
        <v>דפוס אישר</v>
      </c>
      <c r="Q212" s="4" t="str">
        <f>IFERROR(__xludf.DUMMYFUNCTION("GOOGLETRANSLATE(B212, ""en"", ""cs"")"),"Potvrzený vzor")</f>
        <v>Potvrzený vzor</v>
      </c>
      <c r="R212" s="4" t="str">
        <f>IFERROR(__xludf.DUMMYFUNCTION("GOOGLETRANSLATE(B212, ""en"", ""it"")"),"Modello confermato")</f>
        <v>Modello confermato</v>
      </c>
      <c r="S212" s="4" t="str">
        <f>IFERROR(__xludf.DUMMYFUNCTION("GOOGLETRANSLATE(B212, ""en"", ""el"")"),"Επιβεβαιωμένο μοτίβο")</f>
        <v>Επιβεβαιωμένο μοτίβο</v>
      </c>
    </row>
    <row r="213" ht="15.75" customHeight="1">
      <c r="A213" s="4" t="s">
        <v>438</v>
      </c>
      <c r="B213" s="4" t="s">
        <v>439</v>
      </c>
      <c r="C213" s="4" t="str">
        <f>IFERROR(__xludf.DUMMYFUNCTION("GOOGLETRANSLATE(B213, ""en"", ""es"")"),"Puede acceder a la cámara")</f>
        <v>Puede acceder a la cámara</v>
      </c>
      <c r="D213" s="4" t="str">
        <f>IFERROR(__xludf.DUMMYFUNCTION("GOOGLETRANSLATE(B213, ""en"", ""pt"")"),"Pode acessar a câmera")</f>
        <v>Pode acessar a câmera</v>
      </c>
      <c r="E213" s="4" t="str">
        <f>IFERROR(__xludf.DUMMYFUNCTION("GOOGLETRANSLATE(B213, ""en"", ""ar"")"),"يمكن الوصول إلى الكاميرا")</f>
        <v>يمكن الوصول إلى الكاميرا</v>
      </c>
      <c r="F213" s="4" t="str">
        <f>IFERROR(__xludf.DUMMYFUNCTION("GOOGLETRANSLATE(B213, ""en"", ""km"")"),"អាចចូលប្រើកាមេរ៉ា")</f>
        <v>អាចចូលប្រើកាមេរ៉ា</v>
      </c>
      <c r="G213" s="4" t="str">
        <f>IFERROR(__xludf.DUMMYFUNCTION("GOOGLETRANSLATE(B213, ""en"", ""fr"")"),"Peut accéder à la caméra")</f>
        <v>Peut accéder à la caméra</v>
      </c>
      <c r="H213" s="4" t="str">
        <f>IFERROR(__xludf.DUMMYFUNCTION("GOOGLETRANSLATE(B213, ""en"", ""ro"")"),"Poate accesa camera foto")</f>
        <v>Poate accesa camera foto</v>
      </c>
      <c r="I213" s="4" t="str">
        <f>IFERROR(__xludf.DUMMYFUNCTION("GOOGLETRANSLATE(B213, ""en"", ""my"")"),"ကင်မရာကိုသုံးနိုင်သည်")</f>
        <v>ကင်မရာကိုသုံးနိုင်သည်</v>
      </c>
      <c r="J213" s="4" t="str">
        <f>IFERROR(__xludf.DUMMYFUNCTION("GOOGLETRANSLATE(B213, ""en"", ""sw"")"),"Inaweza kufikia kamera")</f>
        <v>Inaweza kufikia kamera</v>
      </c>
      <c r="K213" s="4" t="str">
        <f>IFERROR(__xludf.DUMMYFUNCTION("GOOGLETRANSLATE(B213, ""en"", ""th"")"),"สามารถเข้าถึงกล้อง")</f>
        <v>สามารถเข้าถึงกล้อง</v>
      </c>
      <c r="L213" s="4" t="str">
        <f>IFERROR(__xludf.DUMMYFUNCTION("GOOGLETRANSLATE(B213, ""en"", ""si"")"),"කැමරාවට ප්රවේශ විය හැකිය")</f>
        <v>කැමරාවට ප්රවේශ විය හැකිය</v>
      </c>
      <c r="M213" s="4" t="str">
        <f>IFERROR(__xludf.DUMMYFUNCTION("GOOGLETRANSLATE(B213, ""en"", ""vi"")"),"Có thể truy cập camera")</f>
        <v>Có thể truy cập camera</v>
      </c>
      <c r="N213" s="4" t="str">
        <f>IFERROR(__xludf.DUMMYFUNCTION("GOOGLETRANSLATE(B213, ""en"", ""ne"")"),"क्यामेरा पहुँच गर्न सक्नुहुन्छ")</f>
        <v>क्यामेरा पहुँच गर्न सक्नुहुन्छ</v>
      </c>
      <c r="O213" s="4" t="str">
        <f>IFERROR(__xludf.DUMMYFUNCTION("GOOGLETRANSLATE(B213, ""en"", ""de"")"),"Kann auf die Kamera zugreifen")</f>
        <v>Kann auf die Kamera zugreifen</v>
      </c>
      <c r="P213" s="4" t="str">
        <f>IFERROR(__xludf.DUMMYFUNCTION("GOOGLETRANSLATE(B213, ""en"", ""he"")"),"יכול לגשת למצלמה")</f>
        <v>יכול לגשת למצלמה</v>
      </c>
      <c r="Q213" s="4" t="str">
        <f>IFERROR(__xludf.DUMMYFUNCTION("GOOGLETRANSLATE(B213, ""en"", ""cs"")"),"Přístup k fotoaparátu")</f>
        <v>Přístup k fotoaparátu</v>
      </c>
      <c r="R213" s="4" t="str">
        <f>IFERROR(__xludf.DUMMYFUNCTION("GOOGLETRANSLATE(B213, ""en"", ""it"")"),"Può accedere alla telecamera.")</f>
        <v>Può accedere alla telecamera.</v>
      </c>
      <c r="S213" s="4" t="str">
        <f>IFERROR(__xludf.DUMMYFUNCTION("GOOGLETRANSLATE(B213, ""en"", ""el"")"),"Μπορεί να έχει πρόσβαση στην κάμερα")</f>
        <v>Μπορεί να έχει πρόσβαση στην κάμερα</v>
      </c>
    </row>
    <row r="214" ht="15.75" customHeight="1">
      <c r="A214" s="4" t="s">
        <v>440</v>
      </c>
      <c r="B214" s="4" t="s">
        <v>441</v>
      </c>
      <c r="C214" s="4" t="str">
        <f>IFERROR(__xludf.DUMMYFUNCTION("GOOGLETRANSLATE(B214, ""en"", ""es"")"),"Enfriamiento...")</f>
        <v>Enfriamiento...</v>
      </c>
      <c r="D214" s="4" t="str">
        <f>IFERROR(__xludf.DUMMYFUNCTION("GOOGLETRANSLATE(B214, ""en"", ""pt"")"),"Resfriamento...")</f>
        <v>Resfriamento...</v>
      </c>
      <c r="E214" s="4" t="str">
        <f>IFERROR(__xludf.DUMMYFUNCTION("GOOGLETRANSLATE(B214, ""en"", ""ar"")"),"تبريد...")</f>
        <v>تبريد...</v>
      </c>
      <c r="F214" s="4" t="str">
        <f>IFERROR(__xludf.DUMMYFUNCTION("GOOGLETRANSLATE(B214, ""en"", ""km"")"),"ត្រជាក់ ...")</f>
        <v>ត្រជាក់ ...</v>
      </c>
      <c r="G214" s="4" t="str">
        <f>IFERROR(__xludf.DUMMYFUNCTION("GOOGLETRANSLATE(B214, ""en"", ""fr"")"),"Refroidissement...")</f>
        <v>Refroidissement...</v>
      </c>
      <c r="H214" s="4" t="str">
        <f>IFERROR(__xludf.DUMMYFUNCTION("GOOGLETRANSLATE(B214, ""en"", ""ro"")"),"Răcire...")</f>
        <v>Răcire...</v>
      </c>
      <c r="I214" s="4" t="str">
        <f>IFERROR(__xludf.DUMMYFUNCTION("GOOGLETRANSLATE(B214, ""en"", ""my"")"),"အအေး ...")</f>
        <v>အအေး ...</v>
      </c>
      <c r="J214" s="4" t="str">
        <f>IFERROR(__xludf.DUMMYFUNCTION("GOOGLETRANSLATE(B214, ""en"", ""sw"")"),"Baridi ...")</f>
        <v>Baridi ...</v>
      </c>
      <c r="K214" s="4" t="str">
        <f>IFERROR(__xludf.DUMMYFUNCTION("GOOGLETRANSLATE(B214, ""en"", ""th"")"),"ระบายความร้อน ...")</f>
        <v>ระบายความร้อน ...</v>
      </c>
      <c r="L214" s="4" t="str">
        <f>IFERROR(__xludf.DUMMYFUNCTION("GOOGLETRANSLATE(B214, ""en"", ""si"")"),"සිසිලස...")</f>
        <v>සිසිලස...</v>
      </c>
      <c r="M214" s="4" t="str">
        <f>IFERROR(__xludf.DUMMYFUNCTION("GOOGLETRANSLATE(B214, ""en"", ""vi"")"),"Làm mát ...")</f>
        <v>Làm mát ...</v>
      </c>
      <c r="N214" s="4" t="str">
        <f>IFERROR(__xludf.DUMMYFUNCTION("GOOGLETRANSLATE(B214, ""en"", ""ne"")"),"चिसो ...")</f>
        <v>चिसो ...</v>
      </c>
      <c r="O214" s="4" t="str">
        <f>IFERROR(__xludf.DUMMYFUNCTION("GOOGLETRANSLATE(B214, ""en"", ""de"")"),"Kühlung...")</f>
        <v>Kühlung...</v>
      </c>
      <c r="P214" s="4" t="str">
        <f>IFERROR(__xludf.DUMMYFUNCTION("GOOGLETRANSLATE(B214, ""en"", ""he"")"),"הִתקָרְרוּת...")</f>
        <v>הִתקָרְרוּת...</v>
      </c>
      <c r="Q214" s="4" t="str">
        <f>IFERROR(__xludf.DUMMYFUNCTION("GOOGLETRANSLATE(B214, ""en"", ""cs"")"),"Chlazení...")</f>
        <v>Chlazení...</v>
      </c>
      <c r="R214" s="4" t="str">
        <f>IFERROR(__xludf.DUMMYFUNCTION("GOOGLETRANSLATE(B214, ""en"", ""it"")"),"Raffreddamento...")</f>
        <v>Raffreddamento...</v>
      </c>
      <c r="S214" s="4" t="str">
        <f>IFERROR(__xludf.DUMMYFUNCTION("GOOGLETRANSLATE(B214, ""en"", ""el"")"),"Ψύξη...")</f>
        <v>Ψύξη...</v>
      </c>
    </row>
    <row r="215" ht="15.75" customHeight="1">
      <c r="A215" s="4" t="s">
        <v>442</v>
      </c>
      <c r="B215" s="4" t="s">
        <v>443</v>
      </c>
      <c r="C215" s="4" t="str">
        <f>IFERROR(__xludf.DUMMYFUNCTION("GOOGLETRANSLATE(B215, ""en"", ""es"")"),"Reiniciar")</f>
        <v>Reiniciar</v>
      </c>
      <c r="D215" s="4" t="str">
        <f>IFERROR(__xludf.DUMMYFUNCTION("GOOGLETRANSLATE(B215, ""en"", ""pt"")"),"Redefinir")</f>
        <v>Redefinir</v>
      </c>
      <c r="E215" s="4" t="str">
        <f>IFERROR(__xludf.DUMMYFUNCTION("GOOGLETRANSLATE(B215, ""en"", ""ar"")"),"إعادة ضبط")</f>
        <v>إعادة ضبط</v>
      </c>
      <c r="F215" s="4" t="str">
        <f>IFERROR(__xludf.DUMMYFUNCTION("GOOGLETRANSLATE(B215, ""en"", ""km"")"),"កំណត់ឡើងវិញ")</f>
        <v>កំណត់ឡើងវិញ</v>
      </c>
      <c r="G215" s="4" t="str">
        <f>IFERROR(__xludf.DUMMYFUNCTION("GOOGLETRANSLATE(B215, ""en"", ""fr"")"),"Réinitialiser")</f>
        <v>Réinitialiser</v>
      </c>
      <c r="H215" s="4" t="str">
        <f>IFERROR(__xludf.DUMMYFUNCTION("GOOGLETRANSLATE(B215, ""en"", ""ro"")"),"Resetare")</f>
        <v>Resetare</v>
      </c>
      <c r="I215" s="4" t="str">
        <f>IFERROR(__xludf.DUMMYFUNCTION("GOOGLETRANSLATE(B215, ""en"", ""my"")"),"ပြန်လည်တည်ဆောက်")</f>
        <v>ပြန်လည်တည်ဆောက်</v>
      </c>
      <c r="J215" s="4" t="str">
        <f>IFERROR(__xludf.DUMMYFUNCTION("GOOGLETRANSLATE(B215, ""en"", ""sw"")"),"Rekebisha")</f>
        <v>Rekebisha</v>
      </c>
      <c r="K215" s="4" t="str">
        <f>IFERROR(__xludf.DUMMYFUNCTION("GOOGLETRANSLATE(B215, ""en"", ""th"")"),"รีเซ็ต")</f>
        <v>รีเซ็ต</v>
      </c>
      <c r="L215" s="4" t="str">
        <f>IFERROR(__xludf.DUMMYFUNCTION("GOOGLETRANSLATE(B215, ""en"", ""si"")"),"නැවත සකසන්න")</f>
        <v>නැවත සකසන්න</v>
      </c>
      <c r="M215" s="4" t="str">
        <f>IFERROR(__xludf.DUMMYFUNCTION("GOOGLETRANSLATE(B215, ""en"", ""vi"")"),"Cài lại")</f>
        <v>Cài lại</v>
      </c>
      <c r="N215" s="4" t="str">
        <f>IFERROR(__xludf.DUMMYFUNCTION("GOOGLETRANSLATE(B215, ""en"", ""ne"")"),"रिसेट गर्नुहोस्")</f>
        <v>रिसेट गर्नुहोस्</v>
      </c>
      <c r="O215" s="4" t="str">
        <f>IFERROR(__xludf.DUMMYFUNCTION("GOOGLETRANSLATE(B215, ""en"", ""de"")"),"Zurücksetzen")</f>
        <v>Zurücksetzen</v>
      </c>
      <c r="P215" s="4" t="str">
        <f>IFERROR(__xludf.DUMMYFUNCTION("GOOGLETRANSLATE(B215, ""en"", ""he"")"),"אִתחוּל")</f>
        <v>אִתחוּל</v>
      </c>
      <c r="Q215" s="4" t="str">
        <f>IFERROR(__xludf.DUMMYFUNCTION("GOOGLETRANSLATE(B215, ""en"", ""cs"")"),"Resetovat")</f>
        <v>Resetovat</v>
      </c>
      <c r="R215" s="4" t="str">
        <f>IFERROR(__xludf.DUMMYFUNCTION("GOOGLETRANSLATE(B215, ""en"", ""it"")"),"Ripristina")</f>
        <v>Ripristina</v>
      </c>
      <c r="S215" s="4" t="str">
        <f>IFERROR(__xludf.DUMMYFUNCTION("GOOGLETRANSLATE(B215, ""en"", ""el"")"),"Επαναφορά")</f>
        <v>Επαναφορά</v>
      </c>
    </row>
    <row r="216" ht="15.75" customHeight="1">
      <c r="A216" s="4" t="s">
        <v>444</v>
      </c>
      <c r="B216" s="4" t="s">
        <v>445</v>
      </c>
      <c r="C216" s="4" t="str">
        <f>IFERROR(__xludf.DUMMYFUNCTION("GOOGLETRANSLATE(B216, ""en"", ""es"")"),"Protege tu teléfono")</f>
        <v>Protege tu teléfono</v>
      </c>
      <c r="D216" s="4" t="str">
        <f>IFERROR(__xludf.DUMMYFUNCTION("GOOGLETRANSLATE(B216, ""en"", ""pt"")"),"Proteja seu telefone")</f>
        <v>Proteja seu telefone</v>
      </c>
      <c r="E216" s="4" t="str">
        <f>IFERROR(__xludf.DUMMYFUNCTION("GOOGLETRANSLATE(B216, ""en"", ""ar"")"),"حماية هاتفك")</f>
        <v>حماية هاتفك</v>
      </c>
      <c r="F216" s="4" t="str">
        <f>IFERROR(__xludf.DUMMYFUNCTION("GOOGLETRANSLATE(B216, ""en"", ""km"")"),"ការពារទូរស័ព្ទរបស់អ្នក")</f>
        <v>ការពារទូរស័ព្ទរបស់អ្នក</v>
      </c>
      <c r="G216" s="4" t="str">
        <f>IFERROR(__xludf.DUMMYFUNCTION("GOOGLETRANSLATE(B216, ""en"", ""fr"")"),"Protégez votre téléphone")</f>
        <v>Protégez votre téléphone</v>
      </c>
      <c r="H216" s="4" t="str">
        <f>IFERROR(__xludf.DUMMYFUNCTION("GOOGLETRANSLATE(B216, ""en"", ""ro"")"),"Protejați-vă telefonul")</f>
        <v>Protejați-vă telefonul</v>
      </c>
      <c r="I216" s="4" t="str">
        <f>IFERROR(__xludf.DUMMYFUNCTION("GOOGLETRANSLATE(B216, ""en"", ""my"")"),"သင့်ဖုန်းကိုကာကွယ်ပါ")</f>
        <v>သင့်ဖုန်းကိုကာကွယ်ပါ</v>
      </c>
      <c r="J216" s="4" t="str">
        <f>IFERROR(__xludf.DUMMYFUNCTION("GOOGLETRANSLATE(B216, ""en"", ""sw"")"),"Tetea simu yako")</f>
        <v>Tetea simu yako</v>
      </c>
      <c r="K216" s="4" t="str">
        <f>IFERROR(__xludf.DUMMYFUNCTION("GOOGLETRANSLATE(B216, ""en"", ""th"")"),"ปกป้องโทรศัพท์ของคุณ")</f>
        <v>ปกป้องโทรศัพท์ของคุณ</v>
      </c>
      <c r="L216" s="4" t="str">
        <f>IFERROR(__xludf.DUMMYFUNCTION("GOOGLETRANSLATE(B216, ""en"", ""si"")"),"ඔබගේ දුරකථනය ආරක්ෂා කරන්න")</f>
        <v>ඔබගේ දුරකථනය ආරක්ෂා කරන්න</v>
      </c>
      <c r="M216" s="4" t="str">
        <f>IFERROR(__xludf.DUMMYFUNCTION("GOOGLETRANSLATE(B216, ""en"", ""vi"")"),"Bảo vệ điện thoại của bạn")</f>
        <v>Bảo vệ điện thoại của bạn</v>
      </c>
      <c r="N216" s="4" t="str">
        <f>IFERROR(__xludf.DUMMYFUNCTION("GOOGLETRANSLATE(B216, ""en"", ""ne"")"),"आफ्नो फोन रक्षा गर्नुहोस्")</f>
        <v>आफ्नो फोन रक्षा गर्नुहोस्</v>
      </c>
      <c r="O216" s="4" t="str">
        <f>IFERROR(__xludf.DUMMYFUNCTION("GOOGLETRANSLATE(B216, ""en"", ""de"")"),"Schützen Sie Ihr Telefon")</f>
        <v>Schützen Sie Ihr Telefon</v>
      </c>
      <c r="P216" s="4" t="str">
        <f>IFERROR(__xludf.DUMMYFUNCTION("GOOGLETRANSLATE(B216, ""en"", ""he"")"),"הגן על הטלפון שלך")</f>
        <v>הגן על הטלפון שלך</v>
      </c>
      <c r="Q216" s="4" t="str">
        <f>IFERROR(__xludf.DUMMYFUNCTION("GOOGLETRANSLATE(B216, ""en"", ""cs"")"),"Chraňte telefon")</f>
        <v>Chraňte telefon</v>
      </c>
      <c r="R216" s="4" t="str">
        <f>IFERROR(__xludf.DUMMYFUNCTION("GOOGLETRANSLATE(B216, ""en"", ""it"")"),"Proteggi il tuo telefono")</f>
        <v>Proteggi il tuo telefono</v>
      </c>
      <c r="S216" s="4" t="str">
        <f>IFERROR(__xludf.DUMMYFUNCTION("GOOGLETRANSLATE(B216, ""en"", ""el"")"),"Προστατέψτε το τηλέφωνό σας")</f>
        <v>Προστατέψτε το τηλέφωνό σας</v>
      </c>
    </row>
    <row r="217" ht="15.75" customHeight="1">
      <c r="A217" s="4" t="s">
        <v>446</v>
      </c>
      <c r="B217" s="4" t="s">
        <v>447</v>
      </c>
      <c r="C217" s="4" t="str">
        <f>IFERROR(__xludf.DUMMYFUNCTION("GOOGLETRANSLATE(B217, ""en"", ""es"")"),"Listo acelerar")</f>
        <v>Listo acelerar</v>
      </c>
      <c r="D217" s="4" t="str">
        <f>IFERROR(__xludf.DUMMYFUNCTION("GOOGLETRANSLATE(B217, ""en"", ""pt"")"),"Pronto acelerar")</f>
        <v>Pronto acelerar</v>
      </c>
      <c r="E217" s="4" t="str">
        <f>IFERROR(__xludf.DUMMYFUNCTION("GOOGLETRANSLATE(B217, ""en"", ""ar"")"),"تسريع جاهز")</f>
        <v>تسريع جاهز</v>
      </c>
      <c r="F217" s="4" t="str">
        <f>IFERROR(__xludf.DUMMYFUNCTION("GOOGLETRANSLATE(B217, ""en"", ""km"")"),"បង្កើនល្បឿនរួចរាល់")</f>
        <v>បង្កើនល្បឿនរួចរាល់</v>
      </c>
      <c r="G217" s="4" t="str">
        <f>IFERROR(__xludf.DUMMYFUNCTION("GOOGLETRANSLATE(B217, ""en"", ""fr"")"),"Prêt à accélérer")</f>
        <v>Prêt à accélérer</v>
      </c>
      <c r="H217" s="4" t="str">
        <f>IFERROR(__xludf.DUMMYFUNCTION("GOOGLETRANSLATE(B217, ""en"", ""ro"")"),"Gata accelerați")</f>
        <v>Gata accelerați</v>
      </c>
      <c r="I217" s="4" t="str">
        <f>IFERROR(__xludf.DUMMYFUNCTION("GOOGLETRANSLATE(B217, ""en"", ""my"")"),"အဆင်သင့်လေ")</f>
        <v>အဆင်သင့်လေ</v>
      </c>
      <c r="J217" s="4" t="str">
        <f>IFERROR(__xludf.DUMMYFUNCTION("GOOGLETRANSLATE(B217, ""en"", ""sw"")"),"Tayari kuharakisha")</f>
        <v>Tayari kuharakisha</v>
      </c>
      <c r="K217" s="4" t="str">
        <f>IFERROR(__xludf.DUMMYFUNCTION("GOOGLETRANSLATE(B217, ""en"", ""th"")"),"เร่งความเร็ว")</f>
        <v>เร่งความเร็ว</v>
      </c>
      <c r="L217" s="4" t="str">
        <f>IFERROR(__xludf.DUMMYFUNCTION("GOOGLETRANSLATE(B217, ""en"", ""si"")"),"සූදානම් වේගවත් කිරීම")</f>
        <v>සූදානම් වේගවත් කිරීම</v>
      </c>
      <c r="M217" s="4" t="str">
        <f>IFERROR(__xludf.DUMMYFUNCTION("GOOGLETRANSLATE(B217, ""en"", ""vi"")"),"Sẵn sàng tăng tốc")</f>
        <v>Sẵn sàng tăng tốc</v>
      </c>
      <c r="N217" s="4" t="str">
        <f>IFERROR(__xludf.DUMMYFUNCTION("GOOGLETRANSLATE(B217, ""en"", ""ne"")"),"तयार गति")</f>
        <v>तयार गति</v>
      </c>
      <c r="O217" s="4" t="str">
        <f>IFERROR(__xludf.DUMMYFUNCTION("GOOGLETRANSLATE(B217, ""en"", ""de"")"),"Fertig beschleunigen")</f>
        <v>Fertig beschleunigen</v>
      </c>
      <c r="P217" s="4" t="str">
        <f>IFERROR(__xludf.DUMMYFUNCTION("GOOGLETRANSLATE(B217, ""en"", ""he"")"),"מוכן להאיץ")</f>
        <v>מוכן להאיץ</v>
      </c>
      <c r="Q217" s="4" t="str">
        <f>IFERROR(__xludf.DUMMYFUNCTION("GOOGLETRANSLATE(B217, ""en"", ""cs"")"),"Připravený urychlení")</f>
        <v>Připravený urychlení</v>
      </c>
      <c r="R217" s="4" t="str">
        <f>IFERROR(__xludf.DUMMYFUNCTION("GOOGLETRANSLATE(B217, ""en"", ""it"")"),"Pronto accelerato")</f>
        <v>Pronto accelerato</v>
      </c>
      <c r="S217" s="4" t="str">
        <f>IFERROR(__xludf.DUMMYFUNCTION("GOOGLETRANSLATE(B217, ""en"", ""el"")"),"Έτοιμη επιτάχυνση")</f>
        <v>Έτοιμη επιτάχυνση</v>
      </c>
    </row>
    <row r="218" ht="15.75" customHeight="1">
      <c r="A218" s="4" t="s">
        <v>448</v>
      </c>
      <c r="B218" s="4" t="s">
        <v>449</v>
      </c>
      <c r="C218" s="4" t="str">
        <f>IFERROR(__xludf.DUMMYFUNCTION("GOOGLETRANSLATE(B218, ""en"", ""es"")"),"Scan Virus .....")</f>
        <v>Scan Virus .....</v>
      </c>
      <c r="D218" s="4" t="str">
        <f>IFERROR(__xludf.DUMMYFUNCTION("GOOGLETRANSLATE(B218, ""en"", ""pt"")"),"Virus de digitalização .....")</f>
        <v>Virus de digitalização .....</v>
      </c>
      <c r="E218" s="4" t="str">
        <f>IFERROR(__xludf.DUMMYFUNCTION("GOOGLETRANSLATE(B218, ""en"", ""ar"")"),"فحص الفيروس .....")</f>
        <v>فحص الفيروس .....</v>
      </c>
      <c r="F218" s="4" t="str">
        <f>IFERROR(__xludf.DUMMYFUNCTION("GOOGLETRANSLATE(B218, ""en"", ""km"")"),"ស្កេនមេរោគ .....")</f>
        <v>ស្កេនមេរោគ .....</v>
      </c>
      <c r="G218" s="4" t="str">
        <f>IFERROR(__xludf.DUMMYFUNCTION("GOOGLETRANSLATE(B218, ""en"", ""fr"")"),"Scanner le virus .....")</f>
        <v>Scanner le virus .....</v>
      </c>
      <c r="H218" s="4" t="str">
        <f>IFERROR(__xludf.DUMMYFUNCTION("GOOGLETRANSLATE(B218, ""en"", ""ro"")"),"Scanați virusul .....")</f>
        <v>Scanați virusul .....</v>
      </c>
      <c r="I218" s="4" t="str">
        <f>IFERROR(__xludf.DUMMYFUNCTION("GOOGLETRANSLATE(B218, ""en"", ""my"")"),"scan ဗိုင်းရပ်စ် .....")</f>
        <v>scan ဗိုင်းရပ်စ် .....</v>
      </c>
      <c r="J218" s="4" t="str">
        <f>IFERROR(__xludf.DUMMYFUNCTION("GOOGLETRANSLATE(B218, ""en"", ""sw"")"),"Scan virusi .....")</f>
        <v>Scan virusi .....</v>
      </c>
      <c r="K218" s="4" t="str">
        <f>IFERROR(__xludf.DUMMYFUNCTION("GOOGLETRANSLATE(B218, ""en"", ""th"")"),"สแกนไวรัส .....")</f>
        <v>สแกนไวรัส .....</v>
      </c>
      <c r="L218" s="4" t="str">
        <f>IFERROR(__xludf.DUMMYFUNCTION("GOOGLETRANSLATE(B218, ""en"", ""si"")"),"ස්කෑන් වෛරසය .....")</f>
        <v>ස්කෑන් වෛරසය .....</v>
      </c>
      <c r="M218" s="4" t="str">
        <f>IFERROR(__xludf.DUMMYFUNCTION("GOOGLETRANSLATE(B218, ""en"", ""vi"")"),"Quét virus .....")</f>
        <v>Quét virus .....</v>
      </c>
      <c r="N218" s="4" t="str">
        <f>IFERROR(__xludf.DUMMYFUNCTION("GOOGLETRANSLATE(B218, ""en"", ""ne"")"),"स्क्यान भाइरस .....")</f>
        <v>स्क्यान भाइरस .....</v>
      </c>
      <c r="O218" s="4" t="str">
        <f>IFERROR(__xludf.DUMMYFUNCTION("GOOGLETRANSLATE(B218, ""en"", ""de"")"),"Scan-Virus .....")</f>
        <v>Scan-Virus .....</v>
      </c>
      <c r="P218" s="4" t="str">
        <f>IFERROR(__xludf.DUMMYFUNCTION("GOOGLETRANSLATE(B218, ""en"", ""he"")"),"סריקה וירוס .....")</f>
        <v>סריקה וירוס .....</v>
      </c>
      <c r="Q218" s="4" t="str">
        <f>IFERROR(__xludf.DUMMYFUNCTION("GOOGLETRANSLATE(B218, ""en"", ""cs"")"),"Skenovat virus .....")</f>
        <v>Skenovat virus .....</v>
      </c>
      <c r="R218" s="4" t="str">
        <f>IFERROR(__xludf.DUMMYFUNCTION("GOOGLETRANSLATE(B218, ""en"", ""it"")"),"Scansione virus .....")</f>
        <v>Scansione virus .....</v>
      </c>
      <c r="S218" s="4" t="str">
        <f>IFERROR(__xludf.DUMMYFUNCTION("GOOGLETRANSLATE(B218, ""en"", ""el"")"),"Σάρωση ιού .....")</f>
        <v>Σάρωση ιού .....</v>
      </c>
    </row>
    <row r="219" ht="15.75" customHeight="1">
      <c r="A219" s="4" t="s">
        <v>450</v>
      </c>
      <c r="B219" s="4" t="s">
        <v>451</v>
      </c>
      <c r="C219" s="4" t="str">
        <f>IFERROR(__xludf.DUMMYFUNCTION("GOOGLETRANSLATE(B219, ""en"", ""es"")"),"Empezar ahora")</f>
        <v>Empezar ahora</v>
      </c>
      <c r="D219" s="4" t="str">
        <f>IFERROR(__xludf.DUMMYFUNCTION("GOOGLETRANSLATE(B219, ""en"", ""pt"")"),"Comece agora")</f>
        <v>Comece agora</v>
      </c>
      <c r="E219" s="4" t="str">
        <f>IFERROR(__xludf.DUMMYFUNCTION("GOOGLETRANSLATE(B219, ""en"", ""ar"")"),"ابدأ الآن")</f>
        <v>ابدأ الآن</v>
      </c>
      <c r="F219" s="4" t="str">
        <f>IFERROR(__xludf.DUMMYFUNCTION("GOOGLETRANSLATE(B219, ""en"", ""km"")"),"ចាប់ផ្តើមឥឡូវនេះ")</f>
        <v>ចាប់ផ្តើមឥឡូវនេះ</v>
      </c>
      <c r="G219" s="4" t="str">
        <f>IFERROR(__xludf.DUMMYFUNCTION("GOOGLETRANSLATE(B219, ""en"", ""fr"")"),"Commencez maintenant")</f>
        <v>Commencez maintenant</v>
      </c>
      <c r="H219" s="4" t="str">
        <f>IFERROR(__xludf.DUMMYFUNCTION("GOOGLETRANSLATE(B219, ""en"", ""ro"")"),"Începe acum")</f>
        <v>Începe acum</v>
      </c>
      <c r="I219" s="4" t="str">
        <f>IFERROR(__xludf.DUMMYFUNCTION("GOOGLETRANSLATE(B219, ""en"", ""my"")"),"ယခုစတင်ပါ")</f>
        <v>ယခုစတင်ပါ</v>
      </c>
      <c r="J219" s="4" t="str">
        <f>IFERROR(__xludf.DUMMYFUNCTION("GOOGLETRANSLATE(B219, ""en"", ""sw"")"),"Anza sasa")</f>
        <v>Anza sasa</v>
      </c>
      <c r="K219" s="4" t="str">
        <f>IFERROR(__xludf.DUMMYFUNCTION("GOOGLETRANSLATE(B219, ""en"", ""th"")"),"เริ่มตอนนี้")</f>
        <v>เริ่มตอนนี้</v>
      </c>
      <c r="L219" s="4" t="str">
        <f>IFERROR(__xludf.DUMMYFUNCTION("GOOGLETRANSLATE(B219, ""en"", ""si"")"),"දැන් පටන් ගන්න")</f>
        <v>දැන් පටන් ගන්න</v>
      </c>
      <c r="M219" s="4" t="str">
        <f>IFERROR(__xludf.DUMMYFUNCTION("GOOGLETRANSLATE(B219, ""en"", ""vi"")"),"Bắt đầu bây giờ")</f>
        <v>Bắt đầu bây giờ</v>
      </c>
      <c r="N219" s="4" t="str">
        <f>IFERROR(__xludf.DUMMYFUNCTION("GOOGLETRANSLATE(B219, ""en"", ""ne"")"),"अब शुरू गर")</f>
        <v>अब शुरू गर</v>
      </c>
      <c r="O219" s="4" t="str">
        <f>IFERROR(__xludf.DUMMYFUNCTION("GOOGLETRANSLATE(B219, ""en"", ""de"")"),"Jetzt anfangen")</f>
        <v>Jetzt anfangen</v>
      </c>
      <c r="P219" s="4" t="str">
        <f>IFERROR(__xludf.DUMMYFUNCTION("GOOGLETRANSLATE(B219, ""en"", ""he"")"),"התחל עכשיו")</f>
        <v>התחל עכשיו</v>
      </c>
      <c r="Q219" s="4" t="str">
        <f>IFERROR(__xludf.DUMMYFUNCTION("GOOGLETRANSLATE(B219, ""en"", ""cs"")"),"Začněte teď")</f>
        <v>Začněte teď</v>
      </c>
      <c r="R219" s="4" t="str">
        <f>IFERROR(__xludf.DUMMYFUNCTION("GOOGLETRANSLATE(B219, ""en"", ""it"")"),"Parti ora")</f>
        <v>Parti ora</v>
      </c>
      <c r="S219" s="4" t="str">
        <f>IFERROR(__xludf.DUMMYFUNCTION("GOOGLETRANSLATE(B219, ""en"", ""el"")"),"Ξεκίνα τώρα")</f>
        <v>Ξεκίνα τώρα</v>
      </c>
    </row>
    <row r="220" ht="15.75" customHeight="1">
      <c r="A220" s="4" t="s">
        <v>452</v>
      </c>
      <c r="B220" s="4" t="s">
        <v>453</v>
      </c>
      <c r="C220" s="4" t="str">
        <f>IFERROR(__xludf.DUMMYFUNCTION("GOOGLETRANSLATE(B220, ""en"", ""es"")"),"El patrón ha sido borrado")</f>
        <v>El patrón ha sido borrado</v>
      </c>
      <c r="D220" s="4" t="str">
        <f>IFERROR(__xludf.DUMMYFUNCTION("GOOGLETRANSLATE(B220, ""en"", ""pt"")"),"Padrão foi excluído")</f>
        <v>Padrão foi excluído</v>
      </c>
      <c r="E220" s="4" t="str">
        <f>IFERROR(__xludf.DUMMYFUNCTION("GOOGLETRANSLATE(B220, ""en"", ""ar"")"),"تم حذف النمط")</f>
        <v>تم حذف النمط</v>
      </c>
      <c r="F220" s="4" t="str">
        <f>IFERROR(__xludf.DUMMYFUNCTION("GOOGLETRANSLATE(B220, ""en"", ""km"")"),"លំនាំត្រូវបានលុបចោល")</f>
        <v>លំនាំត្រូវបានលុបចោល</v>
      </c>
      <c r="G220" s="4" t="str">
        <f>IFERROR(__xludf.DUMMYFUNCTION("GOOGLETRANSLATE(B220, ""en"", ""fr"")"),"Motif a été supprimé")</f>
        <v>Motif a été supprimé</v>
      </c>
      <c r="H220" s="4" t="str">
        <f>IFERROR(__xludf.DUMMYFUNCTION("GOOGLETRANSLATE(B220, ""en"", ""ro"")"),"Modelul a fost șters")</f>
        <v>Modelul a fost șters</v>
      </c>
      <c r="I220" s="4" t="str">
        <f>IFERROR(__xludf.DUMMYFUNCTION("GOOGLETRANSLATE(B220, ""en"", ""my"")"),"ပုံစံကိုဖျက်ထားသည်")</f>
        <v>ပုံစံကိုဖျက်ထားသည်</v>
      </c>
      <c r="J220" s="4" t="str">
        <f>IFERROR(__xludf.DUMMYFUNCTION("GOOGLETRANSLATE(B220, ""en"", ""sw"")"),"Mfano umefutwa.")</f>
        <v>Mfano umefutwa.</v>
      </c>
      <c r="K220" s="4" t="str">
        <f>IFERROR(__xludf.DUMMYFUNCTION("GOOGLETRANSLATE(B220, ""en"", ""th"")"),"รูปแบบถูกลบแล้ว")</f>
        <v>รูปแบบถูกลบแล้ว</v>
      </c>
      <c r="L220" s="4" t="str">
        <f>IFERROR(__xludf.DUMMYFUNCTION("GOOGLETRANSLATE(B220, ""en"", ""si"")"),"රටාව මකා දමා ඇත")</f>
        <v>රටාව මකා දමා ඇත</v>
      </c>
      <c r="M220" s="4" t="str">
        <f>IFERROR(__xludf.DUMMYFUNCTION("GOOGLETRANSLATE(B220, ""en"", ""vi"")"),"Mô hình đã bị xóa")</f>
        <v>Mô hình đã bị xóa</v>
      </c>
      <c r="N220" s="4" t="str">
        <f>IFERROR(__xludf.DUMMYFUNCTION("GOOGLETRANSLATE(B220, ""en"", ""ne"")"),"ढाँचा हटाइएको छ")</f>
        <v>ढाँचा हटाइएको छ</v>
      </c>
      <c r="O220" s="4" t="str">
        <f>IFERROR(__xludf.DUMMYFUNCTION("GOOGLETRANSLATE(B220, ""en"", ""de"")"),"Muster wurde gelöscht")</f>
        <v>Muster wurde gelöscht</v>
      </c>
      <c r="P220" s="4" t="str">
        <f>IFERROR(__xludf.DUMMYFUNCTION("GOOGLETRANSLATE(B220, ""en"", ""he"")"),"דפוס נמחק")</f>
        <v>דפוס נמחק</v>
      </c>
      <c r="Q220" s="4" t="str">
        <f>IFERROR(__xludf.DUMMYFUNCTION("GOOGLETRANSLATE(B220, ""en"", ""cs"")"),"Vzor byl vymazán")</f>
        <v>Vzor byl vymazán</v>
      </c>
      <c r="R220" s="4" t="str">
        <f>IFERROR(__xludf.DUMMYFUNCTION("GOOGLETRANSLATE(B220, ""en"", ""it"")"),"Il modello è stato cancellato")</f>
        <v>Il modello è stato cancellato</v>
      </c>
      <c r="S220" s="4" t="str">
        <f>IFERROR(__xludf.DUMMYFUNCTION("GOOGLETRANSLATE(B220, ""en"", ""el"")"),"Το μοτίβο έχει διαγραφεί")</f>
        <v>Το μοτίβο έχει διαγραφεί</v>
      </c>
    </row>
    <row r="221" ht="15.75" customHeight="1">
      <c r="A221" s="4" t="s">
        <v>454</v>
      </c>
      <c r="B221" s="4" t="s">
        <v>455</v>
      </c>
      <c r="C221" s="4" t="str">
        <f>IFERROR(__xludf.DUMMYFUNCTION("GOOGLETRANSLATE(B221, ""en"", ""es"")"),"¡Finalizado! ¡Limpiado!")</f>
        <v>¡Finalizado! ¡Limpiado!</v>
      </c>
      <c r="D221" s="4" t="str">
        <f>IFERROR(__xludf.DUMMYFUNCTION("GOOGLETRANSLATE(B221, ""en"", ""pt"")"),"Finalizado! Limpo!")</f>
        <v>Finalizado! Limpo!</v>
      </c>
      <c r="E221" s="4" t="str">
        <f>IFERROR(__xludf.DUMMYFUNCTION("GOOGLETRANSLATE(B221, ""en"", ""ar"")"),"تم الانتهاء من! تنظيفها!")</f>
        <v>تم الانتهاء من! تنظيفها!</v>
      </c>
      <c r="F221" s="4" t="str">
        <f>IFERROR(__xludf.DUMMYFUNCTION("GOOGLETRANSLATE(B221, ""en"", ""km"")"),"ចប់ហើយ! សម្អាត!")</f>
        <v>ចប់ហើយ! សម្អាត!</v>
      </c>
      <c r="G221" s="4" t="str">
        <f>IFERROR(__xludf.DUMMYFUNCTION("GOOGLETRANSLATE(B221, ""en"", ""fr"")"),"Fini! Nettoyé!")</f>
        <v>Fini! Nettoyé!</v>
      </c>
      <c r="H221" s="4" t="str">
        <f>IFERROR(__xludf.DUMMYFUNCTION("GOOGLETRANSLATE(B221, ""en"", ""ro"")"),"Terminat! Curățate!")</f>
        <v>Terminat! Curățate!</v>
      </c>
      <c r="I221" s="4" t="str">
        <f>IFERROR(__xludf.DUMMYFUNCTION("GOOGLETRANSLATE(B221, ""en"", ""my"")"),"ပြီးပြီ သန့်ရှင်း!")</f>
        <v>ပြီးပြီ သန့်ရှင်း!</v>
      </c>
      <c r="J221" s="4" t="str">
        <f>IFERROR(__xludf.DUMMYFUNCTION("GOOGLETRANSLATE(B221, ""en"", ""sw"")"),"Imekamilika! Iliyosafishwa!")</f>
        <v>Imekamilika! Iliyosafishwa!</v>
      </c>
      <c r="K221" s="4" t="str">
        <f>IFERROR(__xludf.DUMMYFUNCTION("GOOGLETRANSLATE(B221, ""en"", ""th"")"),"ที่เสร็จเรียบร้อย! ทำความสะอาด!")</f>
        <v>ที่เสร็จเรียบร้อย! ทำความสะอาด!</v>
      </c>
      <c r="L221" s="4" t="str">
        <f>IFERROR(__xludf.DUMMYFUNCTION("GOOGLETRANSLATE(B221, ""en"", ""si"")"),"අවසන්! පිරිසිදු කළා!")</f>
        <v>අවසන්! පිරිසිදු කළා!</v>
      </c>
      <c r="M221" s="4" t="str">
        <f>IFERROR(__xludf.DUMMYFUNCTION("GOOGLETRANSLATE(B221, ""en"", ""vi"")"),"Hoàn thành! Làm sạch!")</f>
        <v>Hoàn thành! Làm sạch!</v>
      </c>
      <c r="N221" s="4" t="str">
        <f>IFERROR(__xludf.DUMMYFUNCTION("GOOGLETRANSLATE(B221, ""en"", ""ne"")"),"समाप्त भयो! सफा!")</f>
        <v>समाप्त भयो! सफा!</v>
      </c>
      <c r="O221" s="4" t="str">
        <f>IFERROR(__xludf.DUMMYFUNCTION("GOOGLETRANSLATE(B221, ""en"", ""de"")"),"Fertig! Gereinigt!")</f>
        <v>Fertig! Gereinigt!</v>
      </c>
      <c r="P221" s="4" t="str">
        <f>IFERROR(__xludf.DUMMYFUNCTION("GOOGLETRANSLATE(B221, ""en"", ""he"")"),"גָמוּר! נקי!")</f>
        <v>גָמוּר! נקי!</v>
      </c>
      <c r="Q221" s="4" t="str">
        <f>IFERROR(__xludf.DUMMYFUNCTION("GOOGLETRANSLATE(B221, ""en"", ""cs"")"),"Dokončeno! Vyčistit!")</f>
        <v>Dokončeno! Vyčistit!</v>
      </c>
      <c r="R221" s="4" t="str">
        <f>IFERROR(__xludf.DUMMYFUNCTION("GOOGLETRANSLATE(B221, ""en"", ""it"")"),"Finito! Puliti!")</f>
        <v>Finito! Puliti!</v>
      </c>
      <c r="S221" s="4" t="str">
        <f>IFERROR(__xludf.DUMMYFUNCTION("GOOGLETRANSLATE(B221, ""en"", ""el"")"),"Πεπερασμένος! Καθαρισμένο!")</f>
        <v>Πεπερασμένος! Καθαρισμένο!</v>
      </c>
    </row>
    <row r="222" ht="15.75" customHeight="1">
      <c r="A222" s="4" t="s">
        <v>456</v>
      </c>
      <c r="B222" s="4" t="s">
        <v>457</v>
      </c>
      <c r="C222" s="4" t="str">
        <f>IFERROR(__xludf.DUMMYFUNCTION("GOOGLETRANSLATE(B222, ""en"", ""es"")"),"Limpiar")</f>
        <v>Limpiar</v>
      </c>
      <c r="D222" s="4" t="str">
        <f>IFERROR(__xludf.DUMMYFUNCTION("GOOGLETRANSLATE(B222, ""en"", ""pt"")"),"Limpar")</f>
        <v>Limpar</v>
      </c>
      <c r="E222" s="4" t="str">
        <f>IFERROR(__xludf.DUMMYFUNCTION("GOOGLETRANSLATE(B222, ""en"", ""ar"")"),"نظف")</f>
        <v>نظف</v>
      </c>
      <c r="F222" s="4" t="str">
        <f>IFERROR(__xludf.DUMMYFUNCTION("GOOGLETRANSLATE(B222, ""en"", ""km"")"),"សម្អាត")</f>
        <v>សម្អាត</v>
      </c>
      <c r="G222" s="4" t="str">
        <f>IFERROR(__xludf.DUMMYFUNCTION("GOOGLETRANSLATE(B222, ""en"", ""fr"")"),"Nettoyer")</f>
        <v>Nettoyer</v>
      </c>
      <c r="H222" s="4" t="str">
        <f>IFERROR(__xludf.DUMMYFUNCTION("GOOGLETRANSLATE(B222, ""en"", ""ro"")"),"A curăța")</f>
        <v>A curăța</v>
      </c>
      <c r="I222" s="4" t="str">
        <f>IFERROR(__xludf.DUMMYFUNCTION("GOOGLETRANSLATE(B222, ""en"", ""my"")"),"သန့်ရှင်းရေးလုပ်သည်")</f>
        <v>သန့်ရှင်းရေးလုပ်သည်</v>
      </c>
      <c r="J222" s="4" t="str">
        <f>IFERROR(__xludf.DUMMYFUNCTION("GOOGLETRANSLATE(B222, ""en"", ""sw"")"),"Safisha")</f>
        <v>Safisha</v>
      </c>
      <c r="K222" s="4" t="str">
        <f>IFERROR(__xludf.DUMMYFUNCTION("GOOGLETRANSLATE(B222, ""en"", ""th"")"),"ทำความสะอาด")</f>
        <v>ทำความสะอาด</v>
      </c>
      <c r="L222" s="4" t="str">
        <f>IFERROR(__xludf.DUMMYFUNCTION("GOOGLETRANSLATE(B222, ""en"", ""si"")"),"ඉවර කරන්න")</f>
        <v>ඉවර කරන්න</v>
      </c>
      <c r="M222" s="4" t="str">
        <f>IFERROR(__xludf.DUMMYFUNCTION("GOOGLETRANSLATE(B222, ""en"", ""vi"")"),"Dọn dẹp")</f>
        <v>Dọn dẹp</v>
      </c>
      <c r="N222" s="4" t="str">
        <f>IFERROR(__xludf.DUMMYFUNCTION("GOOGLETRANSLATE(B222, ""en"", ""ne"")"),"सफा गर्नु")</f>
        <v>सफा गर्नु</v>
      </c>
      <c r="O222" s="4" t="str">
        <f>IFERROR(__xludf.DUMMYFUNCTION("GOOGLETRANSLATE(B222, ""en"", ""de"")"),"Aufräumen")</f>
        <v>Aufräumen</v>
      </c>
      <c r="P222" s="4" t="str">
        <f>IFERROR(__xludf.DUMMYFUNCTION("GOOGLETRANSLATE(B222, ""en"", ""he"")"),"לנקות")</f>
        <v>לנקות</v>
      </c>
      <c r="Q222" s="4" t="str">
        <f>IFERROR(__xludf.DUMMYFUNCTION("GOOGLETRANSLATE(B222, ""en"", ""cs"")"),"Uklidit")</f>
        <v>Uklidit</v>
      </c>
      <c r="R222" s="4" t="str">
        <f>IFERROR(__xludf.DUMMYFUNCTION("GOOGLETRANSLATE(B222, ""en"", ""it"")"),"Ripulire")</f>
        <v>Ripulire</v>
      </c>
      <c r="S222" s="4" t="str">
        <f>IFERROR(__xludf.DUMMYFUNCTION("GOOGLETRANSLATE(B222, ""en"", ""el"")"),"Καθάρισε")</f>
        <v>Καθάρισε</v>
      </c>
    </row>
    <row r="223" ht="15.75" customHeight="1">
      <c r="A223" s="4" t="s">
        <v>458</v>
      </c>
      <c r="B223" s="4" t="s">
        <v>459</v>
      </c>
      <c r="C223" s="4" t="str">
        <f>IFERROR(__xludf.DUMMYFUNCTION("GOOGLETRANSLATE(B223, ""en"", ""es"")"),"Ahorrar")</f>
        <v>Ahorrar</v>
      </c>
      <c r="D223" s="4" t="str">
        <f>IFERROR(__xludf.DUMMYFUNCTION("GOOGLETRANSLATE(B223, ""en"", ""pt"")"),"Salve ")</f>
        <v>Salve </v>
      </c>
      <c r="E223" s="4" t="str">
        <f>IFERROR(__xludf.DUMMYFUNCTION("GOOGLETRANSLATE(B223, ""en"", ""ar"")"),"يحفظ")</f>
        <v>يحفظ</v>
      </c>
      <c r="F223" s="4" t="str">
        <f>IFERROR(__xludf.DUMMYFUNCTION("GOOGLETRANSLATE(B223, ""en"", ""km"")"),"សរេង្គាហ")</f>
        <v>សរេង្គាហ</v>
      </c>
      <c r="G223" s="4" t="str">
        <f>IFERROR(__xludf.DUMMYFUNCTION("GOOGLETRANSLATE(B223, ""en"", ""fr"")"),"sauvegarder")</f>
        <v>sauvegarder</v>
      </c>
      <c r="H223" s="4" t="str">
        <f>IFERROR(__xludf.DUMMYFUNCTION("GOOGLETRANSLATE(B223, ""en"", ""ro"")"),"Salvați")</f>
        <v>Salvați</v>
      </c>
      <c r="I223" s="4" t="str">
        <f>IFERROR(__xludf.DUMMYFUNCTION("GOOGLETRANSLATE(B223, ""en"", ""my"")"),"ကယ်ဆယ်")</f>
        <v>ကယ်ဆယ်</v>
      </c>
      <c r="J223" s="4" t="str">
        <f>IFERROR(__xludf.DUMMYFUNCTION("GOOGLETRANSLATE(B223, ""en"", ""sw"")"),"Hifadhi")</f>
        <v>Hifadhi</v>
      </c>
      <c r="K223" s="4" t="str">
        <f>IFERROR(__xludf.DUMMYFUNCTION("GOOGLETRANSLATE(B223, ""en"", ""th"")"),"บันทึก")</f>
        <v>บันทึก</v>
      </c>
      <c r="L223" s="4" t="str">
        <f>IFERROR(__xludf.DUMMYFUNCTION("GOOGLETRANSLATE(B223, ""en"", ""si"")"),"සුරකින්න")</f>
        <v>සුරකින්න</v>
      </c>
      <c r="M223" s="4" t="str">
        <f>IFERROR(__xludf.DUMMYFUNCTION("GOOGLETRANSLATE(B223, ""en"", ""vi"")"),"Cứu")</f>
        <v>Cứu</v>
      </c>
      <c r="N223" s="4" t="str">
        <f>IFERROR(__xludf.DUMMYFUNCTION("GOOGLETRANSLATE(B223, ""en"", ""ne"")"),"बचाउनु")</f>
        <v>बचाउनु</v>
      </c>
      <c r="O223" s="4" t="str">
        <f>IFERROR(__xludf.DUMMYFUNCTION("GOOGLETRANSLATE(B223, ""en"", ""de"")"),"Speichern")</f>
        <v>Speichern</v>
      </c>
      <c r="P223" s="4" t="str">
        <f>IFERROR(__xludf.DUMMYFUNCTION("GOOGLETRANSLATE(B223, ""en"", ""he"")"),"להציל")</f>
        <v>להציל</v>
      </c>
      <c r="Q223" s="4" t="str">
        <f>IFERROR(__xludf.DUMMYFUNCTION("GOOGLETRANSLATE(B223, ""en"", ""cs"")"),"Uložit")</f>
        <v>Uložit</v>
      </c>
      <c r="R223" s="4" t="str">
        <f>IFERROR(__xludf.DUMMYFUNCTION("GOOGLETRANSLATE(B223, ""en"", ""it"")"),"Salva")</f>
        <v>Salva</v>
      </c>
      <c r="S223" s="4" t="str">
        <f>IFERROR(__xludf.DUMMYFUNCTION("GOOGLETRANSLATE(B223, ""en"", ""el"")"),"Αποθηκεύσετε")</f>
        <v>Αποθηκεύσετε</v>
      </c>
    </row>
    <row r="224" ht="15.75" customHeight="1">
      <c r="A224" s="4" t="s">
        <v>460</v>
      </c>
      <c r="B224" s="4" t="s">
        <v>461</v>
      </c>
      <c r="C224" s="4" t="str">
        <f>IFERROR(__xludf.DUMMYFUNCTION("GOOGLETRANSLATE(B224, ""en"", ""es"")"),"Saltar")</f>
        <v>Saltar</v>
      </c>
      <c r="D224" s="4" t="str">
        <f>IFERROR(__xludf.DUMMYFUNCTION("GOOGLETRANSLATE(B224, ""en"", ""pt"")"),"Pular")</f>
        <v>Pular</v>
      </c>
      <c r="E224" s="4" t="str">
        <f>IFERROR(__xludf.DUMMYFUNCTION("GOOGLETRANSLATE(B224, ""en"", ""ar"")"),"يتخطى")</f>
        <v>يتخطى</v>
      </c>
      <c r="F224" s="4" t="str">
        <f>IFERROR(__xludf.DUMMYFUNCTION("GOOGLETRANSLATE(B224, ""en"", ""km"")"),"លោតផ្លោហ")</f>
        <v>លោតផ្លោហ</v>
      </c>
      <c r="G224" s="4" t="str">
        <f>IFERROR(__xludf.DUMMYFUNCTION("GOOGLETRANSLATE(B224, ""en"", ""fr"")"),"Sauter")</f>
        <v>Sauter</v>
      </c>
      <c r="H224" s="4" t="str">
        <f>IFERROR(__xludf.DUMMYFUNCTION("GOOGLETRANSLATE(B224, ""en"", ""ro"")"),"Ocolire")</f>
        <v>Ocolire</v>
      </c>
      <c r="I224" s="4" t="str">
        <f>IFERROR(__xludf.DUMMYFUNCTION("GOOGLETRANSLATE(B224, ""en"", ""my"")"),"ကြိုးခုန်")</f>
        <v>ကြိုးခုန်</v>
      </c>
      <c r="J224" s="4" t="str">
        <f>IFERROR(__xludf.DUMMYFUNCTION("GOOGLETRANSLATE(B224, ""en"", ""sw"")"),"Skip")</f>
        <v>Skip</v>
      </c>
      <c r="K224" s="4" t="str">
        <f>IFERROR(__xludf.DUMMYFUNCTION("GOOGLETRANSLATE(B224, ""en"", ""th"")"),"ข้าม")</f>
        <v>ข้าม</v>
      </c>
      <c r="L224" s="4" t="str">
        <f>IFERROR(__xludf.DUMMYFUNCTION("GOOGLETRANSLATE(B224, ""en"", ""si"")"),"මඟහරින්න")</f>
        <v>මඟහරින්න</v>
      </c>
      <c r="M224" s="4" t="str">
        <f>IFERROR(__xludf.DUMMYFUNCTION("GOOGLETRANSLATE(B224, ""en"", ""vi"")"),"Nhảy")</f>
        <v>Nhảy</v>
      </c>
      <c r="N224" s="4" t="str">
        <f>IFERROR(__xludf.DUMMYFUNCTION("GOOGLETRANSLATE(B224, ""en"", ""ne"")"),"स्कीप खेल्नु")</f>
        <v>स्कीप खेल्नु</v>
      </c>
      <c r="O224" s="4" t="str">
        <f>IFERROR(__xludf.DUMMYFUNCTION("GOOGLETRANSLATE(B224, ""en"", ""de"")"),"Überspringen")</f>
        <v>Überspringen</v>
      </c>
      <c r="P224" s="4" t="str">
        <f>IFERROR(__xludf.DUMMYFUNCTION("GOOGLETRANSLATE(B224, ""en"", ""he"")"),"לדלג")</f>
        <v>לדלג</v>
      </c>
      <c r="Q224" s="4" t="str">
        <f>IFERROR(__xludf.DUMMYFUNCTION("GOOGLETRANSLATE(B224, ""en"", ""cs"")"),"Přeskočit")</f>
        <v>Přeskočit</v>
      </c>
      <c r="R224" s="4" t="str">
        <f>IFERROR(__xludf.DUMMYFUNCTION("GOOGLETRANSLATE(B224, ""en"", ""it"")"),"Saltare")</f>
        <v>Saltare</v>
      </c>
      <c r="S224" s="4" t="str">
        <f>IFERROR(__xludf.DUMMYFUNCTION("GOOGLETRANSLATE(B224, ""en"", ""el"")"),"Παραλείπω")</f>
        <v>Παραλείπω</v>
      </c>
    </row>
    <row r="225" ht="15.75" customHeight="1">
      <c r="A225" s="4" t="s">
        <v>462</v>
      </c>
      <c r="B225" s="4" t="s">
        <v>463</v>
      </c>
      <c r="C225" s="4" t="str">
        <f>IFERROR(__xludf.DUMMYFUNCTION("GOOGLETRANSLATE(B225, ""en"", ""es"")"),"¡Excelente! Se enfrió con éxito.")</f>
        <v>¡Excelente! Se enfrió con éxito.</v>
      </c>
      <c r="D225" s="4" t="str">
        <f>IFERROR(__xludf.DUMMYFUNCTION("GOOGLETRANSLATE(B225, ""en"", ""pt"")"),"Excelente! Resfriado com sucesso.")</f>
        <v>Excelente! Resfriado com sucesso.</v>
      </c>
      <c r="E225" s="4" t="str">
        <f>IFERROR(__xludf.DUMMYFUNCTION("GOOGLETRANSLATE(B225, ""en"", ""ar"")"),"ممتاز! تبريد بنجاح أسفل.")</f>
        <v>ممتاز! تبريد بنجاح أسفل.</v>
      </c>
      <c r="F225" s="4" t="str">
        <f>IFERROR(__xludf.DUMMYFUNCTION("GOOGLETRANSLATE(B225, ""en"", ""km"")"),"ល្អណាស់! ត្រជាក់ដោយជោគជ័យ។")</f>
        <v>ល្អណាស់! ត្រជាក់ដោយជោគជ័យ។</v>
      </c>
      <c r="G225" s="4" t="str">
        <f>IFERROR(__xludf.DUMMYFUNCTION("GOOGLETRANSLATE(B225, ""en"", ""fr"")"),"Excellent! Refroidi avec succès.")</f>
        <v>Excellent! Refroidi avec succès.</v>
      </c>
      <c r="H225" s="4" t="str">
        <f>IFERROR(__xludf.DUMMYFUNCTION("GOOGLETRANSLATE(B225, ""en"", ""ro"")"),"Excelent! Răcit cu succes în jos.")</f>
        <v>Excelent! Răcit cu succes în jos.</v>
      </c>
      <c r="I225" s="4" t="str">
        <f>IFERROR(__xludf.DUMMYFUNCTION("GOOGLETRANSLATE(B225, ""en"", ""my"")"),"အလွန်ကောင်းသည်! အောင်မြင်စွာအအေး။")</f>
        <v>အလွန်ကောင်းသည်! အောင်မြင်စွာအအေး။</v>
      </c>
      <c r="J225" s="4" t="str">
        <f>IFERROR(__xludf.DUMMYFUNCTION("GOOGLETRANSLATE(B225, ""en"", ""sw"")"),"Bora! Kwa ufanisi kilichopozwa.")</f>
        <v>Bora! Kwa ufanisi kilichopozwa.</v>
      </c>
      <c r="K225" s="4" t="str">
        <f>IFERROR(__xludf.DUMMYFUNCTION("GOOGLETRANSLATE(B225, ""en"", ""th"")"),"ยอดเยี่ยม! ระบายความร้อนลงได้สำเร็จ")</f>
        <v>ยอดเยี่ยม! ระบายความร้อนลงได้สำเร็จ</v>
      </c>
      <c r="L225" s="4" t="str">
        <f>IFERROR(__xludf.DUMMYFUNCTION("GOOGLETRANSLATE(B225, ""en"", ""si"")"),"විශිෂ්ටයි! සාර්ථකව සිසිල් විය.")</f>
        <v>විශිෂ්ටයි! සාර්ථකව සිසිල් විය.</v>
      </c>
      <c r="M225" s="4" t="str">
        <f>IFERROR(__xludf.DUMMYFUNCTION("GOOGLETRANSLATE(B225, ""en"", ""vi"")"),"Xuất sắc! Hạ nhiệt thành công.")</f>
        <v>Xuất sắc! Hạ nhiệt thành công.</v>
      </c>
      <c r="N225" s="4" t="str">
        <f>IFERROR(__xludf.DUMMYFUNCTION("GOOGLETRANSLATE(B225, ""en"", ""ne"")"),"उत्कृष्ट! सफलतापूर्वक तल चिसो।")</f>
        <v>उत्कृष्ट! सफलतापूर्वक तल चिसो।</v>
      </c>
      <c r="O225" s="4" t="str">
        <f>IFERROR(__xludf.DUMMYFUNCTION("GOOGLETRANSLATE(B225, ""en"", ""de"")"),"Exzellent! Erfolgreich abgekühlt.")</f>
        <v>Exzellent! Erfolgreich abgekühlt.</v>
      </c>
      <c r="P225" s="4" t="str">
        <f>IFERROR(__xludf.DUMMYFUNCTION("GOOGLETRANSLATE(B225, ""en"", ""he"")"),"מְעוּלֶה! מתקרר בהצלחה.")</f>
        <v>מְעוּלֶה! מתקרר בהצלחה.</v>
      </c>
      <c r="Q225" s="4" t="str">
        <f>IFERROR(__xludf.DUMMYFUNCTION("GOOGLETRANSLATE(B225, ""en"", ""cs"")"),"Vynikající! Úspěšně se ochladí.")</f>
        <v>Vynikající! Úspěšně se ochladí.</v>
      </c>
      <c r="R225" s="4" t="str">
        <f>IFERROR(__xludf.DUMMYFUNCTION("GOOGLETRANSLATE(B225, ""en"", ""it"")"),"Eccellente! Raffreddato con successo.")</f>
        <v>Eccellente! Raffreddato con successo.</v>
      </c>
      <c r="S225" s="4" t="str">
        <f>IFERROR(__xludf.DUMMYFUNCTION("GOOGLETRANSLATE(B225, ""en"", ""el"")"),"Εξοχος! Ψύχεται με επιτυχία.")</f>
        <v>Εξοχος! Ψύχεται με επιτυχία.</v>
      </c>
    </row>
    <row r="226" ht="15.75" customHeight="1">
      <c r="A226" s="4" t="s">
        <v>464</v>
      </c>
      <c r="B226" s="4" t="s">
        <v>465</v>
      </c>
      <c r="C226" s="4" t="str">
        <f>IFERROR(__xludf.DUMMYFUNCTION("GOOGLETRANSLATE(B226, ""en"", ""es"")"),"Limpie los archivos más profundamente para liberar más espacio")</f>
        <v>Limpie los archivos más profundamente para liberar más espacio</v>
      </c>
      <c r="D226" s="4" t="str">
        <f>IFERROR(__xludf.DUMMYFUNCTION("GOOGLETRANSLATE(B226, ""en"", ""pt"")"),"Limpar arquivos mais profundamente para liberar mais espaço")</f>
        <v>Limpar arquivos mais profundamente para liberar mais espaço</v>
      </c>
      <c r="E226" s="4" t="str">
        <f>IFERROR(__xludf.DUMMYFUNCTION("GOOGLETRANSLATE(B226, ""en"", ""ar"")"),"تنظيف الملفات بعمق أكبر لإصدار مساحة أكبر")</f>
        <v>تنظيف الملفات بعمق أكبر لإصدار مساحة أكبر</v>
      </c>
      <c r="F226" s="4" t="str">
        <f>IFERROR(__xludf.DUMMYFUNCTION("GOOGLETRANSLATE(B226, ""en"", ""km"")"),"សម្អាតឯកសារឱ្យកាន់តែស៊ីជម្រៅក្នុងការបញ្ចេញទំហំកាន់តែច្រើន")</f>
        <v>សម្អាតឯកសារឱ្យកាន់តែស៊ីជម្រៅក្នុងការបញ្ចេញទំហំកាន់តែច្រើន</v>
      </c>
      <c r="G226" s="4" t="str">
        <f>IFERROR(__xludf.DUMMYFUNCTION("GOOGLETRANSLATE(B226, ""en"", ""fr"")"),"Nettoyer des fichiers plus profondément pour libérer plus d'espace")</f>
        <v>Nettoyer des fichiers plus profondément pour libérer plus d'espace</v>
      </c>
      <c r="H226" s="4" t="str">
        <f>IFERROR(__xludf.DUMMYFUNCTION("GOOGLETRANSLATE(B226, ""en"", ""ro"")"),"Curățați fișierele mai profund pentru a elibera mai mult spațiu")</f>
        <v>Curățați fișierele mai profund pentru a elibera mai mult spațiu</v>
      </c>
      <c r="I226" s="4" t="str">
        <f>IFERROR(__xludf.DUMMYFUNCTION("GOOGLETRANSLATE(B226, ""en"", ""my"")"),"ပိုမိုနေရာကိုလွှတ်ပေးရန်ဖိုင်များကိုပိုမိုနက်ရှိုင်းစွာရှင်းလင်းပါ")</f>
        <v>ပိုမိုနေရာကိုလွှတ်ပေးရန်ဖိုင်များကိုပိုမိုနက်ရှိုင်းစွာရှင်းလင်းပါ</v>
      </c>
      <c r="J226" s="4" t="str">
        <f>IFERROR(__xludf.DUMMYFUNCTION("GOOGLETRANSLATE(B226, ""en"", ""sw"")"),"Futa faili zaidi kwa undani kutolewa nafasi zaidi")</f>
        <v>Futa faili zaidi kwa undani kutolewa nafasi zaidi</v>
      </c>
      <c r="K226" s="4" t="str">
        <f>IFERROR(__xludf.DUMMYFUNCTION("GOOGLETRANSLATE(B226, ""en"", ""th"")"),"ทำความสะอาดไฟล์ที่ลึกซึ้งยิ่งขึ้นเพื่อปล่อยพื้นที่มากขึ้น")</f>
        <v>ทำความสะอาดไฟล์ที่ลึกซึ้งยิ่งขึ้นเพื่อปล่อยพื้นที่มากขึ้น</v>
      </c>
      <c r="L226" s="4" t="str">
        <f>IFERROR(__xludf.DUMMYFUNCTION("GOOGLETRANSLATE(B226, ""en"", ""si"")"),"වැඩි ඉඩක් මුදා හැරීම සඳහා ලිපිගොනු පිරිසිදු කරන්න")</f>
        <v>වැඩි ඉඩක් මුදා හැරීම සඳහා ලිපිගොනු පිරිසිදු කරන්න</v>
      </c>
      <c r="M226" s="4" t="str">
        <f>IFERROR(__xludf.DUMMYFUNCTION("GOOGLETRANSLATE(B226, ""en"", ""vi"")"),"Dọn dẹp các tập tin sâu hơn để phát hành nhiều không gian hơn")</f>
        <v>Dọn dẹp các tập tin sâu hơn để phát hành nhiều không gian hơn</v>
      </c>
      <c r="N226" s="4" t="str">
        <f>IFERROR(__xludf.DUMMYFUNCTION("GOOGLETRANSLATE(B226, ""en"", ""ne"")"),"अधिक अन्तरिक्ष रिलीज गर्न अधिक गहिरो फाईलहरू सफा गर्नुहोस्")</f>
        <v>अधिक अन्तरिक्ष रिलीज गर्न अधिक गहिरो फाईलहरू सफा गर्नुहोस्</v>
      </c>
      <c r="O226" s="4" t="str">
        <f>IFERROR(__xludf.DUMMYFUNCTION("GOOGLETRANSLATE(B226, ""en"", ""de"")"),"Reinigen Sie Dateien tiefer, um mehr Platz freizusetzen")</f>
        <v>Reinigen Sie Dateien tiefer, um mehr Platz freizusetzen</v>
      </c>
      <c r="P226" s="4" t="str">
        <f>IFERROR(__xludf.DUMMYFUNCTION("GOOGLETRANSLATE(B226, ""en"", ""he"")"),"לנקות קבצים עמוק יותר לשחרר יותר מקום")</f>
        <v>לנקות קבצים עמוק יותר לשחרר יותר מקום</v>
      </c>
      <c r="Q226" s="4" t="str">
        <f>IFERROR(__xludf.DUMMYFUNCTION("GOOGLETRANSLATE(B226, ""en"", ""cs"")"),"Vyčistěte soubory více hluboce k uvolnění více prostoru")</f>
        <v>Vyčistěte soubory více hluboce k uvolnění více prostoru</v>
      </c>
      <c r="R226" s="4" t="str">
        <f>IFERROR(__xludf.DUMMYFUNCTION("GOOGLETRANSLATE(B226, ""en"", ""it"")"),"Ripulisci i file più profondamente per rilasciare più spazio")</f>
        <v>Ripulisci i file più profondamente per rilasciare più spazio</v>
      </c>
      <c r="S226" s="4" t="str">
        <f>IFERROR(__xludf.DUMMYFUNCTION("GOOGLETRANSLATE(B226, ""en"", ""el"")"),"Καθαρίστε τα αρχεία πιο βαθιά για να απελευθερώσετε περισσότερο χώρο")</f>
        <v>Καθαρίστε τα αρχεία πιο βαθιά για να απελευθερώσετε περισσότερο χώρο</v>
      </c>
    </row>
    <row r="227" ht="15.75" customHeight="1">
      <c r="A227" s="4" t="s">
        <v>466</v>
      </c>
      <c r="B227" s="4" t="s">
        <v>467</v>
      </c>
      <c r="C227" s="4" t="str">
        <f>IFERROR(__xludf.DUMMYFUNCTION("GOOGLETRANSLATE(B227, ""en"", ""es"")"),"Empieza en")</f>
        <v>Empieza en</v>
      </c>
      <c r="D227" s="4" t="str">
        <f>IFERROR(__xludf.DUMMYFUNCTION("GOOGLETRANSLATE(B227, ""en"", ""pt"")"),"Começa ás")</f>
        <v>Começa ás</v>
      </c>
      <c r="E227" s="4" t="str">
        <f>IFERROR(__xludf.DUMMYFUNCTION("GOOGLETRANSLATE(B227, ""en"", ""ar"")"),"تبدأ في")</f>
        <v>تبدأ في</v>
      </c>
      <c r="F227" s="4" t="str">
        <f>IFERROR(__xludf.DUMMYFUNCTION("GOOGLETRANSLATE(B227, ""en"", ""km"")"),"ចាប់ផ្តើមនៅ")</f>
        <v>ចាប់ផ្តើមនៅ</v>
      </c>
      <c r="G227" s="4" t="str">
        <f>IFERROR(__xludf.DUMMYFUNCTION("GOOGLETRANSLATE(B227, ""en"", ""fr"")"),"Commencer à")</f>
        <v>Commencer à</v>
      </c>
      <c r="H227" s="4" t="str">
        <f>IFERROR(__xludf.DUMMYFUNCTION("GOOGLETRANSLATE(B227, ""en"", ""ro"")"),"Incepe la")</f>
        <v>Incepe la</v>
      </c>
      <c r="I227" s="4" t="str">
        <f>IFERROR(__xludf.DUMMYFUNCTION("GOOGLETRANSLATE(B227, ""en"", ""my"")"),"စတင်ပါ")</f>
        <v>စတင်ပါ</v>
      </c>
      <c r="J227" s="4" t="str">
        <f>IFERROR(__xludf.DUMMYFUNCTION("GOOGLETRANSLATE(B227, ""en"", ""sw"")"),"Anza AT")</f>
        <v>Anza AT</v>
      </c>
      <c r="K227" s="4" t="str">
        <f>IFERROR(__xludf.DUMMYFUNCTION("GOOGLETRANSLATE(B227, ""en"", ""th"")"),"เริ่มต้นที่")</f>
        <v>เริ่มต้นที่</v>
      </c>
      <c r="L227" s="4" t="str">
        <f>IFERROR(__xludf.DUMMYFUNCTION("GOOGLETRANSLATE(B227, ""en"", ""si"")"),"ආරම්භ කරන්න")</f>
        <v>ආරම්භ කරන්න</v>
      </c>
      <c r="M227" s="4" t="str">
        <f>IFERROR(__xludf.DUMMYFUNCTION("GOOGLETRANSLATE(B227, ""en"", ""vi"")"),"Bắt đầu tại")</f>
        <v>Bắt đầu tại</v>
      </c>
      <c r="N227" s="4" t="str">
        <f>IFERROR(__xludf.DUMMYFUNCTION("GOOGLETRANSLATE(B227, ""en"", ""ne"")"),"मा शुरू")</f>
        <v>मा शुरू</v>
      </c>
      <c r="O227" s="4" t="str">
        <f>IFERROR(__xludf.DUMMYFUNCTION("GOOGLETRANSLATE(B227, ""en"", ""de"")"),"Beginne bei")</f>
        <v>Beginne bei</v>
      </c>
      <c r="P227" s="4" t="str">
        <f>IFERROR(__xludf.DUMMYFUNCTION("GOOGLETRANSLATE(B227, ""en"", ""he"")"),"מתחיל ב")</f>
        <v>מתחיל ב</v>
      </c>
      <c r="Q227" s="4" t="str">
        <f>IFERROR(__xludf.DUMMYFUNCTION("GOOGLETRANSLATE(B227, ""en"", ""cs"")"),"Začátek v")</f>
        <v>Začátek v</v>
      </c>
      <c r="R227" s="4" t="str">
        <f>IFERROR(__xludf.DUMMYFUNCTION("GOOGLETRANSLATE(B227, ""en"", ""it"")"),"Iniziare a")</f>
        <v>Iniziare a</v>
      </c>
      <c r="S227" s="4" t="str">
        <f>IFERROR(__xludf.DUMMYFUNCTION("GOOGLETRANSLATE(B227, ""en"", ""el"")"),"Ξεκίνα στις")</f>
        <v>Ξεκίνα στις</v>
      </c>
    </row>
    <row r="228" ht="15.75" customHeight="1">
      <c r="A228" s="4" t="s">
        <v>468</v>
      </c>
      <c r="B228" s="4" t="s">
        <v>469</v>
      </c>
      <c r="C228" s="4" t="str">
        <f>IFERROR(__xludf.DUMMYFUNCTION("GOOGLETRANSLATE(B228, ""en"", ""es"")"),"Limpieza completada!")</f>
        <v>Limpieza completada!</v>
      </c>
      <c r="D228" s="4" t="str">
        <f>IFERROR(__xludf.DUMMYFUNCTION("GOOGLETRANSLATE(B228, ""en"", ""pt"")"),"Limpeza concluída!")</f>
        <v>Limpeza concluída!</v>
      </c>
      <c r="E228" s="4" t="str">
        <f>IFERROR(__xludf.DUMMYFUNCTION("GOOGLETRANSLATE(B228, ""en"", ""ar"")"),"الانتهاء من التنظيف!")</f>
        <v>الانتهاء من التنظيف!</v>
      </c>
      <c r="F228" s="4" t="str">
        <f>IFERROR(__xludf.DUMMYFUNCTION("GOOGLETRANSLATE(B228, ""en"", ""km"")"),"ការសម្អាតបានបញ្ចប់!")</f>
        <v>ការសម្អាតបានបញ្ចប់!</v>
      </c>
      <c r="G228" s="4" t="str">
        <f>IFERROR(__xludf.DUMMYFUNCTION("GOOGLETRANSLATE(B228, ""en"", ""fr"")"),"Nettoyage terminé!")</f>
        <v>Nettoyage terminé!</v>
      </c>
      <c r="H228" s="4" t="str">
        <f>IFERROR(__xludf.DUMMYFUNCTION("GOOGLETRANSLATE(B228, ""en"", ""ro"")"),"Curățarea finalizată!")</f>
        <v>Curățarea finalizată!</v>
      </c>
      <c r="I228" s="4" t="str">
        <f>IFERROR(__xludf.DUMMYFUNCTION("GOOGLETRANSLATE(B228, ""en"", ""my"")"),"သန့်ရှင်းရေးပြီးစီးခဲ့!")</f>
        <v>သန့်ရှင်းရေးပြီးစီးခဲ့!</v>
      </c>
      <c r="J228" s="4" t="str">
        <f>IFERROR(__xludf.DUMMYFUNCTION("GOOGLETRANSLATE(B228, ""en"", ""sw"")"),"Kusafisha kukamilika!")</f>
        <v>Kusafisha kukamilika!</v>
      </c>
      <c r="K228" s="4" t="str">
        <f>IFERROR(__xludf.DUMMYFUNCTION("GOOGLETRANSLATE(B228, ""en"", ""th"")"),"การทำความสะอาดเสร็จสมบูรณ์!")</f>
        <v>การทำความสะอาดเสร็จสมบูรณ์!</v>
      </c>
      <c r="L228" s="4" t="str">
        <f>IFERROR(__xludf.DUMMYFUNCTION("GOOGLETRANSLATE(B228, ""en"", ""si"")"),"පිරිසිදු කිරීම සම්පූර්ණයි!")</f>
        <v>පිරිසිදු කිරීම සම්පූර්ණයි!</v>
      </c>
      <c r="M228" s="4" t="str">
        <f>IFERROR(__xludf.DUMMYFUNCTION("GOOGLETRANSLATE(B228, ""en"", ""vi"")"),"Hoàn thành việc dọn dẹp!")</f>
        <v>Hoàn thành việc dọn dẹp!</v>
      </c>
      <c r="N228" s="4" t="str">
        <f>IFERROR(__xludf.DUMMYFUNCTION("GOOGLETRANSLATE(B228, ""en"", ""ne"")"),"सफाई पूरा भयो!")</f>
        <v>सफाई पूरा भयो!</v>
      </c>
      <c r="O228" s="4" t="str">
        <f>IFERROR(__xludf.DUMMYFUNCTION("GOOGLETRANSLATE(B228, ""en"", ""de"")"),"Reinigung abgeschlossen!")</f>
        <v>Reinigung abgeschlossen!</v>
      </c>
      <c r="P228" s="4" t="str">
        <f>IFERROR(__xludf.DUMMYFUNCTION("GOOGLETRANSLATE(B228, ""en"", ""he"")"),"ניקוי הושלם!")</f>
        <v>ניקוי הושלם!</v>
      </c>
      <c r="Q228" s="4" t="str">
        <f>IFERROR(__xludf.DUMMYFUNCTION("GOOGLETRANSLATE(B228, ""en"", ""cs"")"),"Úklid dokončeno!")</f>
        <v>Úklid dokončeno!</v>
      </c>
      <c r="R228" s="4" t="str">
        <f>IFERROR(__xludf.DUMMYFUNCTION("GOOGLETRANSLATE(B228, ""en"", ""it"")"),"Pulizia completata!")</f>
        <v>Pulizia completata!</v>
      </c>
      <c r="S228" s="4" t="str">
        <f>IFERROR(__xludf.DUMMYFUNCTION("GOOGLETRANSLATE(B228, ""en"", ""el"")"),"Ο καθαρισμός ολοκληρώθηκε!")</f>
        <v>Ο καθαρισμός ολοκληρώθηκε!</v>
      </c>
    </row>
    <row r="229" ht="15.75" customHeight="1">
      <c r="A229" s="4" t="s">
        <v>470</v>
      </c>
      <c r="B229" s="4" t="s">
        <v>471</v>
      </c>
      <c r="C229" s="4" t="str">
        <f>IFERROR(__xludf.DUMMYFUNCTION("GOOGLETRANSLATE(B229, ""en"", ""es"")"),"CPU enfriada a 10 ° С ...")</f>
        <v>CPU enfriada a 10 ° С ...</v>
      </c>
      <c r="D229" s="4" t="str">
        <f>IFERROR(__xludf.DUMMYFUNCTION("GOOGLETRANSLATE(B229, ""en"", ""pt"")"),"CPU refrigerado a 10 ° С ...")</f>
        <v>CPU refrigerado a 10 ° С ...</v>
      </c>
      <c r="E229" s="4" t="str">
        <f>IFERROR(__xludf.DUMMYFUNCTION("GOOGLETRANSLATE(B229, ""en"", ""ar"")"),"وحدة المعالجة المركزية المبردة إلى 10 درجات ...")</f>
        <v>وحدة المعالجة المركزية المبردة إلى 10 درجات ...</v>
      </c>
      <c r="F229" s="4" t="str">
        <f>IFERROR(__xludf.DUMMYFUNCTION("GOOGLETRANSLATE(B229, ""en"", ""km"")"),"ស៊ីភីយូត្រជាក់ដល់ 10 អង្សារ ...")</f>
        <v>ស៊ីភីយូត្រជាក់ដល់ 10 អង្សារ ...</v>
      </c>
      <c r="G229" s="4" t="str">
        <f>IFERROR(__xludf.DUMMYFUNCTION("GOOGLETRANSLATE(B229, ""en"", ""fr"")"),"CPU refroidi à 10 ° C ...")</f>
        <v>CPU refroidi à 10 ° C ...</v>
      </c>
      <c r="H229" s="4" t="str">
        <f>IFERROR(__xludf.DUMMYFUNCTION("GOOGLETRANSLATE(B229, ""en"", ""ro"")"),"CPU răcit la 10 ° С ...")</f>
        <v>CPU răcit la 10 ° С ...</v>
      </c>
      <c r="I229" s="4" t="str">
        <f>IFERROR(__xludf.DUMMYFUNCTION("GOOGLETRANSLATE(B229, ""en"", ""my"")"),"CPU မှ 10 °сမှအအေးခံ")</f>
        <v>CPU မှ 10 °сမှအအေးခံ</v>
      </c>
      <c r="J229" s="4" t="str">
        <f>IFERROR(__xludf.DUMMYFUNCTION("GOOGLETRANSLATE(B229, ""en"", ""sw"")"),"CPU iliyopozwa hadi 10 ° С ...")</f>
        <v>CPU iliyopozwa hadi 10 ° С ...</v>
      </c>
      <c r="K229" s="4" t="str">
        <f>IFERROR(__xludf.DUMMYFUNCTION("GOOGLETRANSLATE(B229, ""en"", ""th"")"),"COLED CPU ถึง 10 °С ...")</f>
        <v>COLED CPU ถึง 10 °С ...</v>
      </c>
      <c r="L229" s="4" t="str">
        <f>IFERROR(__xludf.DUMMYFUNCTION("GOOGLETRANSLATE(B229, ""en"", ""si"")"),"CPU සිට 10 с දක්වා සිසිල් කරනු ලැබේ ...")</f>
        <v>CPU සිට 10 с දක්වා සිසිල් කරනු ලැබේ ...</v>
      </c>
      <c r="M229" s="4" t="str">
        <f>IFERROR(__xludf.DUMMYFUNCTION("GOOGLETRANSLATE(B229, ""en"", ""vi"")"),"CPU nguội đến 10 ° ...")</f>
        <v>CPU nguội đến 10 ° ...</v>
      </c>
      <c r="N229" s="4" t="str">
        <f>IFERROR(__xludf.DUMMYFUNCTION("GOOGLETRANSLATE(B229, ""en"", ""ne"")"),"चिसो CPU 10 ° ° _ ... ...")</f>
        <v>चिसो CPU 10 ° ° _ ... ...</v>
      </c>
      <c r="O229" s="4" t="str">
        <f>IFERROR(__xludf.DUMMYFUNCTION("GOOGLETRANSLATE(B229, ""en"", ""de"")"),"CPU auf 10 ° C ...")</f>
        <v>CPU auf 10 ° C ...</v>
      </c>
      <c r="P229" s="4" t="str">
        <f>IFERROR(__xludf.DUMMYFUNCTION("GOOGLETRANSLATE(B229, ""en"", ""he"")"),"מקורר מעבד עד 10 מעלות ° ...")</f>
        <v>מקורר מעבד עד 10 מעלות ° ...</v>
      </c>
      <c r="Q229" s="4" t="str">
        <f>IFERROR(__xludf.DUMMYFUNCTION("GOOGLETRANSLATE(B229, ""en"", ""cs"")"),"Chlazené CPU na 10 ° C ...")</f>
        <v>Chlazené CPU na 10 ° C ...</v>
      </c>
      <c r="R229" s="4" t="str">
        <f>IFERROR(__xludf.DUMMYFUNCTION("GOOGLETRANSLATE(B229, ""en"", ""it"")"),"CPU raffreddato a 10 ° С ...")</f>
        <v>CPU raffreddato a 10 ° С ...</v>
      </c>
      <c r="S229" s="4" t="str">
        <f>IFERROR(__xludf.DUMMYFUNCTION("GOOGLETRANSLATE(B229, ""en"", ""el"")"),"Ψύξη CPU σε 10 ° C ...")</f>
        <v>Ψύξη CPU σε 10 ° C ...</v>
      </c>
    </row>
    <row r="230" ht="15.75" customHeight="1">
      <c r="A230" s="4" t="s">
        <v>472</v>
      </c>
      <c r="B230" s="4" t="s">
        <v>473</v>
      </c>
      <c r="C230" s="4" t="str">
        <f>IFERROR(__xludf.DUMMYFUNCTION("GOOGLETRANSLATE(B230, ""en"", ""es"")"),"Esta aplicación puede leer sus SMS privados y es un riesgo para su privacidad.")</f>
        <v>Esta aplicación puede leer sus SMS privados y es un riesgo para su privacidad.</v>
      </c>
      <c r="D230" s="4" t="str">
        <f>IFERROR(__xludf.DUMMYFUNCTION("GOOGLETRANSLATE(B230, ""en"", ""pt"")"),"Este aplicativo pode ler seu SMS privado e é um risco para sua privacidade.")</f>
        <v>Este aplicativo pode ler seu SMS privado e é um risco para sua privacidade.</v>
      </c>
      <c r="E230" s="4" t="str">
        <f>IFERROR(__xludf.DUMMYFUNCTION("GOOGLETRANSLATE(B230, ""en"", ""ar"")"),"يمكن لهذا التطبيق قراءة الرسائل القصيرة الخاصة بك وهو مخاطر خصوصيتك.")</f>
        <v>يمكن لهذا التطبيق قراءة الرسائل القصيرة الخاصة بك وهو مخاطر خصوصيتك.</v>
      </c>
      <c r="F230" s="4" t="str">
        <f>IFERROR(__xludf.DUMMYFUNCTION("GOOGLETRANSLATE(B230, ""en"", ""km"")"),"កម្មវិធីនេះអាចអានសារធំរបស់អ្នកហើយជាហានិភ័យសម្រាប់ភាពឯកជនរបស់អ្នក។")</f>
        <v>កម្មវិធីនេះអាចអានសារធំរបស់អ្នកហើយជាហានិភ័យសម្រាប់ភាពឯកជនរបស់អ្នក។</v>
      </c>
      <c r="G230" s="4" t="str">
        <f>IFERROR(__xludf.DUMMYFUNCTION("GOOGLETRANSLATE(B230, ""en"", ""fr"")"),"Cette application peut lire vos SMS privés et est un risque pour votre vie privée.")</f>
        <v>Cette application peut lire vos SMS privés et est un risque pour votre vie privée.</v>
      </c>
      <c r="H230" s="4" t="str">
        <f>IFERROR(__xludf.DUMMYFUNCTION("GOOGLETRANSLATE(B230, ""en"", ""ro"")"),"Această aplicație poate citi SMS-ul dvs. privat și este un risc pentru confidențialitatea dvs.")</f>
        <v>Această aplicație poate citi SMS-ul dvs. privat și este un risc pentru confidențialitatea dvs.</v>
      </c>
      <c r="I230" s="4" t="str">
        <f>IFERROR(__xludf.DUMMYFUNCTION("GOOGLETRANSLATE(B230, ""en"", ""my"")"),"ဤလျှောက်လွှာသည်သင်၏ပုဂ္ဂလိက SMS ကိုဖတ်နိုင်ပြီးသင်၏ privacy အတွက်အန္တရာယ်ဖြစ်သည်။")</f>
        <v>ဤလျှောက်လွှာသည်သင်၏ပုဂ္ဂလိက SMS ကိုဖတ်နိုင်ပြီးသင်၏ privacy အတွက်အန္တရာယ်ဖြစ်သည်။</v>
      </c>
      <c r="J230" s="4" t="str">
        <f>IFERROR(__xludf.DUMMYFUNCTION("GOOGLETRANSLATE(B230, ""en"", ""sw"")"),"Programu hii inaweza kusoma SMS yako binafsi na ni hatari ya faragha yako.")</f>
        <v>Programu hii inaweza kusoma SMS yako binafsi na ni hatari ya faragha yako.</v>
      </c>
      <c r="K230" s="4" t="str">
        <f>IFERROR(__xludf.DUMMYFUNCTION("GOOGLETRANSLATE(B230, ""en"", ""th"")"),"แอปพลิเคชั่นนี้สามารถอ่าน SMS ส่วนตัวของคุณและมีความเสี่ยงต่อความเป็นส่วนตัวของคุณ")</f>
        <v>แอปพลิเคชั่นนี้สามารถอ่าน SMS ส่วนตัวของคุณและมีความเสี่ยงต่อความเป็นส่วนตัวของคุณ</v>
      </c>
      <c r="L230" s="4" t="str">
        <f>IFERROR(__xludf.DUMMYFUNCTION("GOOGLETRANSLATE(B230, ""en"", ""si"")"),"මෙම යෙදුමට ඔබේ පුද්ගලික කෙටි පණිවුඩ කියවිය හැකි අතර එය ඔබේ පෞද්ගලිකත්වයට ඇති අවදානමකි.")</f>
        <v>මෙම යෙදුමට ඔබේ පුද්ගලික කෙටි පණිවුඩ කියවිය හැකි අතර එය ඔබේ පෞද්ගලිකත්වයට ඇති අවදානමකි.</v>
      </c>
      <c r="M230" s="4" t="str">
        <f>IFERROR(__xludf.DUMMYFUNCTION("GOOGLETRANSLATE(B230, ""en"", ""vi"")"),"Ứng dụng này có thể đọc SMS riêng của bạn và là một rủi ro cho quyền riêng tư của bạn.")</f>
        <v>Ứng dụng này có thể đọc SMS riêng của bạn và là một rủi ro cho quyền riêng tư của bạn.</v>
      </c>
      <c r="N230" s="4" t="str">
        <f>IFERROR(__xludf.DUMMYFUNCTION("GOOGLETRANSLATE(B230, ""en"", ""ne"")"),"यो अनुप्रयोगले तपाईंको निजी एसएमएस पढ्न सक्दछ र तपाईंको गोपनीयताका लागि जोखिम हो।")</f>
        <v>यो अनुप्रयोगले तपाईंको निजी एसएमएस पढ्न सक्दछ र तपाईंको गोपनीयताका लागि जोखिम हो।</v>
      </c>
      <c r="O230" s="4" t="str">
        <f>IFERROR(__xludf.DUMMYFUNCTION("GOOGLETRANSLATE(B230, ""en"", ""de"")"),"Diese Anwendung kann Ihre private SMS lesen und ist ein Risiko für Ihre Privatsphäre.")</f>
        <v>Diese Anwendung kann Ihre private SMS lesen und ist ein Risiko für Ihre Privatsphäre.</v>
      </c>
      <c r="P230" s="4" t="str">
        <f>IFERROR(__xludf.DUMMYFUNCTION("GOOGLETRANSLATE(B230, ""en"", ""he"")"),"יישום זה יכול לקרוא את ה- SMS הפרטי שלך והוא סיכון לפרטיות שלך.")</f>
        <v>יישום זה יכול לקרוא את ה- SMS הפרטי שלך והוא סיכון לפרטיות שלך.</v>
      </c>
      <c r="Q230" s="4" t="str">
        <f>IFERROR(__xludf.DUMMYFUNCTION("GOOGLETRANSLATE(B230, ""en"", ""cs"")"),"Tato aplikace si může přečíst vaše soukromé SMS a je rizikem pro vaše soukromí.")</f>
        <v>Tato aplikace si může přečíst vaše soukromé SMS a je rizikem pro vaše soukromí.</v>
      </c>
      <c r="R230" s="4" t="str">
        <f>IFERROR(__xludf.DUMMYFUNCTION("GOOGLETRANSLATE(B230, ""en"", ""it"")"),"Questa applicazione può leggere i tuoi SMS privati ​​ed è un rischio per la tua privacy.")</f>
        <v>Questa applicazione può leggere i tuoi SMS privati ​​ed è un rischio per la tua privacy.</v>
      </c>
      <c r="S230" s="4" t="str">
        <f>IFERROR(__xludf.DUMMYFUNCTION("GOOGLETRANSLATE(B230, ""en"", ""el"")"),"Αυτή η εφαρμογή μπορεί να διαβάσει το ιδιωτικό σας SMS και αποτελεί κίνδυνο για το απόρρητό σας.")</f>
        <v>Αυτή η εφαρμογή μπορεί να διαβάσει το ιδιωτικό σας SMS και αποτελεί κίνδυνο για το απόρρητό σας.</v>
      </c>
    </row>
    <row r="231" ht="15.75" customHeight="1">
      <c r="A231" s="4" t="s">
        <v>474</v>
      </c>
      <c r="B231" s="4" t="s">
        <v>475</v>
      </c>
      <c r="C231" s="4" t="str">
        <f>IFERROR(__xludf.DUMMYFUNCTION("GOOGLETRANSLATE(B231, ""en"", ""es"")"),"Crea acceso directo de pantalla de inicio")</f>
        <v>Crea acceso directo de pantalla de inicio</v>
      </c>
      <c r="D231" s="4" t="str">
        <f>IFERROR(__xludf.DUMMYFUNCTION("GOOGLETRANSLATE(B231, ""en"", ""pt"")"),"Criar atalho da tela inicial")</f>
        <v>Criar atalho da tela inicial</v>
      </c>
      <c r="E231" s="4" t="str">
        <f>IFERROR(__xludf.DUMMYFUNCTION("GOOGLETRANSLATE(B231, ""en"", ""ar"")"),"إنشاء اختصار الشاشة الرئيسية")</f>
        <v>إنشاء اختصار الشاشة الرئيسية</v>
      </c>
      <c r="F231" s="4" t="str">
        <f>IFERROR(__xludf.DUMMYFUNCTION("GOOGLETRANSLATE(B231, ""en"", ""km"")"),"បង្កើតផ្លូវកាត់អេក្រង់ដើម")</f>
        <v>បង្កើតផ្លូវកាត់អេក្រង់ដើម</v>
      </c>
      <c r="G231" s="4" t="str">
        <f>IFERROR(__xludf.DUMMYFUNCTION("GOOGLETRANSLATE(B231, ""en"", ""fr"")"),"Créer un raccourci d'écran d'accueil")</f>
        <v>Créer un raccourci d'écran d'accueil</v>
      </c>
      <c r="H231" s="4" t="str">
        <f>IFERROR(__xludf.DUMMYFUNCTION("GOOGLETRANSLATE(B231, ""en"", ""ro"")"),"Creați comanda rapidă a ecranului de pornire")</f>
        <v>Creați comanda rapidă a ecranului de pornire</v>
      </c>
      <c r="I231" s="4" t="str">
        <f>IFERROR(__xludf.DUMMYFUNCTION("GOOGLETRANSLATE(B231, ""en"", ""my"")"),"မူလမြင်ကွင်းဖြတ်လမ်းကိုဖန်တီးပါ")</f>
        <v>မူလမြင်ကွင်းဖြတ်လမ်းကိုဖန်တီးပါ</v>
      </c>
      <c r="J231" s="4" t="str">
        <f>IFERROR(__xludf.DUMMYFUNCTION("GOOGLETRANSLATE(B231, ""en"", ""sw"")"),"Unda mkato wa skrini ya nyumbani.")</f>
        <v>Unda mkato wa skrini ya nyumbani.</v>
      </c>
      <c r="K231" s="4" t="str">
        <f>IFERROR(__xludf.DUMMYFUNCTION("GOOGLETRANSLATE(B231, ""en"", ""th"")"),"สร้างทางลัดหน้าจอหลัก")</f>
        <v>สร้างทางลัดหน้าจอหลัก</v>
      </c>
      <c r="L231" s="4" t="str">
        <f>IFERROR(__xludf.DUMMYFUNCTION("GOOGLETRANSLATE(B231, ""en"", ""si"")"),"මුල් තිරයේ කෙටිමඟ සාදන්න")</f>
        <v>මුල් තිරයේ කෙටිමඟ සාදන්න</v>
      </c>
      <c r="M231" s="4" t="str">
        <f>IFERROR(__xludf.DUMMYFUNCTION("GOOGLETRANSLATE(B231, ""en"", ""vi"")"),"Tạo lối tắt màn hình chính")</f>
        <v>Tạo lối tắt màn hình chính</v>
      </c>
      <c r="N231" s="4" t="str">
        <f>IFERROR(__xludf.DUMMYFUNCTION("GOOGLETRANSLATE(B231, ""en"", ""ne"")"),"घर स्क्रीन सर्टकट सिर्जना गर्नुहोस्")</f>
        <v>घर स्क्रीन सर्टकट सिर्जना गर्नुहोस्</v>
      </c>
      <c r="O231" s="4" t="str">
        <f>IFERROR(__xludf.DUMMYFUNCTION("GOOGLETRANSLATE(B231, ""en"", ""de"")"),"Erstellen Sie eine Home-Bildschirm-Verknüpfung")</f>
        <v>Erstellen Sie eine Home-Bildschirm-Verknüpfung</v>
      </c>
      <c r="P231" s="4" t="str">
        <f>IFERROR(__xludf.DUMMYFUNCTION("GOOGLETRANSLATE(B231, ""en"", ""he"")"),"צור קיצור מסך הבית")</f>
        <v>צור קיצור מסך הבית</v>
      </c>
      <c r="Q231" s="4" t="str">
        <f>IFERROR(__xludf.DUMMYFUNCTION("GOOGLETRANSLATE(B231, ""en"", ""cs"")"),"Vytvořit zástupce domácí obrazovky")</f>
        <v>Vytvořit zástupce domácí obrazovky</v>
      </c>
      <c r="R231" s="4" t="str">
        <f>IFERROR(__xludf.DUMMYFUNCTION("GOOGLETRANSLATE(B231, ""en"", ""it"")"),"Crea una scorciatoia dalla schermata iniziale")</f>
        <v>Crea una scorciatoia dalla schermata iniziale</v>
      </c>
      <c r="S231" s="4" t="str">
        <f>IFERROR(__xludf.DUMMYFUNCTION("GOOGLETRANSLATE(B231, ""en"", ""el"")"),"Δημιουργία συντόμευσης αρχικής οθόνης")</f>
        <v>Δημιουργία συντόμευσης αρχικής οθόνης</v>
      </c>
    </row>
    <row r="232" ht="15.75" customHeight="1">
      <c r="A232" s="4" t="s">
        <v>476</v>
      </c>
      <c r="B232" s="4" t="s">
        <v>477</v>
      </c>
      <c r="C232" s="4" t="str">
        <f>IFERROR(__xludf.DUMMYFUNCTION("GOOGLETRANSLATE(B232, ""en"", ""es"")"),"El cargador inteligente te ayuda")</f>
        <v>El cargador inteligente te ayuda</v>
      </c>
      <c r="D232" s="4" t="str">
        <f>IFERROR(__xludf.DUMMYFUNCTION("GOOGLETRANSLATE(B232, ""en"", ""pt"")"),"Carregador inteligente ajudá-lo")</f>
        <v>Carregador inteligente ajudá-lo</v>
      </c>
      <c r="E232" s="4" t="str">
        <f>IFERROR(__xludf.DUMMYFUNCTION("GOOGLETRANSLATE(B232, ""en"", ""ar"")"),"شاحن ذكي يساعدك")</f>
        <v>شاحن ذكي يساعدك</v>
      </c>
      <c r="F232" s="4" t="str">
        <f>IFERROR(__xludf.DUMMYFUNCTION("GOOGLETRANSLATE(B232, ""en"", ""km"")"),"ឆ្នាំងសាកឆ្លាតជួយអ្នក")</f>
        <v>ឆ្នាំងសាកឆ្លាតជួយអ្នក</v>
      </c>
      <c r="G232" s="4" t="str">
        <f>IFERROR(__xludf.DUMMYFUNCTION("GOOGLETRANSLATE(B232, ""en"", ""fr"")"),"Smart Charger vous aident")</f>
        <v>Smart Charger vous aident</v>
      </c>
      <c r="H232" s="4" t="str">
        <f>IFERROR(__xludf.DUMMYFUNCTION("GOOGLETRANSLATE(B232, ""en"", ""ro"")"),"Încărcătorul inteligent vă ajută")</f>
        <v>Încărcătorul inteligent vă ajută</v>
      </c>
      <c r="I232" s="4" t="str">
        <f>IFERROR(__xludf.DUMMYFUNCTION("GOOGLETRANSLATE(B232, ""en"", ""my"")"),"Smart Charger ကသင့်ကိုကူညီပါ")</f>
        <v>Smart Charger ကသင့်ကိုကူညီပါ</v>
      </c>
      <c r="J232" s="4" t="str">
        <f>IFERROR(__xludf.DUMMYFUNCTION("GOOGLETRANSLATE(B232, ""en"", ""sw"")"),"Smart chaja kukusaidia")</f>
        <v>Smart chaja kukusaidia</v>
      </c>
      <c r="K232" s="4" t="str">
        <f>IFERROR(__xludf.DUMMYFUNCTION("GOOGLETRANSLATE(B232, ""en"", ""th"")"),"สมาร์ทชาร์จช่วยคุณ")</f>
        <v>สมาร์ทชาร์จช่วยคุณ</v>
      </c>
      <c r="L232" s="4" t="str">
        <f>IFERROR(__xludf.DUMMYFUNCTION("GOOGLETRANSLATE(B232, ""en"", ""si"")"),"ස්මාර්ට් චාජරය ඔබට උදව් කරයි")</f>
        <v>ස්මාර්ට් චාජරය ඔබට උදව් කරයි</v>
      </c>
      <c r="M232" s="4" t="str">
        <f>IFERROR(__xludf.DUMMYFUNCTION("GOOGLETRANSLATE(B232, ""en"", ""vi"")"),"Sạc thông minh giúp bạn")</f>
        <v>Sạc thông minh giúp bạn</v>
      </c>
      <c r="N232" s="4" t="str">
        <f>IFERROR(__xludf.DUMMYFUNCTION("GOOGLETRANSLATE(B232, ""en"", ""ne"")"),"स्मार्ट चार्जरले तपाईंलाई मद्दत गर्दछ")</f>
        <v>स्मार्ट चार्जरले तपाईंलाई मद्दत गर्दछ</v>
      </c>
      <c r="O232" s="4" t="str">
        <f>IFERROR(__xludf.DUMMYFUNCTION("GOOGLETRANSLATE(B232, ""en"", ""de"")"),"Smart Ladegerät hilft Ihnen")</f>
        <v>Smart Ladegerät hilft Ihnen</v>
      </c>
      <c r="P232" s="4" t="str">
        <f>IFERROR(__xludf.DUMMYFUNCTION("GOOGLETRANSLATE(B232, ""en"", ""he"")"),"מטען חכם יעזור לך")</f>
        <v>מטען חכם יעזור לך</v>
      </c>
      <c r="Q232" s="4" t="str">
        <f>IFERROR(__xludf.DUMMYFUNCTION("GOOGLETRANSLATE(B232, ""en"", ""cs"")"),"Chytrá nabíječka vám pomůže")</f>
        <v>Chytrá nabíječka vám pomůže</v>
      </c>
      <c r="R232" s="4" t="str">
        <f>IFERROR(__xludf.DUMMYFUNCTION("GOOGLETRANSLATE(B232, ""en"", ""it"")"),"Il caricatore intelligente ti aiuta")</f>
        <v>Il caricatore intelligente ti aiuta</v>
      </c>
      <c r="S232" s="4" t="str">
        <f>IFERROR(__xludf.DUMMYFUNCTION("GOOGLETRANSLATE(B232, ""en"", ""el"")"),"Ο έξυπνος φορτιστής σας βοηθά")</f>
        <v>Ο έξυπνος φορτιστής σας βοηθά</v>
      </c>
    </row>
    <row r="233" ht="15.75" customHeight="1">
      <c r="A233" s="4" t="s">
        <v>478</v>
      </c>
      <c r="B233" s="4" t="s">
        <v>479</v>
      </c>
      <c r="C233" s="4" t="str">
        <f>IFERROR(__xludf.DUMMYFUNCTION("GOOGLETRANSLATE(B233, ""en"", ""es"")"),"Archivos grandes")</f>
        <v>Archivos grandes</v>
      </c>
      <c r="D233" s="4" t="str">
        <f>IFERROR(__xludf.DUMMYFUNCTION("GOOGLETRANSLATE(B233, ""en"", ""pt"")"),"Arquivos grandes")</f>
        <v>Arquivos grandes</v>
      </c>
      <c r="E233" s="4" t="str">
        <f>IFERROR(__xludf.DUMMYFUNCTION("GOOGLETRANSLATE(B233, ""en"", ""ar"")"),"ملفات كبيرة")</f>
        <v>ملفات كبيرة</v>
      </c>
      <c r="F233" s="4" t="str">
        <f>IFERROR(__xludf.DUMMYFUNCTION("GOOGLETRANSLATE(B233, ""en"", ""km"")"),"ឯកសារធំ ៗ")</f>
        <v>ឯកសារធំ ៗ</v>
      </c>
      <c r="G233" s="4" t="str">
        <f>IFERROR(__xludf.DUMMYFUNCTION("GOOGLETRANSLATE(B233, ""en"", ""fr"")"),"Fichiers volumineux")</f>
        <v>Fichiers volumineux</v>
      </c>
      <c r="H233" s="4" t="str">
        <f>IFERROR(__xludf.DUMMYFUNCTION("GOOGLETRANSLATE(B233, ""en"", ""ro"")"),"Fișiere mari")</f>
        <v>Fișiere mari</v>
      </c>
      <c r="I233" s="4" t="str">
        <f>IFERROR(__xludf.DUMMYFUNCTION("GOOGLETRANSLATE(B233, ""en"", ""my"")"),"ဖိုင်ကြီးများ")</f>
        <v>ဖိုင်ကြီးများ</v>
      </c>
      <c r="J233" s="4" t="str">
        <f>IFERROR(__xludf.DUMMYFUNCTION("GOOGLETRANSLATE(B233, ""en"", ""sw"")"),"Faili kubwa")</f>
        <v>Faili kubwa</v>
      </c>
      <c r="K233" s="4" t="str">
        <f>IFERROR(__xludf.DUMMYFUNCTION("GOOGLETRANSLATE(B233, ""en"", ""th"")"),"ไฟล์ขนาดใหญ่")</f>
        <v>ไฟล์ขนาดใหญ่</v>
      </c>
      <c r="L233" s="4" t="str">
        <f>IFERROR(__xludf.DUMMYFUNCTION("GOOGLETRANSLATE(B233, ""en"", ""si"")"),"විශාල ගොනු")</f>
        <v>විශාල ගොනු</v>
      </c>
      <c r="M233" s="4" t="str">
        <f>IFERROR(__xludf.DUMMYFUNCTION("GOOGLETRANSLATE(B233, ""en"", ""vi"")"),"Tệp lớn")</f>
        <v>Tệp lớn</v>
      </c>
      <c r="N233" s="4" t="str">
        <f>IFERROR(__xludf.DUMMYFUNCTION("GOOGLETRANSLATE(B233, ""en"", ""ne"")"),"ठुलो फाइलहरू")</f>
        <v>ठुलो फाइलहरू</v>
      </c>
      <c r="O233" s="4" t="str">
        <f>IFERROR(__xludf.DUMMYFUNCTION("GOOGLETRANSLATE(B233, ""en"", ""de"")"),"Große Dateien")</f>
        <v>Große Dateien</v>
      </c>
      <c r="P233" s="4" t="str">
        <f>IFERROR(__xludf.DUMMYFUNCTION("GOOGLETRANSLATE(B233, ""en"", ""he"")"),"קבצים גדולים")</f>
        <v>קבצים גדולים</v>
      </c>
      <c r="Q233" s="4" t="str">
        <f>IFERROR(__xludf.DUMMYFUNCTION("GOOGLETRANSLATE(B233, ""en"", ""cs"")"),"Velké soubory")</f>
        <v>Velké soubory</v>
      </c>
      <c r="R233" s="4" t="str">
        <f>IFERROR(__xludf.DUMMYFUNCTION("GOOGLETRANSLATE(B233, ""en"", ""it"")"),"File di grandi dimensioni")</f>
        <v>File di grandi dimensioni</v>
      </c>
      <c r="S233" s="4" t="str">
        <f>IFERROR(__xludf.DUMMYFUNCTION("GOOGLETRANSLATE(B233, ""en"", ""el"")"),"Μεγάλα αρχεία")</f>
        <v>Μεγάλα αρχεία</v>
      </c>
    </row>
    <row r="234" ht="15.75" customHeight="1">
      <c r="A234" s="4" t="s">
        <v>480</v>
      </c>
      <c r="B234" s="4" t="s">
        <v>481</v>
      </c>
      <c r="C234" s="4" t="str">
        <f>IFERROR(__xludf.DUMMYFUNCTION("GOOGLETRANSLATE(B234, ""en"", ""es"")"),"Caja de herramientas")</f>
        <v>Caja de herramientas</v>
      </c>
      <c r="D234" s="4" t="str">
        <f>IFERROR(__xludf.DUMMYFUNCTION("GOOGLETRANSLATE(B234, ""en"", ""pt"")"),"Caixa de ferramentas")</f>
        <v>Caixa de ferramentas</v>
      </c>
      <c r="E234" s="4" t="str">
        <f>IFERROR(__xludf.DUMMYFUNCTION("GOOGLETRANSLATE(B234, ""en"", ""ar"")"),"Toolbox.")</f>
        <v>Toolbox.</v>
      </c>
      <c r="F234" s="4" t="str">
        <f>IFERROR(__xludf.DUMMYFUNCTION("GOOGLETRANSLATE(B234, ""en"", ""km"")"),"ប្រអប់ឧបករណ៍")</f>
        <v>ប្រអប់ឧបករណ៍</v>
      </c>
      <c r="G234" s="4" t="str">
        <f>IFERROR(__xludf.DUMMYFUNCTION("GOOGLETRANSLATE(B234, ""en"", ""fr"")"),"Boîte à outils")</f>
        <v>Boîte à outils</v>
      </c>
      <c r="H234" s="4" t="str">
        <f>IFERROR(__xludf.DUMMYFUNCTION("GOOGLETRANSLATE(B234, ""en"", ""ro"")"),"Trusa de scule")</f>
        <v>Trusa de scule</v>
      </c>
      <c r="I234" s="4" t="str">
        <f>IFERROR(__xludf.DUMMYFUNCTION("GOOGLETRANSLATE(B234, ""en"", ""my"")"),"Tolbox")</f>
        <v>Tolbox</v>
      </c>
      <c r="J234" s="4" t="str">
        <f>IFERROR(__xludf.DUMMYFUNCTION("GOOGLETRANSLATE(B234, ""en"", ""sw"")"),"Kitabu cha Tool.")</f>
        <v>Kitabu cha Tool.</v>
      </c>
      <c r="K234" s="4" t="str">
        <f>IFERROR(__xludf.DUMMYFUNCTION("GOOGLETRANSLATE(B234, ""en"", ""th"")"),"กล่องเครื่องมือ")</f>
        <v>กล่องเครื่องมือ</v>
      </c>
      <c r="L234" s="4" t="str">
        <f>IFERROR(__xludf.DUMMYFUNCTION("GOOGLETRANSLATE(B234, ""en"", ""si"")"),"මෙවලම් පෙට්ටිය")</f>
        <v>මෙවලම් පෙට්ටිය</v>
      </c>
      <c r="M234" s="4" t="str">
        <f>IFERROR(__xludf.DUMMYFUNCTION("GOOGLETRANSLATE(B234, ""en"", ""vi"")"),"Hộp công cụ")</f>
        <v>Hộp công cụ</v>
      </c>
      <c r="N234" s="4" t="str">
        <f>IFERROR(__xludf.DUMMYFUNCTION("GOOGLETRANSLATE(B234, ""en"", ""ne"")"),"औजार चाल्ने")</f>
        <v>औजार चाल्ने</v>
      </c>
      <c r="O234" s="4" t="str">
        <f>IFERROR(__xludf.DUMMYFUNCTION("GOOGLETRANSLATE(B234, ""en"", ""de"")"),"Werkzeugkasten")</f>
        <v>Werkzeugkasten</v>
      </c>
      <c r="P234" s="4" t="str">
        <f>IFERROR(__xludf.DUMMYFUNCTION("GOOGLETRANSLATE(B234, ""en"", ""he"")"),"ארגז כלים")</f>
        <v>ארגז כלים</v>
      </c>
      <c r="Q234" s="4" t="str">
        <f>IFERROR(__xludf.DUMMYFUNCTION("GOOGLETRANSLATE(B234, ""en"", ""cs"")"),"Panel nástrojů")</f>
        <v>Panel nástrojů</v>
      </c>
      <c r="R234" s="4" t="str">
        <f>IFERROR(__xludf.DUMMYFUNCTION("GOOGLETRANSLATE(B234, ""en"", ""it"")"),"Toolbox.")</f>
        <v>Toolbox.</v>
      </c>
      <c r="S234" s="4" t="str">
        <f>IFERROR(__xludf.DUMMYFUNCTION("GOOGLETRANSLATE(B234, ""en"", ""el"")"),"Εργαλειοθήκη")</f>
        <v>Εργαλειοθήκη</v>
      </c>
    </row>
    <row r="235" ht="15.75" customHeight="1">
      <c r="A235" s="4" t="s">
        <v>482</v>
      </c>
      <c r="B235" s="4" t="s">
        <v>483</v>
      </c>
      <c r="C235" s="4" t="str">
        <f>IFERROR(__xludf.DUMMYFUNCTION("GOOGLETRANSLATE(B235, ""en"", ""es"")")," 888 ha protegido su teléfono 888 día (s)")</f>
        <v> 888 ha protegido su teléfono 888 día (s)</v>
      </c>
      <c r="D235" s="4" t="str">
        <f>IFERROR(__xludf.DUMMYFUNCTION("GOOGLETRANSLATE(B235, ""en"", ""pt"")")," 888 protegeu seu telefone 888 dia (s)")</f>
        <v> 888 protegeu seu telefone 888 dia (s)</v>
      </c>
      <c r="E235" s="4" t="str">
        <f>IFERROR(__xludf.DUMMYFUNCTION("GOOGLETRANSLATE(B235, ""en"", ""ar"")")," 888 حمايت هاتفك 888 يوما")</f>
        <v> 888 حمايت هاتفك 888 يوما</v>
      </c>
      <c r="F235" s="4" t="str">
        <f>IFERROR(__xludf.DUMMYFUNCTION("GOOGLETRANSLATE(B235, ""en"", ""km"")")," 888 បានការពារទូរស័ព្ទរបស់អ្នក 888 ថ្ងៃ")</f>
        <v> 888 បានការពារទូរស័ព្ទរបស់អ្នក 888 ថ្ងៃ</v>
      </c>
      <c r="G235" s="4" t="str">
        <f>IFERROR(__xludf.DUMMYFUNCTION("GOOGLETRANSLATE(B235, ""en"", ""fr"")")," 888 a protégé votre téléphone 888 jours (s)")</f>
        <v> 888 a protégé votre téléphone 888 jours (s)</v>
      </c>
      <c r="H235" s="4" t="str">
        <f>IFERROR(__xludf.DUMMYFUNCTION("GOOGLETRANSLATE(B235, ""en"", ""ro"")")," 888 a protejat telefonul dvs. 888 zi (e)")</f>
        <v> 888 a protejat telefonul dvs. 888 zi (e)</v>
      </c>
      <c r="I235" s="4" t="str">
        <f>IFERROR(__xludf.DUMMYFUNCTION("GOOGLETRANSLATE(B235, ""en"", ""my"")")," 888 သည်သင်၏ဖုန်းကို 888 ရက် (s) ကိုကာကွယ်ထားသည်။")</f>
        <v> 888 သည်သင်၏ဖုန်းကို 888 ရက် (s) ကိုကာကွယ်ထားသည်။</v>
      </c>
      <c r="J235" s="4" t="str">
        <f>IFERROR(__xludf.DUMMYFUNCTION("GOOGLETRANSLATE(B235, ""en"", ""sw"")")," 888 imehifadhi simu yako 888 siku (s)")</f>
        <v> 888 imehifadhi simu yako 888 siku (s)</v>
      </c>
      <c r="K235" s="4" t="str">
        <f>IFERROR(__xludf.DUMMYFUNCTION("GOOGLETRANSLATE(B235, ""en"", ""th"")")," 888 ได้ป้องกันโทรศัพท์ของคุณ 888 วัน")</f>
        <v> 888 ได้ป้องกันโทรศัพท์ของคุณ 888 วัน</v>
      </c>
      <c r="L235" s="4" t="str">
        <f>IFERROR(__xludf.DUMMYFUNCTION("GOOGLETRANSLATE(B235, ""en"", ""si"")")," 888 ඔබේ දුරකථනය දින 888 (ය) ආරක්ෂා කර ඇත")</f>
        <v> 888 ඔබේ දුරකථනය දින 888 (ය) ආරක්ෂා කර ඇත</v>
      </c>
      <c r="M235" s="4" t="str">
        <f>IFERROR(__xludf.DUMMYFUNCTION("GOOGLETRANSLATE(B235, ""en"", ""vi"")")," 888 đã bảo vệ điện thoại 888 ngày của bạn")</f>
        <v> 888 đã bảo vệ điện thoại 888 ngày của bạn</v>
      </c>
      <c r="N235" s="4" t="str">
        <f>IFERROR(__xludf.DUMMYFUNCTION("GOOGLETRANSLATE(B235, ""en"", ""ne"")")," 8 888 तपाईंको फोन 48 888 दिन (हरू) लाई सुरक्षित गरीएको छ")</f>
        <v> 8 888 तपाईंको फोन 48 888 दिन (हरू) लाई सुरक्षित गरीएको छ</v>
      </c>
      <c r="O235" s="4" t="str">
        <f>IFERROR(__xludf.DUMMYFUNCTION("GOOGLETRANSLATE(B235, ""en"", ""de"")")," 888 hat Ihr Telefon 888 Tag geschützt (n) geschützt")</f>
        <v> 888 hat Ihr Telefon 888 Tag geschützt (n) geschützt</v>
      </c>
      <c r="P235" s="4" t="str">
        <f>IFERROR(__xludf.DUMMYFUNCTION("GOOGLETRANSLATE(B235, ""en"", ""he"")")," 888 הגן על הטלפון שלך 888 יום (ים)")</f>
        <v> 888 הגן על הטלפון שלך 888 יום (ים)</v>
      </c>
      <c r="Q235" s="4" t="str">
        <f>IFERROR(__xludf.DUMMYFUNCTION("GOOGLETRANSLATE(B235, ""en"", ""cs"")")," 888 chránil telefon 888 dnů (y)")</f>
        <v> 888 chránil telefon 888 dnů (y)</v>
      </c>
      <c r="R235" s="4" t="str">
        <f>IFERROR(__xludf.DUMMYFUNCTION("GOOGLETRANSLATE(B235, ""en"", ""it"")")," 888 ha protetto il tuo telefono 888 giorno / i")</f>
        <v> 888 ha protetto il tuo telefono 888 giorno / i</v>
      </c>
      <c r="S235" s="4" t="str">
        <f>IFERROR(__xludf.DUMMYFUNCTION("GOOGLETRANSLATE(B235, ""en"", ""el"")")," 888 έχει προστατεύσει το τηλέφωνό σας 888 ημέρα (ες)")</f>
        <v> 888 έχει προστατεύσει το τηλέφωνό σας 888 ημέρα (ες)</v>
      </c>
    </row>
    <row r="236" ht="15.75" customHeight="1">
      <c r="A236" s="4" t="s">
        <v>484</v>
      </c>
      <c r="B236" s="4" t="s">
        <v>485</v>
      </c>
      <c r="C236" s="4" t="str">
        <f>IFERROR(__xludf.DUMMYFUNCTION("GOOGLETRANSLATE(B236, ""en"", ""es"")"),"Crear contraseña")</f>
        <v>Crear contraseña</v>
      </c>
      <c r="D236" s="4" t="str">
        <f>IFERROR(__xludf.DUMMYFUNCTION("GOOGLETRANSLATE(B236, ""en"", ""pt"")"),"Criar senha")</f>
        <v>Criar senha</v>
      </c>
      <c r="E236" s="4" t="str">
        <f>IFERROR(__xludf.DUMMYFUNCTION("GOOGLETRANSLATE(B236, ""en"", ""ar"")"),"إنشاء كلمة المرور")</f>
        <v>إنشاء كلمة المرور</v>
      </c>
      <c r="F236" s="4" t="str">
        <f>IFERROR(__xludf.DUMMYFUNCTION("GOOGLETRANSLATE(B236, ""en"", ""km"")"),"បង្កើត​ពាក្យ​សម្ងាត់")</f>
        <v>បង្កើត​ពាក្យ​សម្ងាត់</v>
      </c>
      <c r="G236" s="4" t="str">
        <f>IFERROR(__xludf.DUMMYFUNCTION("GOOGLETRANSLATE(B236, ""en"", ""fr"")"),"Créer un mot de passe")</f>
        <v>Créer un mot de passe</v>
      </c>
      <c r="H236" s="4" t="str">
        <f>IFERROR(__xludf.DUMMYFUNCTION("GOOGLETRANSLATE(B236, ""en"", ""ro"")"),"Creaza parola")</f>
        <v>Creaza parola</v>
      </c>
      <c r="I236" s="4" t="str">
        <f>IFERROR(__xludf.DUMMYFUNCTION("GOOGLETRANSLATE(B236, ""en"", ""my"")"),"စကားဝှက်ကိုဖန်တီးပါ")</f>
        <v>စကားဝှက်ကိုဖန်တီးပါ</v>
      </c>
      <c r="J236" s="4" t="str">
        <f>IFERROR(__xludf.DUMMYFUNCTION("GOOGLETRANSLATE(B236, ""en"", ""sw"")"),"Unda nenosiri.")</f>
        <v>Unda nenosiri.</v>
      </c>
      <c r="K236" s="4" t="str">
        <f>IFERROR(__xludf.DUMMYFUNCTION("GOOGLETRANSLATE(B236, ""en"", ""th"")"),"สร้างรหัสผ่าน")</f>
        <v>สร้างรหัสผ่าน</v>
      </c>
      <c r="L236" s="4" t="str">
        <f>IFERROR(__xludf.DUMMYFUNCTION("GOOGLETRANSLATE(B236, ""en"", ""si"")"),"මුරපදය සාදන්න")</f>
        <v>මුරපදය සාදන්න</v>
      </c>
      <c r="M236" s="4" t="str">
        <f>IFERROR(__xludf.DUMMYFUNCTION("GOOGLETRANSLATE(B236, ""en"", ""vi"")"),"Tạo mật khẩu")</f>
        <v>Tạo mật khẩu</v>
      </c>
      <c r="N236" s="4" t="str">
        <f>IFERROR(__xludf.DUMMYFUNCTION("GOOGLETRANSLATE(B236, ""en"", ""ne"")"),"पासवर्ड बनाउ")</f>
        <v>पासवर्ड बनाउ</v>
      </c>
      <c r="O236" s="4" t="str">
        <f>IFERROR(__xludf.DUMMYFUNCTION("GOOGLETRANSLATE(B236, ""en"", ""de"")"),"Passwort erstellen")</f>
        <v>Passwort erstellen</v>
      </c>
      <c r="P236" s="4" t="str">
        <f>IFERROR(__xludf.DUMMYFUNCTION("GOOGLETRANSLATE(B236, ""en"", ""he"")"),"צור סיסמה")</f>
        <v>צור סיסמה</v>
      </c>
      <c r="Q236" s="4" t="str">
        <f>IFERROR(__xludf.DUMMYFUNCTION("GOOGLETRANSLATE(B236, ""en"", ""cs"")"),"Vytvořit heslo")</f>
        <v>Vytvořit heslo</v>
      </c>
      <c r="R236" s="4" t="str">
        <f>IFERROR(__xludf.DUMMYFUNCTION("GOOGLETRANSLATE(B236, ""en"", ""it"")"),"Crea password")</f>
        <v>Crea password</v>
      </c>
      <c r="S236" s="4" t="str">
        <f>IFERROR(__xludf.DUMMYFUNCTION("GOOGLETRANSLATE(B236, ""en"", ""el"")"),"Δημιούργησε κωδικό")</f>
        <v>Δημιούργησε κωδικό</v>
      </c>
    </row>
    <row r="237" ht="15.75" customHeight="1">
      <c r="A237" s="4" t="s">
        <v>486</v>
      </c>
      <c r="B237" s="4" t="s">
        <v>487</v>
      </c>
      <c r="C237" s="4" t="str">
        <f>IFERROR(__xludf.DUMMYFUNCTION("GOOGLETRANSLATE(B237, ""en"", ""es"")"),"Notificación")</f>
        <v>Notificación</v>
      </c>
      <c r="D237" s="4" t="str">
        <f>IFERROR(__xludf.DUMMYFUNCTION("GOOGLETRANSLATE(B237, ""en"", ""pt"")"),"Notificação")</f>
        <v>Notificação</v>
      </c>
      <c r="E237" s="4" t="str">
        <f>IFERROR(__xludf.DUMMYFUNCTION("GOOGLETRANSLATE(B237, ""en"", ""ar"")"),"تنبيه")</f>
        <v>تنبيه</v>
      </c>
      <c r="F237" s="4" t="str">
        <f>IFERROR(__xludf.DUMMYFUNCTION("GOOGLETRANSLATE(B237, ""en"", ""km"")"),"របាយការ")</f>
        <v>របាយការ</v>
      </c>
      <c r="G237" s="4" t="str">
        <f>IFERROR(__xludf.DUMMYFUNCTION("GOOGLETRANSLATE(B237, ""en"", ""fr"")"),"Notification")</f>
        <v>Notification</v>
      </c>
      <c r="H237" s="4" t="str">
        <f>IFERROR(__xludf.DUMMYFUNCTION("GOOGLETRANSLATE(B237, ""en"", ""ro"")"),"Notificare")</f>
        <v>Notificare</v>
      </c>
      <c r="I237" s="4" t="str">
        <f>IFERROR(__xludf.DUMMYFUNCTION("GOOGLETRANSLATE(B237, ""en"", ""my"")"),"ကေြာ်ြငာခြင်း")</f>
        <v>ကေြာ်ြငာခြင်း</v>
      </c>
      <c r="J237" s="4" t="str">
        <f>IFERROR(__xludf.DUMMYFUNCTION("GOOGLETRANSLATE(B237, ""en"", ""sw"")"),"Arifa")</f>
        <v>Arifa</v>
      </c>
      <c r="K237" s="4" t="str">
        <f>IFERROR(__xludf.DUMMYFUNCTION("GOOGLETRANSLATE(B237, ""en"", ""th"")"),"การแจ้ง")</f>
        <v>การแจ้ง</v>
      </c>
      <c r="L237" s="4" t="str">
        <f>IFERROR(__xludf.DUMMYFUNCTION("GOOGLETRANSLATE(B237, ""en"", ""si"")"),"දැනුම්දීම")</f>
        <v>දැනුම්දීම</v>
      </c>
      <c r="M237" s="4" t="str">
        <f>IFERROR(__xludf.DUMMYFUNCTION("GOOGLETRANSLATE(B237, ""en"", ""vi"")"),"Thông báo")</f>
        <v>Thông báo</v>
      </c>
      <c r="N237" s="4" t="str">
        <f>IFERROR(__xludf.DUMMYFUNCTION("GOOGLETRANSLATE(B237, ""en"", ""ne"")"),"सुचना")</f>
        <v>सुचना</v>
      </c>
      <c r="O237" s="4" t="str">
        <f>IFERROR(__xludf.DUMMYFUNCTION("GOOGLETRANSLATE(B237, ""en"", ""de"")"),"Benachrichtigung")</f>
        <v>Benachrichtigung</v>
      </c>
      <c r="P237" s="4" t="str">
        <f>IFERROR(__xludf.DUMMYFUNCTION("GOOGLETRANSLATE(B237, ""en"", ""he"")"),"הוֹדָעָה")</f>
        <v>הוֹדָעָה</v>
      </c>
      <c r="Q237" s="4" t="str">
        <f>IFERROR(__xludf.DUMMYFUNCTION("GOOGLETRANSLATE(B237, ""en"", ""cs"")"),"Oznámení")</f>
        <v>Oznámení</v>
      </c>
      <c r="R237" s="4" t="str">
        <f>IFERROR(__xludf.DUMMYFUNCTION("GOOGLETRANSLATE(B237, ""en"", ""it"")"),"Notifica")</f>
        <v>Notifica</v>
      </c>
      <c r="S237" s="4" t="str">
        <f>IFERROR(__xludf.DUMMYFUNCTION("GOOGLETRANSLATE(B237, ""en"", ""el"")"),"Γνωστοποίηση")</f>
        <v>Γνωστοποίηση</v>
      </c>
    </row>
    <row r="238" ht="15.75" customHeight="1">
      <c r="A238" s="4" t="s">
        <v>488</v>
      </c>
      <c r="B238" s="4" t="s">
        <v>489</v>
      </c>
      <c r="C238" s="4" t="str">
        <f>IFERROR(__xludf.DUMMYFUNCTION("GOOGLETRANSLATE(B238, ""en"", ""es"")"),"Bienvenido a la cerradura de la aplicación")</f>
        <v>Bienvenido a la cerradura de la aplicación</v>
      </c>
      <c r="D238" s="4" t="str">
        <f>IFERROR(__xludf.DUMMYFUNCTION("GOOGLETRANSLATE(B238, ""en"", ""pt"")"),"Bem-vindo ao bloqueio do aplicativo")</f>
        <v>Bem-vindo ao bloqueio do aplicativo</v>
      </c>
      <c r="E238" s="4" t="str">
        <f>IFERROR(__xludf.DUMMYFUNCTION("GOOGLETRANSLATE(B238, ""en"", ""ar"")"),"مرحبا بكم في قفل التطبيق")</f>
        <v>مرحبا بكم في قفل التطبيق</v>
      </c>
      <c r="F238" s="4" t="str">
        <f>IFERROR(__xludf.DUMMYFUNCTION("GOOGLETRANSLATE(B238, ""en"", ""km"")"),"សូមស្វាគមន៍មកកាន់សោកម្មវិធី")</f>
        <v>សូមស្វាគមន៍មកកាន់សោកម្មវិធី</v>
      </c>
      <c r="G238" s="4" t="str">
        <f>IFERROR(__xludf.DUMMYFUNCTION("GOOGLETRANSLATE(B238, ""en"", ""fr"")"),"Bienvenue dans la serrure de l'application")</f>
        <v>Bienvenue dans la serrure de l'application</v>
      </c>
      <c r="H238" s="4" t="str">
        <f>IFERROR(__xludf.DUMMYFUNCTION("GOOGLETRANSLATE(B238, ""en"", ""ro"")"),"Bine ați venit la blocarea aplicației")</f>
        <v>Bine ați venit la blocarea aplicației</v>
      </c>
      <c r="I238" s="4" t="str">
        <f>IFERROR(__xludf.DUMMYFUNCTION("GOOGLETRANSLATE(B238, ""en"", ""my"")"),"App Lock မှကြိုဆိုပါသည်")</f>
        <v>App Lock မှကြိုဆိုပါသည်</v>
      </c>
      <c r="J238" s="4" t="str">
        <f>IFERROR(__xludf.DUMMYFUNCTION("GOOGLETRANSLATE(B238, ""en"", ""sw"")"),"Karibu kwenye programu ya Lock.")</f>
        <v>Karibu kwenye programu ya Lock.</v>
      </c>
      <c r="K238" s="4" t="str">
        <f>IFERROR(__xludf.DUMMYFUNCTION("GOOGLETRANSLATE(B238, ""en"", ""th"")"),"ยินดีต้อนรับสู่การล็อคแอป")</f>
        <v>ยินดีต้อนรับสู่การล็อคแอป</v>
      </c>
      <c r="L238" s="4" t="str">
        <f>IFERROR(__xludf.DUMMYFUNCTION("GOOGLETRANSLATE(B238, ""en"", ""si"")"),"යෙදුම් අගුලට සාදරයෙන් පිළිගනිමු")</f>
        <v>යෙදුම් අගුලට සාදරයෙන් පිළිගනිමු</v>
      </c>
      <c r="M238" s="4" t="str">
        <f>IFERROR(__xludf.DUMMYFUNCTION("GOOGLETRANSLATE(B238, ""en"", ""vi"")"),"Chào mừng bạn đến với khóa ứng dụng")</f>
        <v>Chào mừng bạn đến với khóa ứng dụng</v>
      </c>
      <c r="N238" s="4" t="str">
        <f>IFERROR(__xludf.DUMMYFUNCTION("GOOGLETRANSLATE(B238, ""en"", ""ne"")"),"अनुप्रयोग लकमा स्वागत छ")</f>
        <v>अनुप्रयोग लकमा स्वागत छ</v>
      </c>
      <c r="O238" s="4" t="str">
        <f>IFERROR(__xludf.DUMMYFUNCTION("GOOGLETRANSLATE(B238, ""en"", ""de"")"),"Willkommen in der App-Sperre")</f>
        <v>Willkommen in der App-Sperre</v>
      </c>
      <c r="P238" s="4" t="str">
        <f>IFERROR(__xludf.DUMMYFUNCTION("GOOGLETRANSLATE(B238, ""en"", ""he"")"),"ברוכים הבאים לנעילת האפליקציה")</f>
        <v>ברוכים הבאים לנעילת האפליקציה</v>
      </c>
      <c r="Q238" s="4" t="str">
        <f>IFERROR(__xludf.DUMMYFUNCTION("GOOGLETRANSLATE(B238, ""en"", ""cs"")"),"Vítejte v aplikaci Lock")</f>
        <v>Vítejte v aplikaci Lock</v>
      </c>
      <c r="R238" s="4" t="str">
        <f>IFERROR(__xludf.DUMMYFUNCTION("GOOGLETRANSLATE(B238, ""en"", ""it"")"),"Benvenuto nel blocco dell'app")</f>
        <v>Benvenuto nel blocco dell'app</v>
      </c>
      <c r="S238" s="4" t="str">
        <f>IFERROR(__xludf.DUMMYFUNCTION("GOOGLETRANSLATE(B238, ""en"", ""el"")"),"Καλώς ήρθατε στην κλειδαριά της εφαρμογής")</f>
        <v>Καλώς ήρθατε στην κλειδαριά της εφαρμογής</v>
      </c>
    </row>
    <row r="239" ht="15.75" customHeight="1">
      <c r="A239" s="4" t="s">
        <v>490</v>
      </c>
      <c r="B239" s="4" t="s">
        <v>491</v>
      </c>
      <c r="C239" s="4" t="str">
        <f>IFERROR(__xludf.DUMMYFUNCTION("GOOGLETRANSLATE(B239, ""en"", ""es"")"),"Cuota")</f>
        <v>Cuota</v>
      </c>
      <c r="D239" s="4" t="str">
        <f>IFERROR(__xludf.DUMMYFUNCTION("GOOGLETRANSLATE(B239, ""en"", ""pt"")"),"Compartilhado")</f>
        <v>Compartilhado</v>
      </c>
      <c r="E239" s="4" t="str">
        <f>IFERROR(__xludf.DUMMYFUNCTION("GOOGLETRANSLATE(B239, ""en"", ""ar"")"),"يشارك")</f>
        <v>يشارك</v>
      </c>
      <c r="F239" s="4" t="str">
        <f>IFERROR(__xludf.DUMMYFUNCTION("GOOGLETRANSLATE(B239, ""en"", ""km"")"),"ការរមលេក")</f>
        <v>ការរមលេក</v>
      </c>
      <c r="G239" s="4" t="str">
        <f>IFERROR(__xludf.DUMMYFUNCTION("GOOGLETRANSLATE(B239, ""en"", ""fr"")"),"Partager")</f>
        <v>Partager</v>
      </c>
      <c r="H239" s="4" t="str">
        <f>IFERROR(__xludf.DUMMYFUNCTION("GOOGLETRANSLATE(B239, ""en"", ""ro"")"),"Acțiune")</f>
        <v>Acțiune</v>
      </c>
      <c r="I239" s="4" t="str">
        <f>IFERROR(__xludf.DUMMYFUNCTION("GOOGLETRANSLATE(B239, ""en"", ""my"")"),"ခဲွဝေ")</f>
        <v>ခဲွဝေ</v>
      </c>
      <c r="J239" s="4" t="str">
        <f>IFERROR(__xludf.DUMMYFUNCTION("GOOGLETRANSLATE(B239, ""en"", ""sw"")"),"Shiriki")</f>
        <v>Shiriki</v>
      </c>
      <c r="K239" s="4" t="str">
        <f>IFERROR(__xludf.DUMMYFUNCTION("GOOGLETRANSLATE(B239, ""en"", ""th"")"),"แบ่งปัน")</f>
        <v>แบ่งปัน</v>
      </c>
      <c r="L239" s="4" t="str">
        <f>IFERROR(__xludf.DUMMYFUNCTION("GOOGLETRANSLATE(B239, ""en"", ""si"")"),"බෙදාගන්න")</f>
        <v>බෙදාගන්න</v>
      </c>
      <c r="M239" s="4" t="str">
        <f>IFERROR(__xludf.DUMMYFUNCTION("GOOGLETRANSLATE(B239, ""en"", ""vi"")"),"Đăng lại")</f>
        <v>Đăng lại</v>
      </c>
      <c r="N239" s="4" t="str">
        <f>IFERROR(__xludf.DUMMYFUNCTION("GOOGLETRANSLATE(B239, ""en"", ""ne"")"),"भाग")</f>
        <v>भाग</v>
      </c>
      <c r="O239" s="4" t="str">
        <f>IFERROR(__xludf.DUMMYFUNCTION("GOOGLETRANSLATE(B239, ""en"", ""de"")"),"Teilen")</f>
        <v>Teilen</v>
      </c>
      <c r="P239" s="4" t="str">
        <f>IFERROR(__xludf.DUMMYFUNCTION("GOOGLETRANSLATE(B239, ""en"", ""he"")"),"לַחֲלוֹק")</f>
        <v>לַחֲלוֹק</v>
      </c>
      <c r="Q239" s="4" t="str">
        <f>IFERROR(__xludf.DUMMYFUNCTION("GOOGLETRANSLATE(B239, ""en"", ""cs"")"),"Podíl")</f>
        <v>Podíl</v>
      </c>
      <c r="R239" s="4" t="str">
        <f>IFERROR(__xludf.DUMMYFUNCTION("GOOGLETRANSLATE(B239, ""en"", ""it"")"),"Condividere")</f>
        <v>Condividere</v>
      </c>
      <c r="S239" s="4" t="str">
        <f>IFERROR(__xludf.DUMMYFUNCTION("GOOGLETRANSLATE(B239, ""en"", ""el"")"),"Μερίδιο")</f>
        <v>Μερίδιο</v>
      </c>
    </row>
    <row r="240" ht="15.75" customHeight="1">
      <c r="A240" s="4" t="s">
        <v>492</v>
      </c>
      <c r="B240" s="4" t="s">
        <v>493</v>
      </c>
      <c r="C240" s="4" t="str">
        <f>IFERROR(__xludf.DUMMYFUNCTION("GOOGLETRANSLATE(B240, ""en"", ""es"")"),"Lista de ignorados")</f>
        <v>Lista de ignorados</v>
      </c>
      <c r="D240" s="4" t="str">
        <f>IFERROR(__xludf.DUMMYFUNCTION("GOOGLETRANSLATE(B240, ""en"", ""pt"")"),"Lista de ignorados")</f>
        <v>Lista de ignorados</v>
      </c>
      <c r="E240" s="4" t="str">
        <f>IFERROR(__xludf.DUMMYFUNCTION("GOOGLETRANSLATE(B240, ""en"", ""ar"")"),"تجاهل القائمة")</f>
        <v>تجاهل القائمة</v>
      </c>
      <c r="F240" s="4" t="str">
        <f>IFERROR(__xludf.DUMMYFUNCTION("GOOGLETRANSLATE(B240, ""en"", ""km"")"),"មិនអើពើក្នុងបញ្ជី")</f>
        <v>មិនអើពើក្នុងបញ្ជី</v>
      </c>
      <c r="G240" s="4" t="str">
        <f>IFERROR(__xludf.DUMMYFUNCTION("GOOGLETRANSLATE(B240, ""en"", ""fr"")"),"Ignorer la liste")</f>
        <v>Ignorer la liste</v>
      </c>
      <c r="H240" s="4" t="str">
        <f>IFERROR(__xludf.DUMMYFUNCTION("GOOGLETRANSLATE(B240, ""en"", ""ro"")"),"Ignora lista")</f>
        <v>Ignora lista</v>
      </c>
      <c r="I240" s="4" t="str">
        <f>IFERROR(__xludf.DUMMYFUNCTION("GOOGLETRANSLATE(B240, ""en"", ""my"")"),"စာရင်းကိုလျစ်လျူရှုပါ")</f>
        <v>စာရင်းကိုလျစ်လျူရှုပါ</v>
      </c>
      <c r="J240" s="4" t="str">
        <f>IFERROR(__xludf.DUMMYFUNCTION("GOOGLETRANSLATE(B240, ""en"", ""sw"")"),"Puuza orodha.")</f>
        <v>Puuza orodha.</v>
      </c>
      <c r="K240" s="4" t="str">
        <f>IFERROR(__xludf.DUMMYFUNCTION("GOOGLETRANSLATE(B240, ""en"", ""th"")"),"ละเว้นรายการ")</f>
        <v>ละเว้นรายการ</v>
      </c>
      <c r="L240" s="4" t="str">
        <f>IFERROR(__xludf.DUMMYFUNCTION("GOOGLETRANSLATE(B240, ""en"", ""si"")"),"නොසලකා හරින්න")</f>
        <v>නොසලකා හරින්න</v>
      </c>
      <c r="M240" s="4" t="str">
        <f>IFERROR(__xludf.DUMMYFUNCTION("GOOGLETRANSLATE(B240, ""en"", ""vi"")"),"Bỏ qua danh sách")</f>
        <v>Bỏ qua danh sách</v>
      </c>
      <c r="N240" s="4" t="str">
        <f>IFERROR(__xludf.DUMMYFUNCTION("GOOGLETRANSLATE(B240, ""en"", ""ne"")"),"सूची उपेक्षा गर्नुहोस्")</f>
        <v>सूची उपेक्षा गर्नुहोस्</v>
      </c>
      <c r="O240" s="4" t="str">
        <f>IFERROR(__xludf.DUMMYFUNCTION("GOOGLETRANSLATE(B240, ""en"", ""de"")"),"Ignorier-Liste")</f>
        <v>Ignorier-Liste</v>
      </c>
      <c r="P240" s="4" t="str">
        <f>IFERROR(__xludf.DUMMYFUNCTION("GOOGLETRANSLATE(B240, ""en"", ""he"")"),"התעלם רשימה.")</f>
        <v>התעלם רשימה.</v>
      </c>
      <c r="Q240" s="4" t="str">
        <f>IFERROR(__xludf.DUMMYFUNCTION("GOOGLETRANSLATE(B240, ""en"", ""cs"")"),"Seznam ignorovaných")</f>
        <v>Seznam ignorovaných</v>
      </c>
      <c r="R240" s="4" t="str">
        <f>IFERROR(__xludf.DUMMYFUNCTION("GOOGLETRANSLATE(B240, ""en"", ""it"")"),"Ignora la lista")</f>
        <v>Ignora la lista</v>
      </c>
      <c r="S240" s="4" t="str">
        <f>IFERROR(__xludf.DUMMYFUNCTION("GOOGLETRANSLATE(B240, ""en"", ""el"")"),"Λίστα αγνόησης")</f>
        <v>Λίστα αγνόησης</v>
      </c>
    </row>
    <row r="241" ht="15.75" customHeight="1">
      <c r="A241" s="4" t="s">
        <v>494</v>
      </c>
      <c r="B241" s="4" t="s">
        <v>495</v>
      </c>
      <c r="C241" s="4" t="str">
        <f>IFERROR(__xludf.DUMMYFUNCTION("GOOGLETRANSLATE(B241, ""en"", ""es"")"),"Proteger")</f>
        <v>Proteger</v>
      </c>
      <c r="D241" s="4" t="str">
        <f>IFERROR(__xludf.DUMMYFUNCTION("GOOGLETRANSLATE(B241, ""en"", ""pt"")"),"Proteger")</f>
        <v>Proteger</v>
      </c>
      <c r="E241" s="4" t="str">
        <f>IFERROR(__xludf.DUMMYFUNCTION("GOOGLETRANSLATE(B241, ""en"", ""ar"")"),"يحمي")</f>
        <v>يحمي</v>
      </c>
      <c r="F241" s="4" t="str">
        <f>IFERROR(__xludf.DUMMYFUNCTION("GOOGLETRANSLATE(B241, ""en"", ""km"")"),"ការហរ")</f>
        <v>ការហរ</v>
      </c>
      <c r="G241" s="4" t="str">
        <f>IFERROR(__xludf.DUMMYFUNCTION("GOOGLETRANSLATE(B241, ""en"", ""fr"")"),"Protéger")</f>
        <v>Protéger</v>
      </c>
      <c r="H241" s="4" t="str">
        <f>IFERROR(__xludf.DUMMYFUNCTION("GOOGLETRANSLATE(B241, ""en"", ""ro"")"),"Proteja")</f>
        <v>Proteja</v>
      </c>
      <c r="I241" s="4" t="str">
        <f>IFERROR(__xludf.DUMMYFUNCTION("GOOGLETRANSLATE(B241, ""en"", ""my"")"),"ကာကွယ်သည်")</f>
        <v>ကာကွယ်သည်</v>
      </c>
      <c r="J241" s="4" t="str">
        <f>IFERROR(__xludf.DUMMYFUNCTION("GOOGLETRANSLATE(B241, ""en"", ""sw"")"),"Kulinda")</f>
        <v>Kulinda</v>
      </c>
      <c r="K241" s="4" t="str">
        <f>IFERROR(__xludf.DUMMYFUNCTION("GOOGLETRANSLATE(B241, ""en"", ""th"")"),"ปกป้อง")</f>
        <v>ปกป้อง</v>
      </c>
      <c r="L241" s="4" t="str">
        <f>IFERROR(__xludf.DUMMYFUNCTION("GOOGLETRANSLATE(B241, ""en"", ""si"")"),"ආරක්ෂා කරන්න")</f>
        <v>ආරක්ෂා කරන්න</v>
      </c>
      <c r="M241" s="4" t="str">
        <f>IFERROR(__xludf.DUMMYFUNCTION("GOOGLETRANSLATE(B241, ""en"", ""vi"")"),"Bảo vệ")</f>
        <v>Bảo vệ</v>
      </c>
      <c r="N241" s="4" t="str">
        <f>IFERROR(__xludf.DUMMYFUNCTION("GOOGLETRANSLATE(B241, ""en"", ""ne"")"),"बचाउनु")</f>
        <v>बचाउनु</v>
      </c>
      <c r="O241" s="4" t="str">
        <f>IFERROR(__xludf.DUMMYFUNCTION("GOOGLETRANSLATE(B241, ""en"", ""de"")"),"Beschützen")</f>
        <v>Beschützen</v>
      </c>
      <c r="P241" s="4" t="str">
        <f>IFERROR(__xludf.DUMMYFUNCTION("GOOGLETRANSLATE(B241, ""en"", ""he"")"),"לְהַגֵן")</f>
        <v>לְהַגֵן</v>
      </c>
      <c r="Q241" s="4" t="str">
        <f>IFERROR(__xludf.DUMMYFUNCTION("GOOGLETRANSLATE(B241, ""en"", ""cs"")"),"Chránit")</f>
        <v>Chránit</v>
      </c>
      <c r="R241" s="4" t="str">
        <f>IFERROR(__xludf.DUMMYFUNCTION("GOOGLETRANSLATE(B241, ""en"", ""it"")"),"Proteggere")</f>
        <v>Proteggere</v>
      </c>
      <c r="S241" s="4" t="str">
        <f>IFERROR(__xludf.DUMMYFUNCTION("GOOGLETRANSLATE(B241, ""en"", ""el"")"),"Προστατεύω")</f>
        <v>Προστατεύω</v>
      </c>
    </row>
    <row r="242" ht="15.75" customHeight="1">
      <c r="A242" s="4" t="s">
        <v>496</v>
      </c>
      <c r="B242" s="4" t="s">
        <v>497</v>
      </c>
      <c r="C242" s="4" t="str">
        <f>IFERROR(__xludf.DUMMYFUNCTION("GOOGLETRANSLATE(B242, ""en"", ""es"")"),"CPU de escaneo ...")</f>
        <v>CPU de escaneo ...</v>
      </c>
      <c r="D242" s="4" t="str">
        <f>IFERROR(__xludf.DUMMYFUNCTION("GOOGLETRANSLATE(B242, ""en"", ""pt"")"),"CPU de digitalização ...")</f>
        <v>CPU de digitalização ...</v>
      </c>
      <c r="E242" s="4" t="str">
        <f>IFERROR(__xludf.DUMMYFUNCTION("GOOGLETRANSLATE(B242, ""en"", ""ar"")"),"مسح CPU ...")</f>
        <v>مسح CPU ...</v>
      </c>
      <c r="F242" s="4" t="str">
        <f>IFERROR(__xludf.DUMMYFUNCTION("GOOGLETRANSLATE(B242, ""en"", ""km"")"),"ស្កេនស៊ីភីយូ ...")</f>
        <v>ស្កេនស៊ីភីយូ ...</v>
      </c>
      <c r="G242" s="4" t="str">
        <f>IFERROR(__xludf.DUMMYFUNCTION("GOOGLETRANSLATE(B242, ""en"", ""fr"")"),"Numérisation CPU ...")</f>
        <v>Numérisation CPU ...</v>
      </c>
      <c r="H242" s="4" t="str">
        <f>IFERROR(__xludf.DUMMYFUNCTION("GOOGLETRANSLATE(B242, ""en"", ""ro"")"),"CPU de scanare ...")</f>
        <v>CPU de scanare ...</v>
      </c>
      <c r="I242" s="4" t="str">
        <f>IFERROR(__xludf.DUMMYFUNCTION("GOOGLETRANSLATE(B242, ""en"", ""my"")"),"CPU ကိုစကင်ဖတ်စစ်ဆေးသည်။")</f>
        <v>CPU ကိုစကင်ဖတ်စစ်ဆေးသည်။</v>
      </c>
      <c r="J242" s="4" t="str">
        <f>IFERROR(__xludf.DUMMYFUNCTION("GOOGLETRANSLATE(B242, ""en"", ""sw"")"),"Skanning cpu ...")</f>
        <v>Skanning cpu ...</v>
      </c>
      <c r="K242" s="4" t="str">
        <f>IFERROR(__xludf.DUMMYFUNCTION("GOOGLETRANSLATE(B242, ""en"", ""th"")"),"สแกนซีพียู ...")</f>
        <v>สแกนซีพียู ...</v>
      </c>
      <c r="L242" s="4" t="str">
        <f>IFERROR(__xludf.DUMMYFUNCTION("GOOGLETRANSLATE(B242, ""en"", ""si"")"),"CPU පරිලෝකනය කිරීම ...")</f>
        <v>CPU පරිලෝකනය කිරීම ...</v>
      </c>
      <c r="M242" s="4" t="str">
        <f>IFERROR(__xludf.DUMMYFUNCTION("GOOGLETRANSLATE(B242, ""en"", ""vi"")"),"Quét CPU ...")</f>
        <v>Quét CPU ...</v>
      </c>
      <c r="N242" s="4" t="str">
        <f>IFERROR(__xludf.DUMMYFUNCTION("GOOGLETRANSLATE(B242, ""en"", ""ne"")"),"CPU स्क्यान गर्दै ...")</f>
        <v>CPU स्क्यान गर्दै ...</v>
      </c>
      <c r="O242" s="4" t="str">
        <f>IFERROR(__xludf.DUMMYFUNCTION("GOOGLETRANSLATE(B242, ""en"", ""de"")"),"Scanning CPU ...")</f>
        <v>Scanning CPU ...</v>
      </c>
      <c r="P242" s="4" t="str">
        <f>IFERROR(__xludf.DUMMYFUNCTION("GOOGLETRANSLATE(B242, ""en"", ""he"")"),"סריקת CPU ...")</f>
        <v>סריקת CPU ...</v>
      </c>
      <c r="Q242" s="4" t="str">
        <f>IFERROR(__xludf.DUMMYFUNCTION("GOOGLETRANSLATE(B242, ""en"", ""cs"")"),"Skenování CPU ...")</f>
        <v>Skenování CPU ...</v>
      </c>
      <c r="R242" s="4" t="str">
        <f>IFERROR(__xludf.DUMMYFUNCTION("GOOGLETRANSLATE(B242, ""en"", ""it"")"),"Scansione della CPU ...")</f>
        <v>Scansione della CPU ...</v>
      </c>
      <c r="S242" s="4" t="str">
        <f>IFERROR(__xludf.DUMMYFUNCTION("GOOGLETRANSLATE(B242, ""en"", ""el"")"),"Σάρωση CPU ...")</f>
        <v>Σάρωση CPU ...</v>
      </c>
    </row>
    <row r="243" ht="15.75" customHeight="1">
      <c r="A243" s="4" t="s">
        <v>498</v>
      </c>
      <c r="B243" s="4" t="s">
        <v>499</v>
      </c>
      <c r="C243" s="4" t="str">
        <f>IFERROR(__xludf.DUMMYFUNCTION("GOOGLETRANSLATE(B243, ""en"", ""es"")"),"La aplicación se está ejecutando en segundo plano")</f>
        <v>La aplicación se está ejecutando en segundo plano</v>
      </c>
      <c r="D243" s="4" t="str">
        <f>IFERROR(__xludf.DUMMYFUNCTION("GOOGLETRANSLATE(B243, ""en"", ""pt"")"),"Aplicativo está funcionando em segundo plano")</f>
        <v>Aplicativo está funcionando em segundo plano</v>
      </c>
      <c r="E243" s="4" t="str">
        <f>IFERROR(__xludf.DUMMYFUNCTION("GOOGLETRANSLATE(B243, ""en"", ""ar"")"),"التطبيق يعمل في الخلفية")</f>
        <v>التطبيق يعمل في الخلفية</v>
      </c>
      <c r="F243" s="4" t="str">
        <f>IFERROR(__xludf.DUMMYFUNCTION("GOOGLETRANSLATE(B243, ""en"", ""km"")"),"កម្មវិធីកំពុងដំណើរការនៅក្នុងផ្ទៃខាងក្រោយ")</f>
        <v>កម្មវិធីកំពុងដំណើរការនៅក្នុងផ្ទៃខាងក្រោយ</v>
      </c>
      <c r="G243" s="4" t="str">
        <f>IFERROR(__xludf.DUMMYFUNCTION("GOOGLETRANSLATE(B243, ""en"", ""fr"")"),"L'application est en cours d'exécution")</f>
        <v>L'application est en cours d'exécution</v>
      </c>
      <c r="H243" s="4" t="str">
        <f>IFERROR(__xludf.DUMMYFUNCTION("GOOGLETRANSLATE(B243, ""en"", ""ro"")"),"Aplicația rulează în fundal")</f>
        <v>Aplicația rulează în fundal</v>
      </c>
      <c r="I243" s="4" t="str">
        <f>IFERROR(__xludf.DUMMYFUNCTION("GOOGLETRANSLATE(B243, ""en"", ""my"")"),"အက်ပလီကေးရှင်းသည်နောက်ခံတွင်လည်ပတ်နေသည်")</f>
        <v>အက်ပလီကေးရှင်းသည်နောက်ခံတွင်လည်ပတ်နေသည်</v>
      </c>
      <c r="J243" s="4" t="str">
        <f>IFERROR(__xludf.DUMMYFUNCTION("GOOGLETRANSLATE(B243, ""en"", ""sw"")"),"Programu inaendesha nyuma")</f>
        <v>Programu inaendesha nyuma</v>
      </c>
      <c r="K243" s="4" t="str">
        <f>IFERROR(__xludf.DUMMYFUNCTION("GOOGLETRANSLATE(B243, ""en"", ""th"")"),"แอปทำงานในพื้นหลัง")</f>
        <v>แอปทำงานในพื้นหลัง</v>
      </c>
      <c r="L243" s="4" t="str">
        <f>IFERROR(__xludf.DUMMYFUNCTION("GOOGLETRANSLATE(B243, ""en"", ""si"")"),"යෙදුම පසුබිමේ ක්රියාත්මක වේ")</f>
        <v>යෙදුම පසුබිමේ ක්රියාත්මක වේ</v>
      </c>
      <c r="M243" s="4" t="str">
        <f>IFERROR(__xludf.DUMMYFUNCTION("GOOGLETRANSLATE(B243, ""en"", ""vi"")"),"Ứng dụng đang chạy trong nền")</f>
        <v>Ứng dụng đang chạy trong nền</v>
      </c>
      <c r="N243" s="4" t="str">
        <f>IFERROR(__xludf.DUMMYFUNCTION("GOOGLETRANSLATE(B243, ""en"", ""ne"")"),"अनुप्रयोग पृष्ठभूमिमा चलिरहेको छ")</f>
        <v>अनुप्रयोग पृष्ठभूमिमा चलिरहेको छ</v>
      </c>
      <c r="O243" s="4" t="str">
        <f>IFERROR(__xludf.DUMMYFUNCTION("GOOGLETRANSLATE(B243, ""en"", ""de"")"),"App läuft im Hintergrund")</f>
        <v>App läuft im Hintergrund</v>
      </c>
      <c r="P243" s="4" t="str">
        <f>IFERROR(__xludf.DUMMYFUNCTION("GOOGLETRANSLATE(B243, ""en"", ""he"")"),"App פועל ברקע")</f>
        <v>App פועל ברקע</v>
      </c>
      <c r="Q243" s="4" t="str">
        <f>IFERROR(__xludf.DUMMYFUNCTION("GOOGLETRANSLATE(B243, ""en"", ""cs"")"),"Aplikace běží v pozadí")</f>
        <v>Aplikace běží v pozadí</v>
      </c>
      <c r="R243" s="4" t="str">
        <f>IFERROR(__xludf.DUMMYFUNCTION("GOOGLETRANSLATE(B243, ""en"", ""it"")"),"L'app è in esecuzione in background")</f>
        <v>L'app è in esecuzione in background</v>
      </c>
      <c r="S243" s="4" t="str">
        <f>IFERROR(__xludf.DUMMYFUNCTION("GOOGLETRANSLATE(B243, ""en"", ""el"")"),"Η εφαρμογή τρέχει στο παρασκήνιο")</f>
        <v>Η εφαρμογή τρέχει στο παρασκήνιο</v>
      </c>
    </row>
    <row r="244" ht="15.75" customHeight="1">
      <c r="A244" s="4" t="s">
        <v>500</v>
      </c>
      <c r="B244" s="4" t="s">
        <v>501</v>
      </c>
      <c r="C244" s="4" t="str">
        <f>IFERROR(__xludf.DUMMYFUNCTION("GOOGLETRANSLATE(B244, ""en"", ""es"")"),"Eliminar el archivo APK después de la aplicación instalada")</f>
        <v>Eliminar el archivo APK después de la aplicación instalada</v>
      </c>
      <c r="D244" s="4" t="str">
        <f>IFERROR(__xludf.DUMMYFUNCTION("GOOGLETRANSLATE(B244, ""en"", ""pt"")"),"Excluir o arquivo APK após o aplicativo instalado")</f>
        <v>Excluir o arquivo APK após o aplicativo instalado</v>
      </c>
      <c r="E244" s="4" t="str">
        <f>IFERROR(__xludf.DUMMYFUNCTION("GOOGLETRANSLATE(B244, ""en"", ""ar"")"),"احذف ملف APK بعد تثبيت التطبيق")</f>
        <v>احذف ملف APK بعد تثبيت التطبيق</v>
      </c>
      <c r="F244" s="4" t="str">
        <f>IFERROR(__xludf.DUMMYFUNCTION("GOOGLETRANSLATE(B244, ""en"", ""km"")"),"លុបឯកសារ APK បន្ទាប់ពីដំឡើងកម្មវិធី")</f>
        <v>លុបឯកសារ APK បន្ទាប់ពីដំឡើងកម្មវិធី</v>
      </c>
      <c r="G244" s="4" t="str">
        <f>IFERROR(__xludf.DUMMYFUNCTION("GOOGLETRANSLATE(B244, ""en"", ""fr"")"),"Supprimer le fichier APK après l'application installée")</f>
        <v>Supprimer le fichier APK après l'application installée</v>
      </c>
      <c r="H244" s="4" t="str">
        <f>IFERROR(__xludf.DUMMYFUNCTION("GOOGLETRANSLATE(B244, ""en"", ""ro"")"),"Ștergeți fișierul APK după instalarea aplicației")</f>
        <v>Ștergeți fișierul APK după instalarea aplicației</v>
      </c>
      <c r="I244" s="4" t="str">
        <f>IFERROR(__xludf.DUMMYFUNCTION("GOOGLETRANSLATE(B244, ""en"", ""my"")"),"app ကို install လုပ်ပြီးနောက် APK ဖိုင်ကိုဖျက်ပါ")</f>
        <v>app ကို install လုပ်ပြီးနောက် APK ဖိုင်ကိုဖျက်ပါ</v>
      </c>
      <c r="J244" s="4" t="str">
        <f>IFERROR(__xludf.DUMMYFUNCTION("GOOGLETRANSLATE(B244, ""en"", ""sw"")"),"Futa faili ya APK baada ya programu imewekwa.")</f>
        <v>Futa faili ya APK baada ya programu imewekwa.</v>
      </c>
      <c r="K244" s="4" t="str">
        <f>IFERROR(__xludf.DUMMYFUNCTION("GOOGLETRANSLATE(B244, ""en"", ""th"")"),"ลบไฟล์ APK หลังจากติดตั้งแอปแล้ว")</f>
        <v>ลบไฟล์ APK หลังจากติดตั้งแอปแล้ว</v>
      </c>
      <c r="L244" s="4" t="str">
        <f>IFERROR(__xludf.DUMMYFUNCTION("GOOGLETRANSLATE(B244, ""en"", ""si"")"),"යෙදුම ස්ථාපනය කිරීමෙන් පසු APK ගොනුව මකන්න")</f>
        <v>යෙදුම ස්ථාපනය කිරීමෙන් පසු APK ගොනුව මකන්න</v>
      </c>
      <c r="M244" s="4" t="str">
        <f>IFERROR(__xludf.DUMMYFUNCTION("GOOGLETRANSLATE(B244, ""en"", ""vi"")"),"Xóa tệp APK sau khi cài đặt ứng dụng")</f>
        <v>Xóa tệp APK sau khi cài đặt ứng dụng</v>
      </c>
      <c r="N244" s="4" t="str">
        <f>IFERROR(__xludf.DUMMYFUNCTION("GOOGLETRANSLATE(B244, ""en"", ""ne"")"),"अनुप्रयोग स्थापना भएपछि एपीके फाइल मेट्नुहोस्")</f>
        <v>अनुप्रयोग स्थापना भएपछि एपीके फाइल मेट्नुहोस्</v>
      </c>
      <c r="O244" s="4" t="str">
        <f>IFERROR(__xludf.DUMMYFUNCTION("GOOGLETRANSLATE(B244, ""en"", ""de"")"),"Löschen Sie die APK-Datei nach der installierten App")</f>
        <v>Löschen Sie die APK-Datei nach der installierten App</v>
      </c>
      <c r="P244" s="4" t="str">
        <f>IFERROR(__xludf.DUMMYFUNCTION("GOOGLETRANSLATE(B244, ""en"", ""he"")"),"מחק את הקובץ APK לאחר מותקן App")</f>
        <v>מחק את הקובץ APK לאחר מותקן App</v>
      </c>
      <c r="Q244" s="4" t="str">
        <f>IFERROR(__xludf.DUMMYFUNCTION("GOOGLETRANSLATE(B244, ""en"", ""cs"")"),"Odstranit soubor APK po instalaci aplikace")</f>
        <v>Odstranit soubor APK po instalaci aplikace</v>
      </c>
      <c r="R244" s="4" t="str">
        <f>IFERROR(__xludf.DUMMYFUNCTION("GOOGLETRANSLATE(B244, ""en"", ""it"")"),"Elimina il file APK dopo l'installazione dell'app")</f>
        <v>Elimina il file APK dopo l'installazione dell'app</v>
      </c>
      <c r="S244" s="4" t="str">
        <f>IFERROR(__xludf.DUMMYFUNCTION("GOOGLETRANSLATE(B244, ""en"", ""el"")"),"Διαγράψτε το αρχείο APK μετά την εγκατάσταση της εφαρμογής")</f>
        <v>Διαγράψτε το αρχείο APK μετά την εγκατάσταση της εφαρμογής</v>
      </c>
    </row>
    <row r="245" ht="15.75" customHeight="1">
      <c r="A245" s="4" t="s">
        <v>502</v>
      </c>
      <c r="B245" s="4" t="s">
        <v>503</v>
      </c>
      <c r="C245" s="4" t="str">
        <f>IFERROR(__xludf.DUMMYFUNCTION("GOOGLETRANSLATE(B245, ""en"", ""es"")"),"Dibujar patrón de desbloqueo")</f>
        <v>Dibujar patrón de desbloqueo</v>
      </c>
      <c r="D245" s="4" t="str">
        <f>IFERROR(__xludf.DUMMYFUNCTION("GOOGLETRANSLATE(B245, ""en"", ""pt"")"),"Desenhar padrão de desbloqueio")</f>
        <v>Desenhar padrão de desbloqueio</v>
      </c>
      <c r="E245" s="4" t="str">
        <f>IFERROR(__xludf.DUMMYFUNCTION("GOOGLETRANSLATE(B245, ""en"", ""ar"")"),"ارسم نمط فتح")</f>
        <v>ارسم نمط فتح</v>
      </c>
      <c r="F245" s="4" t="str">
        <f>IFERROR(__xludf.DUMMYFUNCTION("GOOGLETRANSLATE(B245, ""en"", ""km"")"),"ទាញយកលំនាំដោះសោ")</f>
        <v>ទាញយកលំនាំដោះសោ</v>
      </c>
      <c r="G245" s="4" t="str">
        <f>IFERROR(__xludf.DUMMYFUNCTION("GOOGLETRANSLATE(B245, ""en"", ""fr"")"),"Dessiner modèle de déverrouillage")</f>
        <v>Dessiner modèle de déverrouillage</v>
      </c>
      <c r="H245" s="4" t="str">
        <f>IFERROR(__xludf.DUMMYFUNCTION("GOOGLETRANSLATE(B245, ""en"", ""ro"")"),"Desenați modelul de deblocare")</f>
        <v>Desenați modelul de deblocare</v>
      </c>
      <c r="I245" s="4" t="str">
        <f>IFERROR(__xludf.DUMMYFUNCTION("GOOGLETRANSLATE(B245, ""en"", ""my"")"),"သော့ဖွင့်ပုံစံဆွဲပါ")</f>
        <v>သော့ဖွင့်ပုံစံဆွဲပါ</v>
      </c>
      <c r="J245" s="4" t="str">
        <f>IFERROR(__xludf.DUMMYFUNCTION("GOOGLETRANSLATE(B245, ""en"", ""sw"")"),"Futa muundo wa kufungua.")</f>
        <v>Futa muundo wa kufungua.</v>
      </c>
      <c r="K245" s="4" t="str">
        <f>IFERROR(__xludf.DUMMYFUNCTION("GOOGLETRANSLATE(B245, ""en"", ""th"")"),"วาดรูปแบบปลดล็อค")</f>
        <v>วาดรูปแบบปลดล็อค</v>
      </c>
      <c r="L245" s="4" t="str">
        <f>IFERROR(__xludf.DUMMYFUNCTION("GOOGLETRANSLATE(B245, ""en"", ""si"")"),"අගුළු ඇරීමේ රටාව අඳින්න")</f>
        <v>අගුළු ඇරීමේ රටාව අඳින්න</v>
      </c>
      <c r="M245" s="4" t="str">
        <f>IFERROR(__xludf.DUMMYFUNCTION("GOOGLETRANSLATE(B245, ""en"", ""vi"")"),"Vẽ mẫu mở khóa")</f>
        <v>Vẽ mẫu mở khóa</v>
      </c>
      <c r="N245" s="4" t="str">
        <f>IFERROR(__xludf.DUMMYFUNCTION("GOOGLETRANSLATE(B245, ""en"", ""ne"")"),"अनलक ढाँचा कोर्नुहोस्")</f>
        <v>अनलक ढाँचा कोर्नुहोस्</v>
      </c>
      <c r="O245" s="4" t="str">
        <f>IFERROR(__xludf.DUMMYFUNCTION("GOOGLETRANSLATE(B245, ""en"", ""de"")"),"Entriegelungsmuster ziehen")</f>
        <v>Entriegelungsmuster ziehen</v>
      </c>
      <c r="P245" s="4" t="str">
        <f>IFERROR(__xludf.DUMMYFUNCTION("GOOGLETRANSLATE(B245, ""en"", ""he"")"),"צייר נעילת תבנית")</f>
        <v>צייר נעילת תבנית</v>
      </c>
      <c r="Q245" s="4" t="str">
        <f>IFERROR(__xludf.DUMMYFUNCTION("GOOGLETRANSLATE(B245, ""en"", ""cs"")"),"Draw Odemknout vzor")</f>
        <v>Draw Odemknout vzor</v>
      </c>
      <c r="R245" s="4" t="str">
        <f>IFERROR(__xludf.DUMMYFUNCTION("GOOGLETRANSLATE(B245, ""en"", ""it"")"),"Disegna un modello di sblocco")</f>
        <v>Disegna un modello di sblocco</v>
      </c>
      <c r="S245" s="4" t="str">
        <f>IFERROR(__xludf.DUMMYFUNCTION("GOOGLETRANSLATE(B245, ""en"", ""el"")"),"Σχεδιάστε το μοτίβο ξεκλειδώματος")</f>
        <v>Σχεδιάστε το μοτίβο ξεκλειδώματος</v>
      </c>
    </row>
    <row r="246" ht="15.75" customHeight="1">
      <c r="A246" s="4" t="s">
        <v>504</v>
      </c>
      <c r="B246" s="4" t="s">
        <v>505</v>
      </c>
      <c r="C246" s="4" t="str">
        <f>IFERROR(__xludf.DUMMYFUNCTION("GOOGLETRANSLATE(B246, ""en"", ""es"")"),"Analizando la CPU ...")</f>
        <v>Analizando la CPU ...</v>
      </c>
      <c r="D246" s="4" t="str">
        <f>IFERROR(__xludf.DUMMYFUNCTION("GOOGLETRANSLATE(B246, ""en"", ""pt"")"),"Analisando a CPU ...")</f>
        <v>Analisando a CPU ...</v>
      </c>
      <c r="E246" s="4" t="str">
        <f>IFERROR(__xludf.DUMMYFUNCTION("GOOGLETRANSLATE(B246, ""en"", ""ar"")"),"تحليل وحدة المعالجة المركزية ...")</f>
        <v>تحليل وحدة المعالجة المركزية ...</v>
      </c>
      <c r="F246" s="4" t="str">
        <f>IFERROR(__xludf.DUMMYFUNCTION("GOOGLETRANSLATE(B246, ""en"", ""km"")"),"វិភាគស៊ីភីយូ ...")</f>
        <v>វិភាគស៊ីភីយូ ...</v>
      </c>
      <c r="G246" s="4" t="str">
        <f>IFERROR(__xludf.DUMMYFUNCTION("GOOGLETRANSLATE(B246, ""en"", ""fr"")"),"Analyser la CPU ...")</f>
        <v>Analyser la CPU ...</v>
      </c>
      <c r="H246" s="4" t="str">
        <f>IFERROR(__xludf.DUMMYFUNCTION("GOOGLETRANSLATE(B246, ""en"", ""ro"")"),"Analizând CPU-ul ...")</f>
        <v>Analizând CPU-ul ...</v>
      </c>
      <c r="I246" s="4" t="str">
        <f>IFERROR(__xludf.DUMMYFUNCTION("GOOGLETRANSLATE(B246, ""en"", ""my"")"),"CPU ကိုခွဲခြမ်းစိတ်ဖြာခြင်း ...")</f>
        <v>CPU ကိုခွဲခြမ်းစိတ်ဖြာခြင်း ...</v>
      </c>
      <c r="J246" s="4" t="str">
        <f>IFERROR(__xludf.DUMMYFUNCTION("GOOGLETRANSLATE(B246, ""en"", ""sw"")"),"Kuchambua CPU ...")</f>
        <v>Kuchambua CPU ...</v>
      </c>
      <c r="K246" s="4" t="str">
        <f>IFERROR(__xludf.DUMMYFUNCTION("GOOGLETRANSLATE(B246, ""en"", ""th"")"),"วิเคราะห์ซีพียู ...")</f>
        <v>วิเคราะห์ซีพียู ...</v>
      </c>
      <c r="L246" s="4" t="str">
        <f>IFERROR(__xludf.DUMMYFUNCTION("GOOGLETRANSLATE(B246, ""en"", ""si"")"),"CPU විශ්ලේෂණය කිරීම ...")</f>
        <v>CPU විශ්ලේෂණය කිරීම ...</v>
      </c>
      <c r="M246" s="4" t="str">
        <f>IFERROR(__xludf.DUMMYFUNCTION("GOOGLETRANSLATE(B246, ""en"", ""vi"")"),"Phân tích CPU ...")</f>
        <v>Phân tích CPU ...</v>
      </c>
      <c r="N246" s="4" t="str">
        <f>IFERROR(__xludf.DUMMYFUNCTION("GOOGLETRANSLATE(B246, ""en"", ""ne"")"),"सीपीयूको विश्लेषण गर्दै ...")</f>
        <v>सीपीयूको विश्लेषण गर्दै ...</v>
      </c>
      <c r="O246" s="4" t="str">
        <f>IFERROR(__xludf.DUMMYFUNCTION("GOOGLETRANSLATE(B246, ""en"", ""de"")"),"Analysieren der CPU ...")</f>
        <v>Analysieren der CPU ...</v>
      </c>
      <c r="P246" s="4" t="str">
        <f>IFERROR(__xludf.DUMMYFUNCTION("GOOGLETRANSLATE(B246, ""en"", ""he"")"),"ניתוח ה- CPU ...")</f>
        <v>ניתוח ה- CPU ...</v>
      </c>
      <c r="Q246" s="4" t="str">
        <f>IFERROR(__xludf.DUMMYFUNCTION("GOOGLETRANSLATE(B246, ""en"", ""cs"")"),"Analýza CPU ...")</f>
        <v>Analýza CPU ...</v>
      </c>
      <c r="R246" s="4" t="str">
        <f>IFERROR(__xludf.DUMMYFUNCTION("GOOGLETRANSLATE(B246, ""en"", ""it"")"),"Analizzando la CPU ...")</f>
        <v>Analizzando la CPU ...</v>
      </c>
      <c r="S246" s="4" t="str">
        <f>IFERROR(__xludf.DUMMYFUNCTION("GOOGLETRANSLATE(B246, ""en"", ""el"")"),"Αναλύοντας την CPU ...")</f>
        <v>Αναλύοντας την CPU ...</v>
      </c>
    </row>
    <row r="247" ht="15.75" customHeight="1">
      <c r="A247" s="4" t="s">
        <v>506</v>
      </c>
      <c r="B247" s="4" t="s">
        <v>507</v>
      </c>
      <c r="C247" s="4" t="str">
        <f>IFERROR(__xludf.DUMMYFUNCTION("GOOGLETRANSLATE(B247, ""en"", ""es"")"),"Salvarse")</f>
        <v>Salvarse</v>
      </c>
      <c r="D247" s="4" t="str">
        <f>IFERROR(__xludf.DUMMYFUNCTION("GOOGLETRANSLATE(B247, ""en"", ""pt"")"),"Poupe profundo")</f>
        <v>Poupe profundo</v>
      </c>
      <c r="E247" s="4" t="str">
        <f>IFERROR(__xludf.DUMMYFUNCTION("GOOGLETRANSLATE(B247, ""en"", ""ar"")"),"حفظ عميق")</f>
        <v>حفظ عميق</v>
      </c>
      <c r="F247" s="4" t="str">
        <f>IFERROR(__xludf.DUMMYFUNCTION("GOOGLETRANSLATE(B247, ""en"", ""km"")"),"រក្សាទុកយ៉ាងជ្រៅ")</f>
        <v>រក្សាទុកយ៉ាងជ្រៅ</v>
      </c>
      <c r="G247" s="4" t="str">
        <f>IFERROR(__xludf.DUMMYFUNCTION("GOOGLETRANSLATE(B247, ""en"", ""fr"")"),"Économiser")</f>
        <v>Économiser</v>
      </c>
      <c r="H247" s="4" t="str">
        <f>IFERROR(__xludf.DUMMYFUNCTION("GOOGLETRANSLATE(B247, ""en"", ""ro"")"),"Salvare profundă")</f>
        <v>Salvare profundă</v>
      </c>
      <c r="I247" s="4" t="str">
        <f>IFERROR(__xludf.DUMMYFUNCTION("GOOGLETRANSLATE(B247, ""en"", ""my"")"),"နက်ရှိုင်းသောသိမ်းဆည်းပါ")</f>
        <v>နက်ရှိုင်းသောသိမ်းဆည်းပါ</v>
      </c>
      <c r="J247" s="4" t="str">
        <f>IFERROR(__xludf.DUMMYFUNCTION("GOOGLETRANSLATE(B247, ""en"", ""sw"")"),"Kuokoa kina")</f>
        <v>Kuokoa kina</v>
      </c>
      <c r="K247" s="4" t="str">
        <f>IFERROR(__xludf.DUMMYFUNCTION("GOOGLETRANSLATE(B247, ""en"", ""th"")"),"บันทึกลึก")</f>
        <v>บันทึกลึก</v>
      </c>
      <c r="L247" s="4" t="str">
        <f>IFERROR(__xludf.DUMMYFUNCTION("GOOGLETRANSLATE(B247, ""en"", ""si"")"),"ගැඹුරු සුරකින්න")</f>
        <v>ගැඹුරු සුරකින්න</v>
      </c>
      <c r="M247" s="4" t="str">
        <f>IFERROR(__xludf.DUMMYFUNCTION("GOOGLETRANSLATE(B247, ""en"", ""vi"")"),"TIẾT KIỆM DEEP.")</f>
        <v>TIẾT KIỆM DEEP.</v>
      </c>
      <c r="N247" s="4" t="str">
        <f>IFERROR(__xludf.DUMMYFUNCTION("GOOGLETRANSLATE(B247, ""en"", ""ne"")"),"गहिरो सुरक्षित")</f>
        <v>गहिरो सुरक्षित</v>
      </c>
      <c r="O247" s="4" t="str">
        <f>IFERROR(__xludf.DUMMYFUNCTION("GOOGLETRANSLATE(B247, ""en"", ""de"")"),"Tiefes Save")</f>
        <v>Tiefes Save</v>
      </c>
      <c r="P247" s="4" t="str">
        <f>IFERROR(__xludf.DUMMYFUNCTION("GOOGLETRANSLATE(B247, ""en"", ""he"")"),"עמוק שמור")</f>
        <v>עמוק שמור</v>
      </c>
      <c r="Q247" s="4" t="str">
        <f>IFERROR(__xludf.DUMMYFUNCTION("GOOGLETRANSLATE(B247, ""en"", ""cs"")"),"Hluboký uložit.")</f>
        <v>Hluboký uložit.</v>
      </c>
      <c r="R247" s="4" t="str">
        <f>IFERROR(__xludf.DUMMYFUNCTION("GOOGLETRANSLATE(B247, ""en"", ""it"")"),"Deep Save.")</f>
        <v>Deep Save.</v>
      </c>
      <c r="S247" s="4" t="str">
        <f>IFERROR(__xludf.DUMMYFUNCTION("GOOGLETRANSLATE(B247, ""en"", ""el"")"),"Βαθιά αποθήκευση")</f>
        <v>Βαθιά αποθήκευση</v>
      </c>
    </row>
    <row r="248" ht="15.75" customHeight="1">
      <c r="A248" s="4" t="s">
        <v>508</v>
      </c>
      <c r="B248" s="4" t="s">
        <v>509</v>
      </c>
      <c r="C248" s="4" t="str">
        <f>IFERROR(__xludf.DUMMYFUNCTION("GOOGLETRANSLATE(B248, ""en"", ""es"")"),"Deshabilitar el panel de notificación")</f>
        <v>Deshabilitar el panel de notificación</v>
      </c>
      <c r="D248" s="4" t="str">
        <f>IFERROR(__xludf.DUMMYFUNCTION("GOOGLETRANSLATE(B248, ""en"", ""pt"")"),"Desativar o painel de notificação")</f>
        <v>Desativar o painel de notificação</v>
      </c>
      <c r="E248" s="4" t="str">
        <f>IFERROR(__xludf.DUMMYFUNCTION("GOOGLETRANSLATE(B248, ""en"", ""ar"")"),"تعطيل لوحة الإعلام")</f>
        <v>تعطيل لوحة الإعلام</v>
      </c>
      <c r="F248" s="4" t="str">
        <f>IFERROR(__xludf.DUMMYFUNCTION("GOOGLETRANSLATE(B248, ""en"", ""km"")"),"បិទដំណើរការបន្ទះជូនដំណឹង")</f>
        <v>បិទដំណើរការបន្ទះជូនដំណឹង</v>
      </c>
      <c r="G248" s="4" t="str">
        <f>IFERROR(__xludf.DUMMYFUNCTION("GOOGLETRANSLATE(B248, ""en"", ""fr"")"),"Désactiver le panneau de notification")</f>
        <v>Désactiver le panneau de notification</v>
      </c>
      <c r="H248" s="4" t="str">
        <f>IFERROR(__xludf.DUMMYFUNCTION("GOOGLETRANSLATE(B248, ""en"", ""ro"")"),"Dezactivați panoul de notificare")</f>
        <v>Dezactivați panoul de notificare</v>
      </c>
      <c r="I248" s="4" t="str">
        <f>IFERROR(__xludf.DUMMYFUNCTION("GOOGLETRANSLATE(B248, ""en"", ""my"")"),"အသိပေးချက် Panel ကိုပိတ်ပါ")</f>
        <v>အသိပေးချက် Panel ကိုပိတ်ပါ</v>
      </c>
      <c r="J248" s="4" t="str">
        <f>IFERROR(__xludf.DUMMYFUNCTION("GOOGLETRANSLATE(B248, ""en"", ""sw"")"),"Lemaza Jopo la Arifa")</f>
        <v>Lemaza Jopo la Arifa</v>
      </c>
      <c r="K248" s="4" t="str">
        <f>IFERROR(__xludf.DUMMYFUNCTION("GOOGLETRANSLATE(B248, ""en"", ""th"")"),"ปิดใช้งานแผงการแจ้งเตือน")</f>
        <v>ปิดใช้งานแผงการแจ้งเตือน</v>
      </c>
      <c r="L248" s="4" t="str">
        <f>IFERROR(__xludf.DUMMYFUNCTION("GOOGLETRANSLATE(B248, ""en"", ""si"")"),"දැනුම් දීමේ පැනලය අක්රීය කරන්න")</f>
        <v>දැනුම් දීමේ පැනලය අක්රීය කරන්න</v>
      </c>
      <c r="M248" s="4" t="str">
        <f>IFERROR(__xludf.DUMMYFUNCTION("GOOGLETRANSLATE(B248, ""en"", ""vi"")"),"Vô hiệu hóa bảng thông báo")</f>
        <v>Vô hiệu hóa bảng thông báo</v>
      </c>
      <c r="N248" s="4" t="str">
        <f>IFERROR(__xludf.DUMMYFUNCTION("GOOGLETRANSLATE(B248, ""en"", ""ne"")"),"सूचना प्यानल असक्षम गर्नुहोस्")</f>
        <v>सूचना प्यानल असक्षम गर्नुहोस्</v>
      </c>
      <c r="O248" s="4" t="str">
        <f>IFERROR(__xludf.DUMMYFUNCTION("GOOGLETRANSLATE(B248, ""en"", ""de"")"),"Benachrichtigungsfeld deaktivieren.")</f>
        <v>Benachrichtigungsfeld deaktivieren.</v>
      </c>
      <c r="P248" s="4" t="str">
        <f>IFERROR(__xludf.DUMMYFUNCTION("GOOGLETRANSLATE(B248, ""en"", ""he"")"),"השבת את לוח ההודעות")</f>
        <v>השבת את לוח ההודעות</v>
      </c>
      <c r="Q248" s="4" t="str">
        <f>IFERROR(__xludf.DUMMYFUNCTION("GOOGLETRANSLATE(B248, ""en"", ""cs"")"),"Zakázat panel oznámení")</f>
        <v>Zakázat panel oznámení</v>
      </c>
      <c r="R248" s="4" t="str">
        <f>IFERROR(__xludf.DUMMYFUNCTION("GOOGLETRANSLATE(B248, ""en"", ""it"")"),"Disabilitare il pannello di notifica")</f>
        <v>Disabilitare il pannello di notifica</v>
      </c>
      <c r="S248" s="4" t="str">
        <f>IFERROR(__xludf.DUMMYFUNCTION("GOOGLETRANSLATE(B248, ""en"", ""el"")"),"Απενεργοποίηση πίνακα ειδοποιήσεων")</f>
        <v>Απενεργοποίηση πίνακα ειδοποιήσεων</v>
      </c>
    </row>
    <row r="249" ht="15.75" customHeight="1">
      <c r="A249" s="4" t="s">
        <v>510</v>
      </c>
      <c r="B249" s="4" t="s">
        <v>511</v>
      </c>
      <c r="C249" s="4" t="str">
        <f>IFERROR(__xludf.DUMMYFUNCTION("GOOGLETRANSLATE(B249, ""en"", ""es"")"),"Frecuencia de recordatorio de basura")</f>
        <v>Frecuencia de recordatorio de basura</v>
      </c>
      <c r="D249" s="4" t="str">
        <f>IFERROR(__xludf.DUMMYFUNCTION("GOOGLETRANSLATE(B249, ""en"", ""pt"")"),"Freqüência de lembrete lixo")</f>
        <v>Freqüência de lembrete lixo</v>
      </c>
      <c r="E249" s="4" t="str">
        <f>IFERROR(__xludf.DUMMYFUNCTION("GOOGLETRANSLATE(B249, ""en"", ""ar"")"),"تردد تذكير غير المرغوب فيه")</f>
        <v>تردد تذكير غير المرغوب فيه</v>
      </c>
      <c r="F249" s="4" t="str">
        <f>IFERROR(__xludf.DUMMYFUNCTION("GOOGLETRANSLATE(B249, ""en"", ""km"")"),"ភាពញឹកញាប់នៃការរំ remind ក")</f>
        <v>ភាពញឹកញាប់នៃការរំ remind ក</v>
      </c>
      <c r="G249" s="4" t="str">
        <f>IFERROR(__xludf.DUMMYFUNCTION("GOOGLETRANSLATE(B249, ""en"", ""fr"")"),"Fréquence de rappel de déchets")</f>
        <v>Fréquence de rappel de déchets</v>
      </c>
      <c r="H249" s="4" t="str">
        <f>IFERROR(__xludf.DUMMYFUNCTION("GOOGLETRANSLATE(B249, ""en"", ""ro"")"),"Junk memento frecvență.")</f>
        <v>Junk memento frecvență.</v>
      </c>
      <c r="I249" s="4" t="str">
        <f>IFERROR(__xludf.DUMMYFUNCTION("GOOGLETRANSLATE(B249, ""en"", ""my"")"),"Junk သတိပေးဆီသို့")</f>
        <v>Junk သတိပေးဆီသို့</v>
      </c>
      <c r="J249" s="4" t="str">
        <f>IFERROR(__xludf.DUMMYFUNCTION("GOOGLETRANSLATE(B249, ""en"", ""sw"")"),"Mzunguko wa kukumbusha wa Junk.")</f>
        <v>Mzunguko wa kukumbusha wa Junk.</v>
      </c>
      <c r="K249" s="4" t="str">
        <f>IFERROR(__xludf.DUMMYFUNCTION("GOOGLETRANSLATE(B249, ""en"", ""th"")"),"ความถี่เตือนความจำขยะ")</f>
        <v>ความถี่เตือนความจำขยะ</v>
      </c>
      <c r="L249" s="4" t="str">
        <f>IFERROR(__xludf.DUMMYFUNCTION("GOOGLETRANSLATE(B249, ""en"", ""si"")"),"කුණු චේතන සංඛ්යාතය")</f>
        <v>කුණු චේතන සංඛ්යාතය</v>
      </c>
      <c r="M249" s="4" t="str">
        <f>IFERROR(__xludf.DUMMYFUNCTION("GOOGLETRANSLATE(B249, ""en"", ""vi"")"),"Tần số nhắc nhở rác")</f>
        <v>Tần số nhắc nhở rác</v>
      </c>
      <c r="N249" s="4" t="str">
        <f>IFERROR(__xludf.DUMMYFUNCTION("GOOGLETRANSLATE(B249, ""en"", ""ne"")"),"जंक रिमाइन्डर फ्रिक्वेन्सी")</f>
        <v>जंक रिमाइन्डर फ्रिक्वेन्सी</v>
      </c>
      <c r="O249" s="4" t="str">
        <f>IFERROR(__xludf.DUMMYFUNCTION("GOOGLETRANSLATE(B249, ""en"", ""de"")"),"Junk-Erinnerungsfrequenz.")</f>
        <v>Junk-Erinnerungsfrequenz.</v>
      </c>
      <c r="P249" s="4" t="str">
        <f>IFERROR(__xludf.DUMMYFUNCTION("GOOGLETRANSLATE(B249, ""en"", ""he"")"),"תדירות זבל תזכורת")</f>
        <v>תדירות זבל תזכורת</v>
      </c>
      <c r="Q249" s="4" t="str">
        <f>IFERROR(__xludf.DUMMYFUNCTION("GOOGLETRANSLATE(B249, ""en"", ""cs"")"),"Frekvence vyrovnávací paměti")</f>
        <v>Frekvence vyrovnávací paměti</v>
      </c>
      <c r="R249" s="4" t="str">
        <f>IFERROR(__xludf.DUMMYFUNCTION("GOOGLETRANSLATE(B249, ""en"", ""it"")"),"Frequenza di promemoria spazzatura")</f>
        <v>Frequenza di promemoria spazzatura</v>
      </c>
      <c r="S249" s="4" t="str">
        <f>IFERROR(__xludf.DUMMYFUNCTION("GOOGLETRANSLATE(B249, ""en"", ""el"")"),"Συχνότητα υπενθύμισης ανεπιθύμητης υπενθύμισης")</f>
        <v>Συχνότητα υπενθύμισης ανεπιθύμητης υπενθύμισης</v>
      </c>
    </row>
    <row r="250" ht="15.75" customHeight="1">
      <c r="A250" s="4" t="s">
        <v>512</v>
      </c>
      <c r="B250" s="4" t="s">
        <v>513</v>
      </c>
      <c r="C250" s="4" t="str">
        <f>IFERROR(__xludf.DUMMYFUNCTION("GOOGLETRANSLATE(B250, ""en"", ""es"")"),"Apagado")</f>
        <v>Apagado</v>
      </c>
      <c r="D250" s="4" t="str">
        <f>IFERROR(__xludf.DUMMYFUNCTION("GOOGLETRANSLATE(B250, ""en"", ""pt"")"),"Desligado")</f>
        <v>Desligado</v>
      </c>
      <c r="E250" s="4" t="str">
        <f>IFERROR(__xludf.DUMMYFUNCTION("GOOGLETRANSLATE(B250, ""en"", ""ar"")"),"اطفء")</f>
        <v>اطفء</v>
      </c>
      <c r="F250" s="4" t="str">
        <f>IFERROR(__xludf.DUMMYFUNCTION("GOOGLETRANSLATE(B250, ""en"", ""km"")"),"រលត់")</f>
        <v>រលត់</v>
      </c>
      <c r="G250" s="4" t="str">
        <f>IFERROR(__xludf.DUMMYFUNCTION("GOOGLETRANSLATE(B250, ""en"", ""fr"")"),"Désactivé")</f>
        <v>Désactivé</v>
      </c>
      <c r="H250" s="4" t="str">
        <f>IFERROR(__xludf.DUMMYFUNCTION("GOOGLETRANSLATE(B250, ""en"", ""ro"")"),"Off.")</f>
        <v>Off.</v>
      </c>
      <c r="I250" s="4" t="str">
        <f>IFERROR(__xludf.DUMMYFUNCTION("GOOGLETRANSLATE(B250, ""en"", ""my"")"),"သွား")</f>
        <v>သွား</v>
      </c>
      <c r="J250" s="4" t="str">
        <f>IFERROR(__xludf.DUMMYFUNCTION("GOOGLETRANSLATE(B250, ""en"", ""sw"")"),"Off.")</f>
        <v>Off.</v>
      </c>
      <c r="K250" s="4" t="str">
        <f>IFERROR(__xludf.DUMMYFUNCTION("GOOGLETRANSLATE(B250, ""en"", ""th"")"),"ปิด")</f>
        <v>ปิด</v>
      </c>
      <c r="L250" s="4" t="str">
        <f>IFERROR(__xludf.DUMMYFUNCTION("GOOGLETRANSLATE(B250, ""en"", ""si"")"),"අක්රිය කරන්න")</f>
        <v>අක්රිය කරන්න</v>
      </c>
      <c r="M250" s="4" t="str">
        <f>IFERROR(__xludf.DUMMYFUNCTION("GOOGLETRANSLATE(B250, ""en"", ""vi"")"),"Tắt")</f>
        <v>Tắt</v>
      </c>
      <c r="N250" s="4" t="str">
        <f>IFERROR(__xludf.DUMMYFUNCTION("GOOGLETRANSLATE(B250, ""en"", ""ne"")"),"बती निभाउनु")</f>
        <v>बती निभाउनु</v>
      </c>
      <c r="O250" s="4" t="str">
        <f>IFERROR(__xludf.DUMMYFUNCTION("GOOGLETRANSLATE(B250, ""en"", ""de"")"),"aus")</f>
        <v>aus</v>
      </c>
      <c r="P250" s="4" t="str">
        <f>IFERROR(__xludf.DUMMYFUNCTION("GOOGLETRANSLATE(B250, ""en"", ""he"")"),"כבוי")</f>
        <v>כבוי</v>
      </c>
      <c r="Q250" s="4" t="str">
        <f>IFERROR(__xludf.DUMMYFUNCTION("GOOGLETRANSLATE(B250, ""en"", ""cs"")"),"Vypnuto")</f>
        <v>Vypnuto</v>
      </c>
      <c r="R250" s="4" t="str">
        <f>IFERROR(__xludf.DUMMYFUNCTION("GOOGLETRANSLATE(B250, ""en"", ""it"")"),"Spento")</f>
        <v>Spento</v>
      </c>
      <c r="S250" s="4" t="str">
        <f>IFERROR(__xludf.DUMMYFUNCTION("GOOGLETRANSLATE(B250, ""en"", ""el"")"),"Μακριά από")</f>
        <v>Μακριά από</v>
      </c>
    </row>
    <row r="251" ht="15.75" customHeight="1">
      <c r="A251" s="4" t="s">
        <v>514</v>
      </c>
      <c r="B251" s="4" t="s">
        <v>515</v>
      </c>
      <c r="C251" s="4" t="str">
        <f>IFERROR(__xludf.DUMMYFUNCTION("GOOGLETRANSLATE(B251, ""en"", ""es"")"),"Analizando el uso de energía ...")</f>
        <v>Analizando el uso de energía ...</v>
      </c>
      <c r="D251" s="4" t="str">
        <f>IFERROR(__xludf.DUMMYFUNCTION("GOOGLETRANSLATE(B251, ""en"", ""pt"")"),"Analisando o uso de energia ...")</f>
        <v>Analisando o uso de energia ...</v>
      </c>
      <c r="E251" s="4" t="str">
        <f>IFERROR(__xludf.DUMMYFUNCTION("GOOGLETRANSLATE(B251, ""en"", ""ar"")"),"تحليل استخدام الطاقة ...")</f>
        <v>تحليل استخدام الطاقة ...</v>
      </c>
      <c r="F251" s="4" t="str">
        <f>IFERROR(__xludf.DUMMYFUNCTION("GOOGLETRANSLATE(B251, ""en"", ""km"")"),"វិភាគការប្រើប្រាស់ថាមពល ...")</f>
        <v>វិភាគការប្រើប្រាស់ថាមពល ...</v>
      </c>
      <c r="G251" s="4" t="str">
        <f>IFERROR(__xludf.DUMMYFUNCTION("GOOGLETRANSLATE(B251, ""en"", ""fr"")"),"Analyser l'utilisation de la puissance ...")</f>
        <v>Analyser l'utilisation de la puissance ...</v>
      </c>
      <c r="H251" s="4" t="str">
        <f>IFERROR(__xludf.DUMMYFUNCTION("GOOGLETRANSLATE(B251, ""en"", ""ro"")"),"Analizarea utilizării puterii ...")</f>
        <v>Analizarea utilizării puterii ...</v>
      </c>
      <c r="I251" s="4" t="str">
        <f>IFERROR(__xludf.DUMMYFUNCTION("GOOGLETRANSLATE(B251, ""en"", ""my"")"),"အာဏာကိုအသုံးပြုခြင်းအားဆန်းစစ်ခြင်း ...")</f>
        <v>အာဏာကိုအသုံးပြုခြင်းအားဆန်းစစ်ခြင်း ...</v>
      </c>
      <c r="J251" s="4" t="str">
        <f>IFERROR(__xludf.DUMMYFUNCTION("GOOGLETRANSLATE(B251, ""en"", ""sw"")"),"Kuchambua matumizi ya nguvu ...")</f>
        <v>Kuchambua matumizi ya nguvu ...</v>
      </c>
      <c r="K251" s="4" t="str">
        <f>IFERROR(__xludf.DUMMYFUNCTION("GOOGLETRANSLATE(B251, ""en"", ""th"")"),"วิเคราะห์การใช้พลังงาน ...")</f>
        <v>วิเคราะห์การใช้พลังงาน ...</v>
      </c>
      <c r="L251" s="4" t="str">
        <f>IFERROR(__xludf.DUMMYFUNCTION("GOOGLETRANSLATE(B251, ""en"", ""si"")"),"බල භාවිතය විශ්ලේෂණය කිරීම ...")</f>
        <v>බල භාවිතය විශ්ලේෂණය කිරීම ...</v>
      </c>
      <c r="M251" s="4" t="str">
        <f>IFERROR(__xludf.DUMMYFUNCTION("GOOGLETRANSLATE(B251, ""en"", ""vi"")"),"Phân tích sử dụng điện ...")</f>
        <v>Phân tích sử dụng điện ...</v>
      </c>
      <c r="N251" s="4" t="str">
        <f>IFERROR(__xludf.DUMMYFUNCTION("GOOGLETRANSLATE(B251, ""en"", ""ne"")"),"शक्ति प्रयोग विश्लेषण गर्दै ...")</f>
        <v>शक्ति प्रयोग विश्लेषण गर्दै ...</v>
      </c>
      <c r="O251" s="4" t="str">
        <f>IFERROR(__xludf.DUMMYFUNCTION("GOOGLETRANSLATE(B251, ""en"", ""de"")"),"Analyse der Stromverbrauch ...")</f>
        <v>Analyse der Stromverbrauch ...</v>
      </c>
      <c r="P251" s="4" t="str">
        <f>IFERROR(__xludf.DUMMYFUNCTION("GOOGLETRANSLATE(B251, ""en"", ""he"")"),"ניתוח השימוש בספק ...")</f>
        <v>ניתוח השימוש בספק ...</v>
      </c>
      <c r="Q251" s="4" t="str">
        <f>IFERROR(__xludf.DUMMYFUNCTION("GOOGLETRANSLATE(B251, ""en"", ""cs"")"),"Analýza využití výkonu ...")</f>
        <v>Analýza využití výkonu ...</v>
      </c>
      <c r="R251" s="4" t="str">
        <f>IFERROR(__xludf.DUMMYFUNCTION("GOOGLETRANSLATE(B251, ""en"", ""it"")"),"Analisi dell'uso di energia ...")</f>
        <v>Analisi dell'uso di energia ...</v>
      </c>
      <c r="S251" s="4" t="str">
        <f>IFERROR(__xludf.DUMMYFUNCTION("GOOGLETRANSLATE(B251, ""en"", ""el"")"),"Ανάλυση της χρήσης ισχύος ...")</f>
        <v>Ανάλυση της χρήσης ισχύος ...</v>
      </c>
    </row>
    <row r="252" ht="15.75" customHeight="1">
      <c r="A252" s="4" t="s">
        <v>516</v>
      </c>
      <c r="B252" s="4" t="s">
        <v>517</v>
      </c>
      <c r="C252" s="4" t="str">
        <f>IFERROR(__xludf.DUMMYFUNCTION("GOOGLETRANSLATE(B252, ""en"", ""es"")"),"Guardar ahora")</f>
        <v>Guardar ahora</v>
      </c>
      <c r="D252" s="4" t="str">
        <f>IFERROR(__xludf.DUMMYFUNCTION("GOOGLETRANSLATE(B252, ""en"", ""pt"")"),"Salve agora")</f>
        <v>Salve agora</v>
      </c>
      <c r="E252" s="4" t="str">
        <f>IFERROR(__xludf.DUMMYFUNCTION("GOOGLETRANSLATE(B252, ""en"", ""ar"")"),"احفظ الان")</f>
        <v>احفظ الان</v>
      </c>
      <c r="F252" s="4" t="str">
        <f>IFERROR(__xludf.DUMMYFUNCTION("GOOGLETRANSLATE(B252, ""en"", ""km"")"),"រក្សាទុកឥឡូវនេះ")</f>
        <v>រក្សាទុកឥឡូវនេះ</v>
      </c>
      <c r="G252" s="4" t="str">
        <f>IFERROR(__xludf.DUMMYFUNCTION("GOOGLETRANSLATE(B252, ""en"", ""fr"")"),"Sauvegarder maintenant")</f>
        <v>Sauvegarder maintenant</v>
      </c>
      <c r="H252" s="4" t="str">
        <f>IFERROR(__xludf.DUMMYFUNCTION("GOOGLETRANSLATE(B252, ""en"", ""ro"")"),"Salvează acum")</f>
        <v>Salvează acum</v>
      </c>
      <c r="I252" s="4" t="str">
        <f>IFERROR(__xludf.DUMMYFUNCTION("GOOGLETRANSLATE(B252, ""en"", ""my"")"),"ယခုသိမ်းဆည်းပါ")</f>
        <v>ယခုသိမ်းဆည်းပါ</v>
      </c>
      <c r="J252" s="4" t="str">
        <f>IFERROR(__xludf.DUMMYFUNCTION("GOOGLETRANSLATE(B252, ""en"", ""sw"")"),"Hifadhi sasa")</f>
        <v>Hifadhi sasa</v>
      </c>
      <c r="K252" s="4" t="str">
        <f>IFERROR(__xludf.DUMMYFUNCTION("GOOGLETRANSLATE(B252, ""en"", ""th"")"),"บันทึกในขณะนี้")</f>
        <v>บันทึกในขณะนี้</v>
      </c>
      <c r="L252" s="4" t="str">
        <f>IFERROR(__xludf.DUMMYFUNCTION("GOOGLETRANSLATE(B252, ""en"", ""si"")"),"දැන් සුරකින්න")</f>
        <v>දැන් සුරකින්න</v>
      </c>
      <c r="M252" s="4" t="str">
        <f>IFERROR(__xludf.DUMMYFUNCTION("GOOGLETRANSLATE(B252, ""en"", ""vi"")"),"Lưu bây giờ")</f>
        <v>Lưu bây giờ</v>
      </c>
      <c r="N252" s="4" t="str">
        <f>IFERROR(__xludf.DUMMYFUNCTION("GOOGLETRANSLATE(B252, ""en"", ""ne"")"),"अब बगाउनुहोस्")</f>
        <v>अब बगाउनुहोस्</v>
      </c>
      <c r="O252" s="4" t="str">
        <f>IFERROR(__xludf.DUMMYFUNCTION("GOOGLETRANSLATE(B252, ""en"", ""de"")"),"Jetzt sparen")</f>
        <v>Jetzt sparen</v>
      </c>
      <c r="P252" s="4" t="str">
        <f>IFERROR(__xludf.DUMMYFUNCTION("GOOGLETRANSLATE(B252, ""en"", ""he"")"),"שמור עכשיו")</f>
        <v>שמור עכשיו</v>
      </c>
      <c r="Q252" s="4" t="str">
        <f>IFERROR(__xludf.DUMMYFUNCTION("GOOGLETRANSLATE(B252, ""en"", ""cs"")"),"Uložit hned")</f>
        <v>Uložit hned</v>
      </c>
      <c r="R252" s="4" t="str">
        <f>IFERROR(__xludf.DUMMYFUNCTION("GOOGLETRANSLATE(B252, ""en"", ""it"")"),"Salva ora")</f>
        <v>Salva ora</v>
      </c>
      <c r="S252" s="4" t="str">
        <f>IFERROR(__xludf.DUMMYFUNCTION("GOOGLETRANSLATE(B252, ""en"", ""el"")"),"Σώσε τώρα")</f>
        <v>Σώσε τώρα</v>
      </c>
    </row>
    <row r="253" ht="15.75" customHeight="1">
      <c r="A253" s="4" t="s">
        <v>518</v>
      </c>
      <c r="B253" s="4" t="s">
        <v>519</v>
      </c>
      <c r="C253" s="4" t="str">
        <f>IFERROR(__xludf.DUMMYFUNCTION("GOOGLETRANSLATE(B253, ""en"", ""es"")"),"Esta aplicación es segura")</f>
        <v>Esta aplicación es segura</v>
      </c>
      <c r="D253" s="4" t="str">
        <f>IFERROR(__xludf.DUMMYFUNCTION("GOOGLETRANSLATE(B253, ""en"", ""pt"")"),"Esta aplicação é segura")</f>
        <v>Esta aplicação é segura</v>
      </c>
      <c r="E253" s="4" t="str">
        <f>IFERROR(__xludf.DUMMYFUNCTION("GOOGLETRANSLATE(B253, ""en"", ""ar"")"),"هذا التطبيق آمن")</f>
        <v>هذا التطبيق آمن</v>
      </c>
      <c r="F253" s="4" t="str">
        <f>IFERROR(__xludf.DUMMYFUNCTION("GOOGLETRANSLATE(B253, ""en"", ""km"")"),"កម្មវិធីនេះមានសុវត្ថិភាព")</f>
        <v>កម្មវិធីនេះមានសុវត្ថិភាព</v>
      </c>
      <c r="G253" s="4" t="str">
        <f>IFERROR(__xludf.DUMMYFUNCTION("GOOGLETRANSLATE(B253, ""en"", ""fr"")"),"Cette application est sûre")</f>
        <v>Cette application est sûre</v>
      </c>
      <c r="H253" s="4" t="str">
        <f>IFERROR(__xludf.DUMMYFUNCTION("GOOGLETRANSLATE(B253, ""en"", ""ro"")"),"Această aplicație este sigură")</f>
        <v>Această aplicație este sigură</v>
      </c>
      <c r="I253" s="4" t="str">
        <f>IFERROR(__xludf.DUMMYFUNCTION("GOOGLETRANSLATE(B253, ""en"", ""my"")"),"ဒီလျှောက်လွှာလုံခြုံသည်")</f>
        <v>ဒီလျှောက်လွှာလုံခြုံသည်</v>
      </c>
      <c r="J253" s="4" t="str">
        <f>IFERROR(__xludf.DUMMYFUNCTION("GOOGLETRANSLATE(B253, ""en"", ""sw"")"),"Programu hii ni salama.")</f>
        <v>Programu hii ni salama.</v>
      </c>
      <c r="K253" s="4" t="str">
        <f>IFERROR(__xludf.DUMMYFUNCTION("GOOGLETRANSLATE(B253, ""en"", ""th"")"),"แอปพลิเคชั่นนี้ปลอดภัย")</f>
        <v>แอปพลิเคชั่นนี้ปลอดภัย</v>
      </c>
      <c r="L253" s="4" t="str">
        <f>IFERROR(__xludf.DUMMYFUNCTION("GOOGLETRANSLATE(B253, ""en"", ""si"")"),"මෙම යෙදුම ආරක්ෂිතයි")</f>
        <v>මෙම යෙදුම ආරක්ෂිතයි</v>
      </c>
      <c r="M253" s="4" t="str">
        <f>IFERROR(__xludf.DUMMYFUNCTION("GOOGLETRANSLATE(B253, ""en"", ""vi"")"),"Ứng dụng này là an toàn")</f>
        <v>Ứng dụng này là an toàn</v>
      </c>
      <c r="N253" s="4" t="str">
        <f>IFERROR(__xludf.DUMMYFUNCTION("GOOGLETRANSLATE(B253, ""en"", ""ne"")"),"यो अनुप्रयोग सुरक्षित छ")</f>
        <v>यो अनुप्रयोग सुरक्षित छ</v>
      </c>
      <c r="O253" s="4" t="str">
        <f>IFERROR(__xludf.DUMMYFUNCTION("GOOGLETRANSLATE(B253, ""en"", ""de"")"),"Diese Anwendung ist sicher")</f>
        <v>Diese Anwendung ist sicher</v>
      </c>
      <c r="P253" s="4" t="str">
        <f>IFERROR(__xludf.DUMMYFUNCTION("GOOGLETRANSLATE(B253, ""en"", ""he"")"),"יישום זה בטוח")</f>
        <v>יישום זה בטוח</v>
      </c>
      <c r="Q253" s="4" t="str">
        <f>IFERROR(__xludf.DUMMYFUNCTION("GOOGLETRANSLATE(B253, ""en"", ""cs"")"),"Tato aplikace je bezpečná")</f>
        <v>Tato aplikace je bezpečná</v>
      </c>
      <c r="R253" s="4" t="str">
        <f>IFERROR(__xludf.DUMMYFUNCTION("GOOGLETRANSLATE(B253, ""en"", ""it"")"),"Questa applicazione è sicura")</f>
        <v>Questa applicazione è sicura</v>
      </c>
      <c r="S253" s="4" t="str">
        <f>IFERROR(__xludf.DUMMYFUNCTION("GOOGLETRANSLATE(B253, ""en"", ""el"")"),"Αυτή η εφαρμογή είναι ασφαλής")</f>
        <v>Αυτή η εφαρμογή είναι ασφαλής</v>
      </c>
    </row>
    <row r="254" ht="15.75" customHeight="1">
      <c r="A254" s="4" t="s">
        <v>520</v>
      </c>
      <c r="B254" s="4" t="s">
        <v>82</v>
      </c>
      <c r="C254" s="4" t="str">
        <f>IFERROR(__xludf.DUMMYFUNCTION("GOOGLETRANSLATE(B254, ""en"", ""es"")"),"Consume en secreto su batería")</f>
        <v>Consume en secreto su batería</v>
      </c>
      <c r="D254" s="4" t="str">
        <f>IFERROR(__xludf.DUMMYFUNCTION("GOOGLETRANSLATE(B254, ""en"", ""pt"")"),"Secretamente consumindo sua bateria")</f>
        <v>Secretamente consumindo sua bateria</v>
      </c>
      <c r="E254" s="4" t="str">
        <f>IFERROR(__xludf.DUMMYFUNCTION("GOOGLETRANSLATE(B254, ""en"", ""ar"")"),"تستهلك سرا البطارية")</f>
        <v>تستهلك سرا البطارية</v>
      </c>
      <c r="F254" s="4" t="str">
        <f>IFERROR(__xludf.DUMMYFUNCTION("GOOGLETRANSLATE(B254, ""en"", ""km"")"),"ទទួលទានថ្មរបស់អ្នកដោយសម្ងាត់")</f>
        <v>ទទួលទានថ្មរបស់អ្នកដោយសម្ងាត់</v>
      </c>
      <c r="G254" s="4" t="str">
        <f>IFERROR(__xludf.DUMMYFUNCTION("GOOGLETRANSLATE(B254, ""en"", ""fr"")"),"Consommer secrètement votre batterie")</f>
        <v>Consommer secrètement votre batterie</v>
      </c>
      <c r="H254" s="4" t="str">
        <f>IFERROR(__xludf.DUMMYFUNCTION("GOOGLETRANSLATE(B254, ""en"", ""ro"")"),"Consumând în mod secret bateria")</f>
        <v>Consumând în mod secret bateria</v>
      </c>
      <c r="I254" s="4" t="str">
        <f>IFERROR(__xludf.DUMMYFUNCTION("GOOGLETRANSLATE(B254, ""en"", ""my"")"),"သင့်ဘက်ထရီကိုလျှို့ဝှက်စွာသောက်သုံးခြင်း")</f>
        <v>သင့်ဘက်ထရီကိုလျှို့ဝှက်စွာသောက်သုံးခြင်း</v>
      </c>
      <c r="J254" s="4" t="str">
        <f>IFERROR(__xludf.DUMMYFUNCTION("GOOGLETRANSLATE(B254, ""en"", ""sw"")"),"Kwa siri hutumia betri yako")</f>
        <v>Kwa siri hutumia betri yako</v>
      </c>
      <c r="K254" s="4" t="str">
        <f>IFERROR(__xludf.DUMMYFUNCTION("GOOGLETRANSLATE(B254, ""en"", ""th"")"),"การบริโภคแบตเตอรี่ของคุณอย่างลับๆ")</f>
        <v>การบริโภคแบตเตอรี่ของคุณอย่างลับๆ</v>
      </c>
      <c r="L254" s="4" t="str">
        <f>IFERROR(__xludf.DUMMYFUNCTION("GOOGLETRANSLATE(B254, ""en"", ""si"")"),"ඔබේ බැටරිය රහසින් පරිභෝජනය කරයි")</f>
        <v>ඔබේ බැටරිය රහසින් පරිභෝජනය කරයි</v>
      </c>
      <c r="M254" s="4" t="str">
        <f>IFERROR(__xludf.DUMMYFUNCTION("GOOGLETRANSLATE(B254, ""en"", ""vi"")"),"Bí mật tiêu thụ pin của bạn")</f>
        <v>Bí mật tiêu thụ pin của bạn</v>
      </c>
      <c r="N254" s="4" t="str">
        <f>IFERROR(__xludf.DUMMYFUNCTION("GOOGLETRANSLATE(B254, ""en"", ""ne"")"),"गोप्य रूपमा तपाइँको ब्याट्री खपत गर्दै")</f>
        <v>गोप्य रूपमा तपाइँको ब्याट्री खपत गर्दै</v>
      </c>
      <c r="O254" s="4" t="str">
        <f>IFERROR(__xludf.DUMMYFUNCTION("GOOGLETRANSLATE(B254, ""en"", ""de"")"),"Heimlich Ihre Batterie konsumieren")</f>
        <v>Heimlich Ihre Batterie konsumieren</v>
      </c>
      <c r="P254" s="4" t="str">
        <f>IFERROR(__xludf.DUMMYFUNCTION("GOOGLETRANSLATE(B254, ""en"", ""he"")"),"בחשאי לצרוך את הסוללה שלך")</f>
        <v>בחשאי לצרוך את הסוללה שלך</v>
      </c>
      <c r="Q254" s="4" t="str">
        <f>IFERROR(__xludf.DUMMYFUNCTION("GOOGLETRANSLATE(B254, ""en"", ""cs"")"),"Tajně konzumovat baterii")</f>
        <v>Tajně konzumovat baterii</v>
      </c>
      <c r="R254" s="4" t="str">
        <f>IFERROR(__xludf.DUMMYFUNCTION("GOOGLETRANSLATE(B254, ""en"", ""it"")"),"Consumando segretamente la batteria")</f>
        <v>Consumando segretamente la batteria</v>
      </c>
      <c r="S254" s="4" t="str">
        <f>IFERROR(__xludf.DUMMYFUNCTION("GOOGLETRANSLATE(B254, ""en"", ""el"")"),"Φυσικά κατανάλωση της μπαταρίας σας")</f>
        <v>Φυσικά κατανάλωση της μπαταρίας σας</v>
      </c>
    </row>
    <row r="255" ht="15.75" customHeight="1">
      <c r="A255" s="4" t="s">
        <v>521</v>
      </c>
      <c r="B255" s="4" t="s">
        <v>522</v>
      </c>
      <c r="C255" s="4" t="str">
        <f>IFERROR(__xludf.DUMMYFUNCTION("GOOGLETRANSLATE(B255, ""en"", ""es"")"),"Calificar aplicacion")</f>
        <v>Calificar aplicacion</v>
      </c>
      <c r="D255" s="4" t="str">
        <f>IFERROR(__xludf.DUMMYFUNCTION("GOOGLETRANSLATE(B255, ""en"", ""pt"")"),"APP DE TAXA.")</f>
        <v>APP DE TAXA.</v>
      </c>
      <c r="E255" s="4" t="str">
        <f>IFERROR(__xludf.DUMMYFUNCTION("GOOGLETRANSLATE(B255, ""en"", ""ar"")"),"قيم التطبيق")</f>
        <v>قيم التطبيق</v>
      </c>
      <c r="F255" s="4" t="str">
        <f>IFERROR(__xludf.DUMMYFUNCTION("GOOGLETRANSLATE(B255, ""en"", ""km"")"),"អត្រាការប្រាក់")</f>
        <v>អត្រាការប្រាក់</v>
      </c>
      <c r="G255" s="4" t="str">
        <f>IFERROR(__xludf.DUMMYFUNCTION("GOOGLETRANSLATE(B255, ""en"", ""fr"")"),"Application de taux")</f>
        <v>Application de taux</v>
      </c>
      <c r="H255" s="4" t="str">
        <f>IFERROR(__xludf.DUMMYFUNCTION("GOOGLETRANSLATE(B255, ""en"", ""ro"")"),"Evaluați aplicația")</f>
        <v>Evaluați aplicația</v>
      </c>
      <c r="I255" s="4" t="str">
        <f>IFERROR(__xludf.DUMMYFUNCTION("GOOGLETRANSLATE(B255, ""en"", ""my"")"),"အဆင့်အတန်း")</f>
        <v>အဆင့်အတန်း</v>
      </c>
      <c r="J255" s="4" t="str">
        <f>IFERROR(__xludf.DUMMYFUNCTION("GOOGLETRANSLATE(B255, ""en"", ""sw"")"),"Kiwango cha programu")</f>
        <v>Kiwango cha programu</v>
      </c>
      <c r="K255" s="4" t="str">
        <f>IFERROR(__xludf.DUMMYFUNCTION("GOOGLETRANSLATE(B255, ""en"", ""th"")"),"ให้คะแนนแอพ")</f>
        <v>ให้คะแนนแอพ</v>
      </c>
      <c r="L255" s="4" t="str">
        <f>IFERROR(__xludf.DUMMYFUNCTION("GOOGLETRANSLATE(B255, ""en"", ""si"")"),"අනුපාත")</f>
        <v>අනුපාත</v>
      </c>
      <c r="M255" s="4" t="str">
        <f>IFERROR(__xludf.DUMMYFUNCTION("GOOGLETRANSLATE(B255, ""en"", ""vi"")"),"Đánh giá ứng dụng")</f>
        <v>Đánh giá ứng dụng</v>
      </c>
      <c r="N255" s="4" t="str">
        <f>IFERROR(__xludf.DUMMYFUNCTION("GOOGLETRANSLATE(B255, ""en"", ""ne"")"),"दर")</f>
        <v>दर</v>
      </c>
      <c r="O255" s="4" t="str">
        <f>IFERROR(__xludf.DUMMYFUNCTION("GOOGLETRANSLATE(B255, ""en"", ""de"")"),"Bewertungs App")</f>
        <v>Bewertungs App</v>
      </c>
      <c r="P255" s="4" t="str">
        <f>IFERROR(__xludf.DUMMYFUNCTION("GOOGLETRANSLATE(B255, ""en"", ""he"")"),"דרג אפליקציה")</f>
        <v>דרג אפליקציה</v>
      </c>
      <c r="Q255" s="4" t="str">
        <f>IFERROR(__xludf.DUMMYFUNCTION("GOOGLETRANSLATE(B255, ""en"", ""cs"")"),"Ohodnoťte aplikaci")</f>
        <v>Ohodnoťte aplikaci</v>
      </c>
      <c r="R255" s="4" t="str">
        <f>IFERROR(__xludf.DUMMYFUNCTION("GOOGLETRANSLATE(B255, ""en"", ""it"")"),"Tasso")</f>
        <v>Tasso</v>
      </c>
      <c r="S255" s="4" t="str">
        <f>IFERROR(__xludf.DUMMYFUNCTION("GOOGLETRANSLATE(B255, ""en"", ""el"")"),"Βαθμολόγησε την εφαρμογη")</f>
        <v>Βαθμολόγησε την εφαρμογη</v>
      </c>
    </row>
    <row r="256" ht="15.75" customHeight="1">
      <c r="A256" s="4" t="s">
        <v>523</v>
      </c>
      <c r="B256" s="4" t="s">
        <v>524</v>
      </c>
      <c r="C256" s="4" t="str">
        <f>IFERROR(__xludf.DUMMYFUNCTION("GOOGLETRANSLATE(B256, ""en"", ""es"")"),"Puede controlar las llamadas salientes")</f>
        <v>Puede controlar las llamadas salientes</v>
      </c>
      <c r="D256" s="4" t="str">
        <f>IFERROR(__xludf.DUMMYFUNCTION("GOOGLETRANSLATE(B256, ""en"", ""pt"")"),"Pode controlar chamadas de saída")</f>
        <v>Pode controlar chamadas de saída</v>
      </c>
      <c r="E256" s="4" t="str">
        <f>IFERROR(__xludf.DUMMYFUNCTION("GOOGLETRANSLATE(B256, ""en"", ""ar"")"),"يمكن السيطرة على المكالمات الصادرة")</f>
        <v>يمكن السيطرة على المكالمات الصادرة</v>
      </c>
      <c r="F256" s="4" t="str">
        <f>IFERROR(__xludf.DUMMYFUNCTION("GOOGLETRANSLATE(B256, ""en"", ""km"")"),"អាចគ្រប់គ្រងការហៅចេញចេញ")</f>
        <v>អាចគ្រប់គ្រងការហៅចេញចេញ</v>
      </c>
      <c r="G256" s="4" t="str">
        <f>IFERROR(__xludf.DUMMYFUNCTION("GOOGLETRANSLATE(B256, ""en"", ""fr"")"),"Peut contrôler les appels sortants")</f>
        <v>Peut contrôler les appels sortants</v>
      </c>
      <c r="H256" s="4" t="str">
        <f>IFERROR(__xludf.DUMMYFUNCTION("GOOGLETRANSLATE(B256, ""en"", ""ro"")"),"Poate controla apelurile efectuate")</f>
        <v>Poate controla apelurile efectuate</v>
      </c>
      <c r="I256" s="4" t="str">
        <f>IFERROR(__xludf.DUMMYFUNCTION("GOOGLETRANSLATE(B256, ""en"", ""my"")"),"အထွက်ခေါ်ဆိုမှုများကိုထိန်းချုပ်နိုင်သည်")</f>
        <v>အထွက်ခေါ်ဆိုမှုများကိုထိန်းချုပ်နိုင်သည်</v>
      </c>
      <c r="J256" s="4" t="str">
        <f>IFERROR(__xludf.DUMMYFUNCTION("GOOGLETRANSLATE(B256, ""en"", ""sw"")"),"Inaweza kudhibiti wito zinazotoka")</f>
        <v>Inaweza kudhibiti wito zinazotoka</v>
      </c>
      <c r="K256" s="4" t="str">
        <f>IFERROR(__xludf.DUMMYFUNCTION("GOOGLETRANSLATE(B256, ""en"", ""th"")"),"สามารถควบคุมการโทรออก")</f>
        <v>สามารถควบคุมการโทรออก</v>
      </c>
      <c r="L256" s="4" t="str">
        <f>IFERROR(__xludf.DUMMYFUNCTION("GOOGLETRANSLATE(B256, ""en"", ""si"")"),"පිටතට යන ඇමතුම් පාලනය කළ හැකිය")</f>
        <v>පිටතට යන ඇමතුම් පාලනය කළ හැකිය</v>
      </c>
      <c r="M256" s="4" t="str">
        <f>IFERROR(__xludf.DUMMYFUNCTION("GOOGLETRANSLATE(B256, ""en"", ""vi"")"),"Có thể kiểm soát các cuộc gọi đi")</f>
        <v>Có thể kiểm soát các cuộc gọi đi</v>
      </c>
      <c r="N256" s="4" t="str">
        <f>IFERROR(__xludf.DUMMYFUNCTION("GOOGLETRANSLATE(B256, ""en"", ""ne"")"),"बहिर्गमन कलहरू नियन्त्रण गर्न सक्नुहुन्छ")</f>
        <v>बहिर्गमन कलहरू नियन्त्रण गर्न सक्नुहुन्छ</v>
      </c>
      <c r="O256" s="4" t="str">
        <f>IFERROR(__xludf.DUMMYFUNCTION("GOOGLETRANSLATE(B256, ""en"", ""de"")"),"Kann ausgehende Anrufe steuern")</f>
        <v>Kann ausgehende Anrufe steuern</v>
      </c>
      <c r="P256" s="4" t="str">
        <f>IFERROR(__xludf.DUMMYFUNCTION("GOOGLETRANSLATE(B256, ""en"", ""he"")"),"יכול לשלוט שיחות יוצאות")</f>
        <v>יכול לשלוט שיחות יוצאות</v>
      </c>
      <c r="Q256" s="4" t="str">
        <f>IFERROR(__xludf.DUMMYFUNCTION("GOOGLETRANSLATE(B256, ""en"", ""cs"")"),"Může ovládat odchozí hovory")</f>
        <v>Může ovládat odchozí hovory</v>
      </c>
      <c r="R256" s="4" t="str">
        <f>IFERROR(__xludf.DUMMYFUNCTION("GOOGLETRANSLATE(B256, ""en"", ""it"")"),"Può controllare le chiamate in uscita")</f>
        <v>Può controllare le chiamate in uscita</v>
      </c>
      <c r="S256" s="4" t="str">
        <f>IFERROR(__xludf.DUMMYFUNCTION("GOOGLETRANSLATE(B256, ""en"", ""el"")"),"Μπορεί να ελέγξει τις εξερχόμενες κλήσεις")</f>
        <v>Μπορεί να ελέγξει τις εξερχόμενες κλήσεις</v>
      </c>
    </row>
    <row r="257" ht="15.75" customHeight="1">
      <c r="A257" s="4" t="s">
        <v>525</v>
      </c>
      <c r="B257" s="4" t="s">
        <v>526</v>
      </c>
      <c r="C257" s="4" t="str">
        <f>IFERROR(__xludf.DUMMYFUNCTION("GOOGLETRANSLATE(B257, ""en"", ""es"")"),"Eliminar, por favor espere ....")</f>
        <v>Eliminar, por favor espere ....</v>
      </c>
      <c r="D257" s="4" t="str">
        <f>IFERROR(__xludf.DUMMYFUNCTION("GOOGLETRANSLATE(B257, ""en"", ""pt"")"),"Excluindo, por favor, aguarde ....")</f>
        <v>Excluindo, por favor, aguarde ....</v>
      </c>
      <c r="E257" s="4" t="str">
        <f>IFERROR(__xludf.DUMMYFUNCTION("GOOGLETRANSLATE(B257, ""en"", ""ar"")"),"حذف، يرجى الانتظار ....")</f>
        <v>حذف، يرجى الانتظار ....</v>
      </c>
      <c r="F257" s="4" t="str">
        <f>IFERROR(__xludf.DUMMYFUNCTION("GOOGLETRANSLATE(B257, ""en"", ""km"")"),"ការលុបសូមរង់ចាំ ...")</f>
        <v>ការលុបសូមរង់ចាំ ...</v>
      </c>
      <c r="G257" s="4" t="str">
        <f>IFERROR(__xludf.DUMMYFUNCTION("GOOGLETRANSLATE(B257, ""en"", ""fr"")"),"Suppression, s'il vous plaît attendez ....")</f>
        <v>Suppression, s'il vous plaît attendez ....</v>
      </c>
      <c r="H257" s="4" t="str">
        <f>IFERROR(__xludf.DUMMYFUNCTION("GOOGLETRANSLATE(B257, ""en"", ""ro"")"),"Ștergerea, așteptați ....")</f>
        <v>Ștergerea, așteptați ....</v>
      </c>
      <c r="I257" s="4" t="str">
        <f>IFERROR(__xludf.DUMMYFUNCTION("GOOGLETRANSLATE(B257, ""en"", ""my"")"),"ကျေးဇူးပြု. ဖျက်ပါ")</f>
        <v>ကျေးဇူးပြု. ဖျက်ပါ</v>
      </c>
      <c r="J257" s="4" t="str">
        <f>IFERROR(__xludf.DUMMYFUNCTION("GOOGLETRANSLATE(B257, ""en"", ""sw"")"),"Kufuta, tafadhali subiri ....")</f>
        <v>Kufuta, tafadhali subiri ....</v>
      </c>
      <c r="K257" s="4" t="str">
        <f>IFERROR(__xludf.DUMMYFUNCTION("GOOGLETRANSLATE(B257, ""en"", ""th"")"),"การลบโปรดรอ ....")</f>
        <v>การลบโปรดรอ ....</v>
      </c>
      <c r="L257" s="4" t="str">
        <f>IFERROR(__xludf.DUMMYFUNCTION("GOOGLETRANSLATE(B257, ""en"", ""si"")"),"මකා දැමීම, කරුණාකර රැඳී සිටින්න ....")</f>
        <v>මකා දැමීම, කරුණාකර රැඳී සිටින්න ....</v>
      </c>
      <c r="M257" s="4" t="str">
        <f>IFERROR(__xludf.DUMMYFUNCTION("GOOGLETRANSLATE(B257, ""en"", ""vi"")"),"Xóa, xin vui lòng chờ ....")</f>
        <v>Xóa, xin vui lòng chờ ....</v>
      </c>
      <c r="N257" s="4" t="str">
        <f>IFERROR(__xludf.DUMMYFUNCTION("GOOGLETRANSLATE(B257, ""en"", ""ne"")"),"हटाइदै, कृपया प्रतीक्षा गर्नुहोस् ....")</f>
        <v>हटाइदै, कृपया प्रतीक्षा गर्नुहोस् ....</v>
      </c>
      <c r="O257" s="4" t="str">
        <f>IFERROR(__xludf.DUMMYFUNCTION("GOOGLETRANSLATE(B257, ""en"", ""de"")"),"Löschen, bitte warten ....")</f>
        <v>Löschen, bitte warten ....</v>
      </c>
      <c r="P257" s="4" t="str">
        <f>IFERROR(__xludf.DUMMYFUNCTION("GOOGLETRANSLATE(B257, ""en"", ""he"")"),"מחיקה, המתן ....")</f>
        <v>מחיקה, המתן ....</v>
      </c>
      <c r="Q257" s="4" t="str">
        <f>IFERROR(__xludf.DUMMYFUNCTION("GOOGLETRANSLATE(B257, ""en"", ""cs"")"),"Vymazání, prosím čekej ....")</f>
        <v>Vymazání, prosím čekej ....</v>
      </c>
      <c r="R257" s="4" t="str">
        <f>IFERROR(__xludf.DUMMYFUNCTION("GOOGLETRANSLATE(B257, ""en"", ""it"")"),"Eliminazione, per favore aspetta ....")</f>
        <v>Eliminazione, per favore aspetta ....</v>
      </c>
      <c r="S257" s="4" t="str">
        <f>IFERROR(__xludf.DUMMYFUNCTION("GOOGLETRANSLATE(B257, ""en"", ""el"")"),"Διαγραφή, παρακαλώ περιμένετε ....")</f>
        <v>Διαγραφή, παρακαλώ περιμένετε ....</v>
      </c>
    </row>
    <row r="258" ht="15.75" customHeight="1">
      <c r="A258" s="4" t="s">
        <v>527</v>
      </c>
      <c r="B258" s="4" t="s">
        <v>528</v>
      </c>
      <c r="C258" s="4" t="str">
        <f>IFERROR(__xludf.DUMMYFUNCTION("GOOGLETRANSLATE(B258, ""en"", ""es"")"),"Limpio ahora")</f>
        <v>Limpio ahora</v>
      </c>
      <c r="D258" s="4" t="str">
        <f>IFERROR(__xludf.DUMMYFUNCTION("GOOGLETRANSLATE(B258, ""en"", ""pt"")"),"Limpa agora")</f>
        <v>Limpa agora</v>
      </c>
      <c r="E258" s="4" t="str">
        <f>IFERROR(__xludf.DUMMYFUNCTION("GOOGLETRANSLATE(B258, ""en"", ""ar"")"),"نظف الان")</f>
        <v>نظف الان</v>
      </c>
      <c r="F258" s="4" t="str">
        <f>IFERROR(__xludf.DUMMYFUNCTION("GOOGLETRANSLATE(B258, ""en"", ""km"")"),"ស្អាតហើយ")</f>
        <v>ស្អាតហើយ</v>
      </c>
      <c r="G258" s="4" t="str">
        <f>IFERROR(__xludf.DUMMYFUNCTION("GOOGLETRANSLATE(B258, ""en"", ""fr"")"),"Nettoie maintenant")</f>
        <v>Nettoie maintenant</v>
      </c>
      <c r="H258" s="4" t="str">
        <f>IFERROR(__xludf.DUMMYFUNCTION("GOOGLETRANSLATE(B258, ""en"", ""ro"")"),"Curățați acum")</f>
        <v>Curățați acum</v>
      </c>
      <c r="I258" s="4" t="str">
        <f>IFERROR(__xludf.DUMMYFUNCTION("GOOGLETRANSLATE(B258, ""en"", ""my"")"),"အခုသန့်ရှင်းပါ")</f>
        <v>အခုသန့်ရှင်းပါ</v>
      </c>
      <c r="J258" s="4" t="str">
        <f>IFERROR(__xludf.DUMMYFUNCTION("GOOGLETRANSLATE(B258, ""en"", ""sw"")"),"Safi sasa")</f>
        <v>Safi sasa</v>
      </c>
      <c r="K258" s="4" t="str">
        <f>IFERROR(__xludf.DUMMYFUNCTION("GOOGLETRANSLATE(B258, ""en"", ""th"")"),"สะอาดตอนนี้")</f>
        <v>สะอาดตอนนี้</v>
      </c>
      <c r="L258" s="4" t="str">
        <f>IFERROR(__xludf.DUMMYFUNCTION("GOOGLETRANSLATE(B258, ""en"", ""si"")"),"දැන් පිරිසිදුයි")</f>
        <v>දැන් පිරිසිදුයි</v>
      </c>
      <c r="M258" s="4" t="str">
        <f>IFERROR(__xludf.DUMMYFUNCTION("GOOGLETRANSLATE(B258, ""en"", ""vi"")"),"Làm sạch ngay bây giờ")</f>
        <v>Làm sạch ngay bây giờ</v>
      </c>
      <c r="N258" s="4" t="str">
        <f>IFERROR(__xludf.DUMMYFUNCTION("GOOGLETRANSLATE(B258, ""en"", ""ne"")"),"अहिले सफा गर")</f>
        <v>अहिले सफा गर</v>
      </c>
      <c r="O258" s="4" t="str">
        <f>IFERROR(__xludf.DUMMYFUNCTION("GOOGLETRANSLATE(B258, ""en"", ""de"")"),"Mach es jetzt sauber")</f>
        <v>Mach es jetzt sauber</v>
      </c>
      <c r="P258" s="4" t="str">
        <f>IFERROR(__xludf.DUMMYFUNCTION("GOOGLETRANSLATE(B258, ""en"", ""he"")"),"תנקה עכשיו")</f>
        <v>תנקה עכשיו</v>
      </c>
      <c r="Q258" s="4" t="str">
        <f>IFERROR(__xludf.DUMMYFUNCTION("GOOGLETRANSLATE(B258, ""en"", ""cs"")"),"Vyčistěte teď")</f>
        <v>Vyčistěte teď</v>
      </c>
      <c r="R258" s="4" t="str">
        <f>IFERROR(__xludf.DUMMYFUNCTION("GOOGLETRANSLATE(B258, ""en"", ""it"")"),"Pulisci ora")</f>
        <v>Pulisci ora</v>
      </c>
      <c r="S258" s="4" t="str">
        <f>IFERROR(__xludf.DUMMYFUNCTION("GOOGLETRANSLATE(B258, ""en"", ""el"")"),"Καθαρίστε τώρα")</f>
        <v>Καθαρίστε τώρα</v>
      </c>
    </row>
    <row r="259" ht="15.75" customHeight="1">
      <c r="A259" s="4" t="s">
        <v>529</v>
      </c>
      <c r="B259" s="4" t="s">
        <v>230</v>
      </c>
      <c r="C259" s="4" t="str">
        <f>IFERROR(__xludf.DUMMYFUNCTION("GOOGLETRANSLATE(B259, ""en"", ""es"")"),"Detectado 1 apk instalado")</f>
        <v>Detectado 1 apk instalado</v>
      </c>
      <c r="D259" s="4" t="str">
        <f>IFERROR(__xludf.DUMMYFUNCTION("GOOGLETRANSLATE(B259, ""en"", ""pt"")"),"Detectado 1 APK instalado")</f>
        <v>Detectado 1 APK instalado</v>
      </c>
      <c r="E259" s="4" t="str">
        <f>IFERROR(__xludf.DUMMYFUNCTION("GOOGLETRANSLATE(B259, ""en"", ""ar"")"),"تم اكتشافه 1 APK مثبت")</f>
        <v>تم اكتشافه 1 APK مثبت</v>
      </c>
      <c r="F259" s="4" t="str">
        <f>IFERROR(__xludf.DUMMYFUNCTION("GOOGLETRANSLATE(B259, ""en"", ""km"")"),"បានរកឃើញ apk 1 apk")</f>
        <v>បានរកឃើញ apk 1 apk</v>
      </c>
      <c r="G259" s="4" t="str">
        <f>IFERROR(__xludf.DUMMYFUNCTION("GOOGLETRANSLATE(B259, ""en"", ""fr"")"),"Détecté 1 apk installé")</f>
        <v>Détecté 1 apk installé</v>
      </c>
      <c r="H259" s="4" t="str">
        <f>IFERROR(__xludf.DUMMYFUNCTION("GOOGLETRANSLATE(B259, ""en"", ""ro"")"),"Detectat 1 APK instalat")</f>
        <v>Detectat 1 APK instalat</v>
      </c>
      <c r="I259" s="4" t="str">
        <f>IFERROR(__xludf.DUMMYFUNCTION("GOOGLETRANSLATE(B259, ""en"", ""my"")"),"1 APK တပ်ဆင်ထားသည်")</f>
        <v>1 APK တပ်ဆင်ထားသည်</v>
      </c>
      <c r="J259" s="4" t="str">
        <f>IFERROR(__xludf.DUMMYFUNCTION("GOOGLETRANSLATE(B259, ""en"", ""sw"")"),"Imeonekana 1 APK imewekwa.")</f>
        <v>Imeonekana 1 APK imewekwa.</v>
      </c>
      <c r="K259" s="4" t="str">
        <f>IFERROR(__xludf.DUMMYFUNCTION("GOOGLETRANSLATE(B259, ""en"", ""th"")"),"ตรวจพบ 1 APK ติดตั้งแล้ว")</f>
        <v>ตรวจพบ 1 APK ติดตั้งแล้ว</v>
      </c>
      <c r="L259" s="4" t="str">
        <f>IFERROR(__xludf.DUMMYFUNCTION("GOOGLETRANSLATE(B259, ""en"", ""si"")"),"ස්ථාපනය කර ඇති 1 APK ස්ථාපනය කර ඇත")</f>
        <v>ස්ථාපනය කර ඇති 1 APK ස්ථාපනය කර ඇත</v>
      </c>
      <c r="M259" s="4" t="str">
        <f>IFERROR(__xludf.DUMMYFUNCTION("GOOGLETRANSLATE(B259, ""en"", ""vi"")"),"Đã cài đặt 1 APK")</f>
        <v>Đã cài đặt 1 APK</v>
      </c>
      <c r="N259" s="4" t="str">
        <f>IFERROR(__xludf.DUMMYFUNCTION("GOOGLETRANSLATE(B259, ""en"", ""ne"")"),"1 APK स्थापना भयो")</f>
        <v>1 APK स्थापना भयो</v>
      </c>
      <c r="O259" s="4" t="str">
        <f>IFERROR(__xludf.DUMMYFUNCTION("GOOGLETRANSLATE(B259, ""en"", ""de"")"),"Erkannt 1 APK installiert")</f>
        <v>Erkannt 1 APK installiert</v>
      </c>
      <c r="P259" s="4" t="str">
        <f>IFERROR(__xludf.DUMMYFUNCTION("GOOGLETRANSLATE(B259, ""en"", ""he"")"),"זוהה 1 APK מותקן")</f>
        <v>זוהה 1 APK מותקן</v>
      </c>
      <c r="Q259" s="4" t="str">
        <f>IFERROR(__xludf.DUMMYFUNCTION("GOOGLETRANSLATE(B259, ""en"", ""cs"")"),"Instalováno 1 instalováno 1 APK")</f>
        <v>Instalováno 1 instalováno 1 APK</v>
      </c>
      <c r="R259" s="4" t="str">
        <f>IFERROR(__xludf.DUMMYFUNCTION("GOOGLETRANSLATE(B259, ""en"", ""it"")"),"Rilevato 1 APK installato")</f>
        <v>Rilevato 1 APK installato</v>
      </c>
      <c r="S259" s="4" t="str">
        <f>IFERROR(__xludf.DUMMYFUNCTION("GOOGLETRANSLATE(B259, ""en"", ""el"")"),"Εντοπίστηκε 1 εγκατεστημένο 1 APK")</f>
        <v>Εντοπίστηκε 1 εγκατεστημένο 1 APK</v>
      </c>
    </row>
    <row r="260" ht="15.75" customHeight="1">
      <c r="A260" s="4" t="s">
        <v>530</v>
      </c>
      <c r="B260" s="4" t="s">
        <v>531</v>
      </c>
      <c r="C260" s="4" t="str">
        <f>IFERROR(__xludf.DUMMYFUNCTION("GOOGLETRANSLATE(B260, ""en"", ""es"")"),"{0} GB / {1} GB")</f>
        <v>{0} GB / {1} GB</v>
      </c>
      <c r="D260" s="4" t="str">
        <f>IFERROR(__xludf.DUMMYFUNCTION("GOOGLETRANSLATE(B260, ""en"", ""pt"")"),"{0} gb / {1} gb")</f>
        <v>{0} gb / {1} gb</v>
      </c>
      <c r="E260" s="4" t="str">
        <f>IFERROR(__xludf.DUMMYFUNCTION("GOOGLETRANSLATE(B260, ""en"", ""ar"")"),"{0} GB / {1} GB")</f>
        <v>{0} GB / {1} GB</v>
      </c>
      <c r="F260" s="4" t="str">
        <f>IFERROR(__xludf.DUMMYFUNCTION("GOOGLETRANSLATE(B260, ""en"", ""km"")"),"{0} GB / {1} GB")</f>
        <v>{0} GB / {1} GB</v>
      </c>
      <c r="G260" s="4" t="str">
        <f>IFERROR(__xludf.DUMMYFUNCTION("GOOGLETRANSLATE(B260, ""en"", ""fr"")"),"{0} GB / {1} GB")</f>
        <v>{0} GB / {1} GB</v>
      </c>
      <c r="H260" s="4" t="str">
        <f>IFERROR(__xludf.DUMMYFUNCTION("GOOGLETRANSLATE(B260, ""en"", ""ro"")"),"{0} GB / {1} GB")</f>
        <v>{0} GB / {1} GB</v>
      </c>
      <c r="I260" s="4" t="str">
        <f>IFERROR(__xludf.DUMMYFUNCTION("GOOGLETRANSLATE(B260, ""en"", ""my"")"),"{0} GB / {1} gb")</f>
        <v>{0} GB / {1} gb</v>
      </c>
      <c r="J260" s="4" t="str">
        <f>IFERROR(__xludf.DUMMYFUNCTION("GOOGLETRANSLATE(B260, ""en"", ""sw"")"),"{0} GB / {1} GB.")</f>
        <v>{0} GB / {1} GB.</v>
      </c>
      <c r="K260" s="4" t="str">
        <f>IFERROR(__xludf.DUMMYFUNCTION("GOOGLETRANSLATE(B260, ""en"", ""th"")"),"{0} GB / {1} GB")</f>
        <v>{0} GB / {1} GB</v>
      </c>
      <c r="L260" s="4" t="str">
        <f>IFERROR(__xludf.DUMMYFUNCTION("GOOGLETRANSLATE(B260, ""en"", ""si"")"),"{0} GB / {1} gb")</f>
        <v>{0} GB / {1} gb</v>
      </c>
      <c r="M260" s="4" t="str">
        <f>IFERROR(__xludf.DUMMYFUNCTION("GOOGLETRANSLATE(B260, ""en"", ""vi"")"),"{0} gb / {1} GB")</f>
        <v>{0} gb / {1} GB</v>
      </c>
      <c r="N260" s="4" t="str">
        <f>IFERROR(__xludf.DUMMYFUNCTION("GOOGLETRANSLATE(B260, ""en"", ""ne"")"),"{0} gb / {1} gb")</f>
        <v>{0} gb / {1} gb</v>
      </c>
      <c r="O260" s="4" t="str">
        <f>IFERROR(__xludf.DUMMYFUNCTION("GOOGLETRANSLATE(B260, ""en"", ""de"")"),"{0} GB / {1} GB")</f>
        <v>{0} GB / {1} GB</v>
      </c>
      <c r="P260" s="4" t="str">
        <f>IFERROR(__xludf.DUMMYFUNCTION("GOOGLETRANSLATE(B260, ""en"", ""he"")"),"{0} GB / {1} GB")</f>
        <v>{0} GB / {1} GB</v>
      </c>
      <c r="Q260" s="4" t="str">
        <f>IFERROR(__xludf.DUMMYFUNCTION("GOOGLETRANSLATE(B260, ""en"", ""cs"")"),"{0} GB / {1} GB")</f>
        <v>{0} GB / {1} GB</v>
      </c>
      <c r="R260" s="4" t="str">
        <f>IFERROR(__xludf.DUMMYFUNCTION("GOOGLETRANSLATE(B260, ""en"", ""it"")"),"{0} GB / {1} GB")</f>
        <v>{0} GB / {1} GB</v>
      </c>
      <c r="S260" s="4" t="str">
        <f>IFERROR(__xludf.DUMMYFUNCTION("GOOGLETRANSLATE(B260, ""en"", ""el"")"),"{0} GB / {1} GB")</f>
        <v>{0} GB / {1} GB</v>
      </c>
    </row>
    <row r="261" ht="15.75" customHeight="1">
      <c r="A261" s="4" t="s">
        <v>532</v>
      </c>
      <c r="B261" s="4" t="s">
        <v>533</v>
      </c>
      <c r="C261" s="4" t="str">
        <f>IFERROR(__xludf.DUMMYFUNCTION("GOOGLETRANSLATE(B261, ""en"", ""es"")"),"LISTA IGNORE")</f>
        <v>LISTA IGNORE</v>
      </c>
      <c r="D261" s="4" t="str">
        <f>IFERROR(__xludf.DUMMYFUNCTION("GOOGLETRANSLATE(B261, ""en"", ""pt"")"),"Listar Ignorar.")</f>
        <v>Listar Ignorar.</v>
      </c>
      <c r="E261" s="4" t="str">
        <f>IFERROR(__xludf.DUMMYFUNCTION("GOOGLETRANSLATE(B261, ""en"", ""ar"")"),"قائمة التجاهل")</f>
        <v>قائمة التجاهل</v>
      </c>
      <c r="F261" s="4" t="str">
        <f>IFERROR(__xludf.DUMMYFUNCTION("GOOGLETRANSLATE(B261, ""en"", ""km"")"),"បញ្ជីមិនអើពើ")</f>
        <v>បញ្ជីមិនអើពើ</v>
      </c>
      <c r="G261" s="4" t="str">
        <f>IFERROR(__xludf.DUMMYFUNCTION("GOOGLETRANSLATE(B261, ""en"", ""fr"")"),"Liste d'ignorer")</f>
        <v>Liste d'ignorer</v>
      </c>
      <c r="H261" s="4" t="str">
        <f>IFERROR(__xludf.DUMMYFUNCTION("GOOGLETRANSLATE(B261, ""en"", ""ro"")"),"Lista ignoră")</f>
        <v>Lista ignoră</v>
      </c>
      <c r="I261" s="4" t="str">
        <f>IFERROR(__xludf.DUMMYFUNCTION("GOOGLETRANSLATE(B261, ""en"", ""my"")"),"စာရင်းကိုလျစ်လျူရှုပါ")</f>
        <v>စာရင်းကိုလျစ်လျူရှုပါ</v>
      </c>
      <c r="J261" s="4" t="str">
        <f>IFERROR(__xludf.DUMMYFUNCTION("GOOGLETRANSLATE(B261, ""en"", ""sw"")"),"Orodha ya kupuuza")</f>
        <v>Orodha ya kupuuza</v>
      </c>
      <c r="K261" s="4" t="str">
        <f>IFERROR(__xludf.DUMMYFUNCTION("GOOGLETRANSLATE(B261, ""en"", ""th"")"),"รายการไม่สนใจ")</f>
        <v>รายการไม่สนใจ</v>
      </c>
      <c r="L261" s="4" t="str">
        <f>IFERROR(__xludf.DUMMYFUNCTION("GOOGLETRANSLATE(B261, ""en"", ""si"")"),"ලැයිස්තුව නොසලකා හරින්න")</f>
        <v>ලැයිස්තුව නොසලකා හරින්න</v>
      </c>
      <c r="M261" s="4" t="str">
        <f>IFERROR(__xludf.DUMMYFUNCTION("GOOGLETRANSLATE(B261, ""en"", ""vi"")"),"Danh sách bỏ qua")</f>
        <v>Danh sách bỏ qua</v>
      </c>
      <c r="N261" s="4" t="str">
        <f>IFERROR(__xludf.DUMMYFUNCTION("GOOGLETRANSLATE(B261, ""en"", ""ne"")"),"सूची बेवास्ता गर्नुहोस्")</f>
        <v>सूची बेवास्ता गर्नुहोस्</v>
      </c>
      <c r="O261" s="4" t="str">
        <f>IFERROR(__xludf.DUMMYFUNCTION("GOOGLETRANSLATE(B261, ""en"", ""de"")"),"Liste ignorieren.")</f>
        <v>Liste ignorieren.</v>
      </c>
      <c r="P261" s="4" t="str">
        <f>IFERROR(__xludf.DUMMYFUNCTION("GOOGLETRANSLATE(B261, ""en"", ""he"")"),"רשימה להתעלם")</f>
        <v>רשימה להתעלם</v>
      </c>
      <c r="Q261" s="4" t="str">
        <f>IFERROR(__xludf.DUMMYFUNCTION("GOOGLETRANSLATE(B261, ""en"", ""cs"")"),"Seznam ignorovat")</f>
        <v>Seznam ignorovat</v>
      </c>
      <c r="R261" s="4" t="str">
        <f>IFERROR(__xludf.DUMMYFUNCTION("GOOGLETRANSLATE(B261, ""en"", ""it"")"),"Elenco Ignora")</f>
        <v>Elenco Ignora</v>
      </c>
      <c r="S261" s="4" t="str">
        <f>IFERROR(__xludf.DUMMYFUNCTION("GOOGLETRANSLATE(B261, ""en"", ""el"")"),"Λίστα αγνοώ")</f>
        <v>Λίστα αγνοώ</v>
      </c>
    </row>
    <row r="262" ht="15.75" customHeight="1">
      <c r="A262" s="4" t="s">
        <v>534</v>
      </c>
      <c r="B262" s="4" t="s">
        <v>535</v>
      </c>
      <c r="C262" s="4" t="str">
        <f>IFERROR(__xludf.DUMMYFUNCTION("GOOGLETRANSLATE(B262, ""en"", ""es"")"),"Enfriarse")</f>
        <v>Enfriarse</v>
      </c>
      <c r="D262" s="4" t="str">
        <f>IFERROR(__xludf.DUMMYFUNCTION("GOOGLETRANSLATE(B262, ""en"", ""pt"")"),"Esfriar")</f>
        <v>Esfriar</v>
      </c>
      <c r="E262" s="4" t="str">
        <f>IFERROR(__xludf.DUMMYFUNCTION("GOOGLETRANSLATE(B262, ""en"", ""ar"")"),"ترطيب")</f>
        <v>ترطيب</v>
      </c>
      <c r="F262" s="4" t="str">
        <f>IFERROR(__xludf.DUMMYFUNCTION("GOOGLETRANSLATE(B262, ""en"", ""km"")"),"ត្រជាក់​ចិត្ត")</f>
        <v>ត្រជាក់​ចិត្ត</v>
      </c>
      <c r="G262" s="4" t="str">
        <f>IFERROR(__xludf.DUMMYFUNCTION("GOOGLETRANSLATE(B262, ""en"", ""fr"")"),"Refroidir")</f>
        <v>Refroidir</v>
      </c>
      <c r="H262" s="4" t="str">
        <f>IFERROR(__xludf.DUMMYFUNCTION("GOOGLETRANSLATE(B262, ""en"", ""ro"")"),"Răcire")</f>
        <v>Răcire</v>
      </c>
      <c r="I262" s="4" t="str">
        <f>IFERROR(__xludf.DUMMYFUNCTION("GOOGLETRANSLATE(B262, ""en"", ""my"")"),"စိတ်လျော့သည်")</f>
        <v>စိတ်လျော့သည်</v>
      </c>
      <c r="J262" s="4" t="str">
        <f>IFERROR(__xludf.DUMMYFUNCTION("GOOGLETRANSLATE(B262, ""en"", ""sw"")"),"Tulia")</f>
        <v>Tulia</v>
      </c>
      <c r="K262" s="4" t="str">
        <f>IFERROR(__xludf.DUMMYFUNCTION("GOOGLETRANSLATE(B262, ""en"", ""th"")"),"เย็นลง")</f>
        <v>เย็นลง</v>
      </c>
      <c r="L262" s="4" t="str">
        <f>IFERROR(__xludf.DUMMYFUNCTION("GOOGLETRANSLATE(B262, ""en"", ""si"")"),"සන්සුන් වන්න")</f>
        <v>සන්සුන් වන්න</v>
      </c>
      <c r="M262" s="4" t="str">
        <f>IFERROR(__xludf.DUMMYFUNCTION("GOOGLETRANSLATE(B262, ""en"", ""vi"")"),"Nguội đi")</f>
        <v>Nguội đi</v>
      </c>
      <c r="N262" s="4" t="str">
        <f>IFERROR(__xludf.DUMMYFUNCTION("GOOGLETRANSLATE(B262, ""en"", ""ne"")"),"शान्त होऊँ")</f>
        <v>शान्त होऊँ</v>
      </c>
      <c r="O262" s="4" t="str">
        <f>IFERROR(__xludf.DUMMYFUNCTION("GOOGLETRANSLATE(B262, ""en"", ""de"")"),"Abkühlen")</f>
        <v>Abkühlen</v>
      </c>
      <c r="P262" s="4" t="str">
        <f>IFERROR(__xludf.DUMMYFUNCTION("GOOGLETRANSLATE(B262, ""en"", ""he"")"),"תירגע")</f>
        <v>תירגע</v>
      </c>
      <c r="Q262" s="4" t="str">
        <f>IFERROR(__xludf.DUMMYFUNCTION("GOOGLETRANSLATE(B262, ""en"", ""cs"")"),"Ochladit")</f>
        <v>Ochladit</v>
      </c>
      <c r="R262" s="4" t="str">
        <f>IFERROR(__xludf.DUMMYFUNCTION("GOOGLETRANSLATE(B262, ""en"", ""it"")"),"Raffreddare")</f>
        <v>Raffreddare</v>
      </c>
      <c r="S262" s="4" t="str">
        <f>IFERROR(__xludf.DUMMYFUNCTION("GOOGLETRANSLATE(B262, ""en"", ""el"")"),"Κρυώνω")</f>
        <v>Κρυώνω</v>
      </c>
    </row>
    <row r="263" ht="15.75" customHeight="1">
      <c r="A263" s="4" t="s">
        <v>536</v>
      </c>
      <c r="B263" s="4" t="s">
        <v>318</v>
      </c>
      <c r="C263" s="4" t="str">
        <f>IFERROR(__xludf.DUMMYFUNCTION("GOOGLETRANSLATE(B263, ""en"", ""es"")"),"Política de privacidad")</f>
        <v>Política de privacidad</v>
      </c>
      <c r="D263" s="4" t="str">
        <f>IFERROR(__xludf.DUMMYFUNCTION("GOOGLETRANSLATE(B263, ""en"", ""pt"")"),"Política de Privacidade")</f>
        <v>Política de Privacidade</v>
      </c>
      <c r="E263" s="4" t="str">
        <f>IFERROR(__xludf.DUMMYFUNCTION("GOOGLETRANSLATE(B263, ""en"", ""ar"")"),"سياسة خاصة")</f>
        <v>سياسة خاصة</v>
      </c>
      <c r="F263" s="4" t="str">
        <f>IFERROR(__xludf.DUMMYFUNCTION("GOOGLETRANSLATE(B263, ""en"", ""km"")"),"គោលការណ៍​ភាព​ឯកជន")</f>
        <v>គោលការណ៍​ភាព​ឯកជន</v>
      </c>
      <c r="G263" s="4" t="str">
        <f>IFERROR(__xludf.DUMMYFUNCTION("GOOGLETRANSLATE(B263, ""en"", ""fr"")"),"Politique de confidentialité")</f>
        <v>Politique de confidentialité</v>
      </c>
      <c r="H263" s="4" t="str">
        <f>IFERROR(__xludf.DUMMYFUNCTION("GOOGLETRANSLATE(B263, ""en"", ""ro"")"),"Politica de confidențialitate")</f>
        <v>Politica de confidențialitate</v>
      </c>
      <c r="I263" s="4" t="str">
        <f>IFERROR(__xludf.DUMMYFUNCTION("GOOGLETRANSLATE(B263, ""en"", ""my"")"),"ကိုယ်ရေးအချက်အလက်မူဝါဒ")</f>
        <v>ကိုယ်ရေးအချက်အလက်မူဝါဒ</v>
      </c>
      <c r="J263" s="4" t="str">
        <f>IFERROR(__xludf.DUMMYFUNCTION("GOOGLETRANSLATE(B263, ""en"", ""sw"")"),"Sera ya faragha.")</f>
        <v>Sera ya faragha.</v>
      </c>
      <c r="K263" s="4" t="str">
        <f>IFERROR(__xludf.DUMMYFUNCTION("GOOGLETRANSLATE(B263, ""en"", ""th"")"),"นโยบายความเป็นส่วนตัว")</f>
        <v>นโยบายความเป็นส่วนตัว</v>
      </c>
      <c r="L263" s="4" t="str">
        <f>IFERROR(__xludf.DUMMYFUNCTION("GOOGLETRANSLATE(B263, ""en"", ""si"")"),"රහස්යතා ප්රතිපත්තිය")</f>
        <v>රහස්යතා ප්රතිපත්තිය</v>
      </c>
      <c r="M263" s="4" t="str">
        <f>IFERROR(__xludf.DUMMYFUNCTION("GOOGLETRANSLATE(B263, ""en"", ""vi"")"),"Chính sách bảo mật")</f>
        <v>Chính sách bảo mật</v>
      </c>
      <c r="N263" s="4" t="str">
        <f>IFERROR(__xludf.DUMMYFUNCTION("GOOGLETRANSLATE(B263, ""en"", ""ne"")"),"गोपनीयता नीति")</f>
        <v>गोपनीयता नीति</v>
      </c>
      <c r="O263" s="4" t="str">
        <f>IFERROR(__xludf.DUMMYFUNCTION("GOOGLETRANSLATE(B263, ""en"", ""de"")"),"Datenschutz-Bestimmungen")</f>
        <v>Datenschutz-Bestimmungen</v>
      </c>
      <c r="P263" s="4" t="str">
        <f>IFERROR(__xludf.DUMMYFUNCTION("GOOGLETRANSLATE(B263, ""en"", ""he"")"),"מדיניות פרטיות")</f>
        <v>מדיניות פרטיות</v>
      </c>
      <c r="Q263" s="4" t="str">
        <f>IFERROR(__xludf.DUMMYFUNCTION("GOOGLETRANSLATE(B263, ""en"", ""cs"")"),"Zásady ochrany osobních údajů")</f>
        <v>Zásady ochrany osobních údajů</v>
      </c>
      <c r="R263" s="4" t="str">
        <f>IFERROR(__xludf.DUMMYFUNCTION("GOOGLETRANSLATE(B263, ""en"", ""it"")"),"politica sulla riservatezza")</f>
        <v>politica sulla riservatezza</v>
      </c>
      <c r="S263" s="4" t="str">
        <f>IFERROR(__xludf.DUMMYFUNCTION("GOOGLETRANSLATE(B263, ""en"", ""el"")"),"Πολιτική απορρήτου")</f>
        <v>Πολιτική απορρήτου</v>
      </c>
    </row>
    <row r="264" ht="15.75" customHeight="1">
      <c r="A264" s="4" t="s">
        <v>537</v>
      </c>
      <c r="B264" s="4" t="s">
        <v>538</v>
      </c>
      <c r="C264" s="4" t="str">
        <f>IFERROR(__xludf.DUMMYFUNCTION("GOOGLETRANSLATE(B264, ""en"", ""es"")"),"El teléfono esta caliente")</f>
        <v>El teléfono esta caliente</v>
      </c>
      <c r="D264" s="4" t="str">
        <f>IFERROR(__xludf.DUMMYFUNCTION("GOOGLETRANSLATE(B264, ""en"", ""pt"")"),"O telefone é quente")</f>
        <v>O telefone é quente</v>
      </c>
      <c r="E264" s="4" t="str">
        <f>IFERROR(__xludf.DUMMYFUNCTION("GOOGLETRANSLATE(B264, ""en"", ""ar"")"),"الهاتف حار")</f>
        <v>الهاتف حار</v>
      </c>
      <c r="F264" s="4" t="str">
        <f>IFERROR(__xludf.DUMMYFUNCTION("GOOGLETRANSLATE(B264, ""en"", ""km"")"),"ទូរស័ព្ទគឺក្តៅ")</f>
        <v>ទូរស័ព្ទគឺក្តៅ</v>
      </c>
      <c r="G264" s="4" t="str">
        <f>IFERROR(__xludf.DUMMYFUNCTION("GOOGLETRANSLATE(B264, ""en"", ""fr"")"),"Le téléphone est chaud")</f>
        <v>Le téléphone est chaud</v>
      </c>
      <c r="H264" s="4" t="str">
        <f>IFERROR(__xludf.DUMMYFUNCTION("GOOGLETRANSLATE(B264, ""en"", ""ro"")"),"Telefonul este fierbinte")</f>
        <v>Telefonul este fierbinte</v>
      </c>
      <c r="I264" s="4" t="str">
        <f>IFERROR(__xludf.DUMMYFUNCTION("GOOGLETRANSLATE(B264, ""en"", ""my"")"),"ဖုန်းပူသည်")</f>
        <v>ဖုန်းပူသည်</v>
      </c>
      <c r="J264" s="4" t="str">
        <f>IFERROR(__xludf.DUMMYFUNCTION("GOOGLETRANSLATE(B264, ""en"", ""sw"")"),"Simu ni moto")</f>
        <v>Simu ni moto</v>
      </c>
      <c r="K264" s="4" t="str">
        <f>IFERROR(__xludf.DUMMYFUNCTION("GOOGLETRANSLATE(B264, ""en"", ""th"")"),"โทรศัพท์ร้อน")</f>
        <v>โทรศัพท์ร้อน</v>
      </c>
      <c r="L264" s="4" t="str">
        <f>IFERROR(__xludf.DUMMYFUNCTION("GOOGLETRANSLATE(B264, ""en"", ""si"")"),"දුරකථනය උණුසුම්")</f>
        <v>දුරකථනය උණුසුම්</v>
      </c>
      <c r="M264" s="4" t="str">
        <f>IFERROR(__xludf.DUMMYFUNCTION("GOOGLETRANSLATE(B264, ""en"", ""vi"")"),"Điện thoại là Hot.")</f>
        <v>Điện thoại là Hot.</v>
      </c>
      <c r="N264" s="4" t="str">
        <f>IFERROR(__xludf.DUMMYFUNCTION("GOOGLETRANSLATE(B264, ""en"", ""ne"")"),"फोन तातो छ")</f>
        <v>फोन तातो छ</v>
      </c>
      <c r="O264" s="4" t="str">
        <f>IFERROR(__xludf.DUMMYFUNCTION("GOOGLETRANSLATE(B264, ""en"", ""de"")"),"Telefon ist heiß")</f>
        <v>Telefon ist heiß</v>
      </c>
      <c r="P264" s="4" t="str">
        <f>IFERROR(__xludf.DUMMYFUNCTION("GOOGLETRANSLATE(B264, ""en"", ""he"")"),"הטלפון חם")</f>
        <v>הטלפון חם</v>
      </c>
      <c r="Q264" s="4" t="str">
        <f>IFERROR(__xludf.DUMMYFUNCTION("GOOGLETRANSLATE(B264, ""en"", ""cs"")"),"Telefon je horký")</f>
        <v>Telefon je horký</v>
      </c>
      <c r="R264" s="4" t="str">
        <f>IFERROR(__xludf.DUMMYFUNCTION("GOOGLETRANSLATE(B264, ""en"", ""it"")"),"Il telefono è caldo")</f>
        <v>Il telefono è caldo</v>
      </c>
      <c r="S264" s="4" t="str">
        <f>IFERROR(__xludf.DUMMYFUNCTION("GOOGLETRANSLATE(B264, ""en"", ""el"")"),"Το τηλέφωνο είναι ζεστό")</f>
        <v>Το τηλέφωνο είναι ζεστό</v>
      </c>
    </row>
    <row r="265" ht="15.75" customHeight="1">
      <c r="A265" s="4" t="s">
        <v>539</v>
      </c>
      <c r="B265" s="4" t="s">
        <v>540</v>
      </c>
      <c r="C265" s="4" t="str">
        <f>IFERROR(__xludf.DUMMYFUNCTION("GOOGLETRANSLATE(B265, ""en"", ""es"")"),"Fecha: 888")</f>
        <v>Fecha: 888</v>
      </c>
      <c r="D265" s="4" t="str">
        <f>IFERROR(__xludf.DUMMYFUNCTION("GOOGLETRANSLATE(B265, ""en"", ""pt"")"),"Data: 888.")</f>
        <v>Data: 888.</v>
      </c>
      <c r="E265" s="4" t="str">
        <f>IFERROR(__xludf.DUMMYFUNCTION("GOOGLETRANSLATE(B265, ""en"", ""ar"")"),"التاريخ: 888.")</f>
        <v>التاريخ: 888.</v>
      </c>
      <c r="F265" s="4" t="str">
        <f>IFERROR(__xludf.DUMMYFUNCTION("GOOGLETRANSLATE(B265, ""en"", ""km"")"),"កាលបរិច្ឆេទ: 888")</f>
        <v>កាលបរិច្ឆេទ: 888</v>
      </c>
      <c r="G265" s="4" t="str">
        <f>IFERROR(__xludf.DUMMYFUNCTION("GOOGLETRANSLATE(B265, ""en"", ""fr"")"),"Date: 888")</f>
        <v>Date: 888</v>
      </c>
      <c r="H265" s="4" t="str">
        <f>IFERROR(__xludf.DUMMYFUNCTION("GOOGLETRANSLATE(B265, ""en"", ""ro"")"),"Data: 888.")</f>
        <v>Data: 888.</v>
      </c>
      <c r="I265" s="4" t="str">
        <f>IFERROR(__xludf.DUMMYFUNCTION("GOOGLETRANSLATE(B265, ""en"", ""my"")"),"ရက်စွဲ: 888")</f>
        <v>ရက်စွဲ: 888</v>
      </c>
      <c r="J265" s="4" t="str">
        <f>IFERROR(__xludf.DUMMYFUNCTION("GOOGLETRANSLATE(B265, ""en"", ""sw"")"),"Tarehe: 888.")</f>
        <v>Tarehe: 888.</v>
      </c>
      <c r="K265" s="4" t="str">
        <f>IFERROR(__xludf.DUMMYFUNCTION("GOOGLETRANSLATE(B265, ""en"", ""th"")"),"วันที่: 888")</f>
        <v>วันที่: 888</v>
      </c>
      <c r="L265" s="4" t="str">
        <f>IFERROR(__xludf.DUMMYFUNCTION("GOOGLETRANSLATE(B265, ""en"", ""si"")"),"දිනය: 888")</f>
        <v>දිනය: 888</v>
      </c>
      <c r="M265" s="4" t="str">
        <f>IFERROR(__xludf.DUMMYFUNCTION("GOOGLETRANSLATE(B265, ""en"", ""vi"")"),"Ngày: 888.")</f>
        <v>Ngày: 888.</v>
      </c>
      <c r="N265" s="4" t="str">
        <f>IFERROR(__xludf.DUMMYFUNCTION("GOOGLETRANSLATE(B265, ""en"", ""ne"")"),"मिति: 8 888")</f>
        <v>मिति: 8 888</v>
      </c>
      <c r="O265" s="4" t="str">
        <f>IFERROR(__xludf.DUMMYFUNCTION("GOOGLETRANSLATE(B265, ""en"", ""de"")"),"Datum: 888.")</f>
        <v>Datum: 888.</v>
      </c>
      <c r="P265" s="4" t="str">
        <f>IFERROR(__xludf.DUMMYFUNCTION("GOOGLETRANSLATE(B265, ""en"", ""he"")"),"תאריך: 888.")</f>
        <v>תאריך: 888.</v>
      </c>
      <c r="Q265" s="4" t="str">
        <f>IFERROR(__xludf.DUMMYFUNCTION("GOOGLETRANSLATE(B265, ""en"", ""cs"")"),"Datum: 888.")</f>
        <v>Datum: 888.</v>
      </c>
      <c r="R265" s="4" t="str">
        <f>IFERROR(__xludf.DUMMYFUNCTION("GOOGLETRANSLATE(B265, ""en"", ""it"")"),"Data: 888.")</f>
        <v>Data: 888.</v>
      </c>
      <c r="S265" s="4" t="str">
        <f>IFERROR(__xludf.DUMMYFUNCTION("GOOGLETRANSLATE(B265, ""en"", ""el"")"),"Ημερομηνία: 888")</f>
        <v>Ημερομηνία: 888</v>
      </c>
    </row>
    <row r="266" ht="15.75" customHeight="1">
      <c r="A266" s="4" t="s">
        <v>541</v>
      </c>
      <c r="B266" s="4" t="s">
        <v>542</v>
      </c>
      <c r="C266" s="4" t="str">
        <f>IFERROR(__xludf.DUMMYFUNCTION("GOOGLETRANSLATE(B266, ""en"", ""es"")"),"Administrador de datos")</f>
        <v>Administrador de datos</v>
      </c>
      <c r="D266" s="4" t="str">
        <f>IFERROR(__xludf.DUMMYFUNCTION("GOOGLETRANSLATE(B266, ""en"", ""pt"")"),"Gerenciador de dados")</f>
        <v>Gerenciador de dados</v>
      </c>
      <c r="E266" s="4" t="str">
        <f>IFERROR(__xludf.DUMMYFUNCTION("GOOGLETRANSLATE(B266, ""en"", ""ar"")"),"مدير البيانات")</f>
        <v>مدير البيانات</v>
      </c>
      <c r="F266" s="4" t="str">
        <f>IFERROR(__xludf.DUMMYFUNCTION("GOOGLETRANSLATE(B266, ""en"", ""km"")"),"កម្មវិធីគ្រប់គ្រងទិន្នន័យ")</f>
        <v>កម្មវិធីគ្រប់គ្រងទិន្នន័យ</v>
      </c>
      <c r="G266" s="4" t="str">
        <f>IFERROR(__xludf.DUMMYFUNCTION("GOOGLETRANSLATE(B266, ""en"", ""fr"")"),"Manager de données")</f>
        <v>Manager de données</v>
      </c>
      <c r="H266" s="4" t="str">
        <f>IFERROR(__xludf.DUMMYFUNCTION("GOOGLETRANSLATE(B266, ""en"", ""ro"")"),"Manager de date")</f>
        <v>Manager de date</v>
      </c>
      <c r="I266" s="4" t="str">
        <f>IFERROR(__xludf.DUMMYFUNCTION("GOOGLETRANSLATE(B266, ""en"", ""my"")"),"ဒေတာမန်နေဂျာ")</f>
        <v>ဒေတာမန်နေဂျာ</v>
      </c>
      <c r="J266" s="4" t="str">
        <f>IFERROR(__xludf.DUMMYFUNCTION("GOOGLETRANSLATE(B266, ""en"", ""sw"")"),"Meneja wa data.")</f>
        <v>Meneja wa data.</v>
      </c>
      <c r="K266" s="4" t="str">
        <f>IFERROR(__xludf.DUMMYFUNCTION("GOOGLETRANSLATE(B266, ""en"", ""th"")"),"ผู้จัดการข้อมูล")</f>
        <v>ผู้จัดการข้อมูล</v>
      </c>
      <c r="L266" s="4" t="str">
        <f>IFERROR(__xludf.DUMMYFUNCTION("GOOGLETRANSLATE(B266, ""en"", ""si"")"),"දත්ත කළමනාකරු")</f>
        <v>දත්ත කළමනාකරු</v>
      </c>
      <c r="M266" s="4" t="str">
        <f>IFERROR(__xludf.DUMMYFUNCTION("GOOGLETRANSLATE(B266, ""en"", ""vi"")"),"Quản lý dữ liệu")</f>
        <v>Quản lý dữ liệu</v>
      </c>
      <c r="N266" s="4" t="str">
        <f>IFERROR(__xludf.DUMMYFUNCTION("GOOGLETRANSLATE(B266, ""en"", ""ne"")"),"डाटा प्रबन्धक")</f>
        <v>डाटा प्रबन्धक</v>
      </c>
      <c r="O266" s="4" t="str">
        <f>IFERROR(__xludf.DUMMYFUNCTION("GOOGLETRANSLATE(B266, ""en"", ""de"")"),"Datenmanager")</f>
        <v>Datenmanager</v>
      </c>
      <c r="P266" s="4" t="str">
        <f>IFERROR(__xludf.DUMMYFUNCTION("GOOGLETRANSLATE(B266, ""en"", ""he"")"),"מנהל נתונים")</f>
        <v>מנהל נתונים</v>
      </c>
      <c r="Q266" s="4" t="str">
        <f>IFERROR(__xludf.DUMMYFUNCTION("GOOGLETRANSLATE(B266, ""en"", ""cs"")"),"Správce dat")</f>
        <v>Správce dat</v>
      </c>
      <c r="R266" s="4" t="str">
        <f>IFERROR(__xludf.DUMMYFUNCTION("GOOGLETRANSLATE(B266, ""en"", ""it"")"),"Gestore dati")</f>
        <v>Gestore dati</v>
      </c>
      <c r="S266" s="4" t="str">
        <f>IFERROR(__xludf.DUMMYFUNCTION("GOOGLETRANSLATE(B266, ""en"", ""el"")"),"Διαχειριστής δεδομένων")</f>
        <v>Διαχειριστής δεδομένων</v>
      </c>
    </row>
    <row r="267" ht="15.75" customHeight="1">
      <c r="A267" s="4" t="s">
        <v>543</v>
      </c>
      <c r="B267" s="4" t="s">
        <v>544</v>
      </c>
      <c r="C267" s="4" t="str">
        <f>IFERROR(__xludf.DUMMYFUNCTION("GOOGLETRANSLATE(B267, ""en"", ""es"")"),"Auto")</f>
        <v>Auto</v>
      </c>
      <c r="D267" s="4" t="str">
        <f>IFERROR(__xludf.DUMMYFUNCTION("GOOGLETRANSLATE(B267, ""en"", ""pt"")"),"Auto")</f>
        <v>Auto</v>
      </c>
      <c r="E267" s="4" t="str">
        <f>IFERROR(__xludf.DUMMYFUNCTION("GOOGLETRANSLATE(B267, ""en"", ""ar"")"),"آلي")</f>
        <v>آلي</v>
      </c>
      <c r="F267" s="4" t="str">
        <f>IFERROR(__xludf.DUMMYFUNCTION("GOOGLETRANSLATE(B267, ""en"", ""km"")"),"ស្វមើលតុ 1")</f>
        <v>ស្វមើលតុ 1</v>
      </c>
      <c r="G267" s="4" t="str">
        <f>IFERROR(__xludf.DUMMYFUNCTION("GOOGLETRANSLATE(B267, ""en"", ""fr"")"),"Auto")</f>
        <v>Auto</v>
      </c>
      <c r="H267" s="4" t="str">
        <f>IFERROR(__xludf.DUMMYFUNCTION("GOOGLETRANSLATE(B267, ""en"", ""ro"")"),"Auto")</f>
        <v>Auto</v>
      </c>
      <c r="I267" s="4" t="str">
        <f>IFERROR(__xludf.DUMMYFUNCTION("GOOGLETRANSLATE(B267, ""en"", ""my"")"),"အကြီးဆုံး")</f>
        <v>အကြီးဆုံး</v>
      </c>
      <c r="J267" s="4" t="str">
        <f>IFERROR(__xludf.DUMMYFUNCTION("GOOGLETRANSLATE(B267, ""en"", ""sw"")"),"Auto.")</f>
        <v>Auto.</v>
      </c>
      <c r="K267" s="4" t="str">
        <f>IFERROR(__xludf.DUMMYFUNCTION("GOOGLETRANSLATE(B267, ""en"", ""th"")"),"อัตโนมัติ")</f>
        <v>อัตโนมัติ</v>
      </c>
      <c r="L267" s="4" t="str">
        <f>IFERROR(__xludf.DUMMYFUNCTION("GOOGLETRANSLATE(B267, ""en"", ""si"")"),"ස්වයංක්රීය")</f>
        <v>ස්වයංක්රීය</v>
      </c>
      <c r="M267" s="4" t="str">
        <f>IFERROR(__xludf.DUMMYFUNCTION("GOOGLETRANSLATE(B267, ""en"", ""vi"")"),"Tự động")</f>
        <v>Tự động</v>
      </c>
      <c r="N267" s="4" t="str">
        <f>IFERROR(__xludf.DUMMYFUNCTION("GOOGLETRANSLATE(B267, ""en"", ""ne"")"),"निस्कश्रानु")</f>
        <v>निस्कश्रानु</v>
      </c>
      <c r="O267" s="4" t="str">
        <f>IFERROR(__xludf.DUMMYFUNCTION("GOOGLETRANSLATE(B267, ""en"", ""de"")"),"Auto")</f>
        <v>Auto</v>
      </c>
      <c r="P267" s="4" t="str">
        <f>IFERROR(__xludf.DUMMYFUNCTION("GOOGLETRANSLATE(B267, ""en"", ""he"")"),"אוטומטי")</f>
        <v>אוטומטי</v>
      </c>
      <c r="Q267" s="4" t="str">
        <f>IFERROR(__xludf.DUMMYFUNCTION("GOOGLETRANSLATE(B267, ""en"", ""cs"")"),"Auto")</f>
        <v>Auto</v>
      </c>
      <c r="R267" s="4" t="str">
        <f>IFERROR(__xludf.DUMMYFUNCTION("GOOGLETRANSLATE(B267, ""en"", ""it"")"),"Auto")</f>
        <v>Auto</v>
      </c>
      <c r="S267" s="4" t="str">
        <f>IFERROR(__xludf.DUMMYFUNCTION("GOOGLETRANSLATE(B267, ""en"", ""el"")"),"Αυτο")</f>
        <v>Αυτο</v>
      </c>
    </row>
    <row r="268" ht="15.75" customHeight="1">
      <c r="A268" s="4" t="s">
        <v>545</v>
      </c>
      <c r="B268" s="4" t="s">
        <v>546</v>
      </c>
      <c r="C268" s="4" t="str">
        <f>IFERROR(__xludf.DUMMYFUNCTION("GOOGLETRANSLATE(B268, ""en"", ""es"")"),"Limpio y impulso")</f>
        <v>Limpio y impulso</v>
      </c>
      <c r="D268" s="4" t="str">
        <f>IFERROR(__xludf.DUMMYFUNCTION("GOOGLETRANSLATE(B268, ""en"", ""pt"")"),"Limpo e impulso")</f>
        <v>Limpo e impulso</v>
      </c>
      <c r="E268" s="4" t="str">
        <f>IFERROR(__xludf.DUMMYFUNCTION("GOOGLETRANSLATE(B268, ""en"", ""ar"")"),"نظيفة وتعزيز")</f>
        <v>نظيفة وتعزيز</v>
      </c>
      <c r="F268" s="4" t="str">
        <f>IFERROR(__xludf.DUMMYFUNCTION("GOOGLETRANSLATE(B268, ""en"", ""km"")"),"ជំរុញនិងជំរុញ")</f>
        <v>ជំរុញនិងជំរុញ</v>
      </c>
      <c r="G268" s="4" t="str">
        <f>IFERROR(__xludf.DUMMYFUNCTION("GOOGLETRANSLATE(B268, ""en"", ""fr"")"),"Nettoyer et booster")</f>
        <v>Nettoyer et booster</v>
      </c>
      <c r="H268" s="4" t="str">
        <f>IFERROR(__xludf.DUMMYFUNCTION("GOOGLETRANSLATE(B268, ""en"", ""ro"")"),"Clean &amp; Boost.")</f>
        <v>Clean &amp; Boost.</v>
      </c>
      <c r="I268" s="4" t="str">
        <f>IFERROR(__xludf.DUMMYFUNCTION("GOOGLETRANSLATE(B268, ""en"", ""my"")"),"သန့်ရှင်းရေး &amp; တိုးမြှင့်")</f>
        <v>သန့်ရှင်းရေး &amp; တိုးမြှင့်</v>
      </c>
      <c r="J268" s="4" t="str">
        <f>IFERROR(__xludf.DUMMYFUNCTION("GOOGLETRANSLATE(B268, ""en"", ""sw"")"),"Safi &amp; Kuimarisha.")</f>
        <v>Safi &amp; Kuimarisha.</v>
      </c>
      <c r="K268" s="4" t="str">
        <f>IFERROR(__xludf.DUMMYFUNCTION("GOOGLETRANSLATE(B268, ""en"", ""th"")"),"ทำความสะอาดและเพิ่ม")</f>
        <v>ทำความสะอาดและเพิ่ม</v>
      </c>
      <c r="L268" s="4" t="str">
        <f>IFERROR(__xludf.DUMMYFUNCTION("GOOGLETRANSLATE(B268, ""en"", ""si"")"),"පිරිසිදු හා තල්ලුව")</f>
        <v>පිරිසිදු හා තල්ලුව</v>
      </c>
      <c r="M268" s="4" t="str">
        <f>IFERROR(__xludf.DUMMYFUNCTION("GOOGLETRANSLATE(B268, ""en"", ""vi"")"),"Sạch sẽ &amp; Boost.")</f>
        <v>Sạch sẽ &amp; Boost.</v>
      </c>
      <c r="N268" s="4" t="str">
        <f>IFERROR(__xludf.DUMMYFUNCTION("GOOGLETRANSLATE(B268, ""en"", ""ne"")"),"सफा र बूस्ट")</f>
        <v>सफा र बूस्ट</v>
      </c>
      <c r="O268" s="4" t="str">
        <f>IFERROR(__xludf.DUMMYFUNCTION("GOOGLETRANSLATE(B268, ""en"", ""de"")"),"Sauber &amp; steigern.")</f>
        <v>Sauber &amp; steigern.</v>
      </c>
      <c r="P268" s="4" t="str">
        <f>IFERROR(__xludf.DUMMYFUNCTION("GOOGLETRANSLATE(B268, ""en"", ""he"")"),"נקי &amp; Boost.")</f>
        <v>נקי &amp; Boost.</v>
      </c>
      <c r="Q268" s="4" t="str">
        <f>IFERROR(__xludf.DUMMYFUNCTION("GOOGLETRANSLATE(B268, ""en"", ""cs"")"),"Čistý a boost.")</f>
        <v>Čistý a boost.</v>
      </c>
      <c r="R268" s="4" t="str">
        <f>IFERROR(__xludf.DUMMYFUNCTION("GOOGLETRANSLATE(B268, ""en"", ""it"")"),"Pulito e boost.")</f>
        <v>Pulito e boost.</v>
      </c>
      <c r="S268" s="4" t="str">
        <f>IFERROR(__xludf.DUMMYFUNCTION("GOOGLETRANSLATE(B268, ""en"", ""el"")"),"Καθαρό και ώθηση")</f>
        <v>Καθαρό και ώθηση</v>
      </c>
    </row>
    <row r="269" ht="15.75" customHeight="1">
      <c r="A269" s="4" t="s">
        <v>547</v>
      </c>
      <c r="B269" s="4" t="s">
        <v>548</v>
      </c>
      <c r="C269" s="4" t="str">
        <f>IFERROR(__xludf.DUMMYFUNCTION("GOOGLETRANSLATE(B269, ""en"", ""es"")")," 888 amenaza")</f>
        <v> 888 amenaza</v>
      </c>
      <c r="D269" s="4" t="str">
        <f>IFERROR(__xludf.DUMMYFUNCTION("GOOGLETRANSLATE(B269, ""en"", ""pt"")")," 888 ameaça")</f>
        <v> 888 ameaça</v>
      </c>
      <c r="E269" s="4" t="str">
        <f>IFERROR(__xludf.DUMMYFUNCTION("GOOGLETRANSLATE(B269, ""en"", ""ar"")")," 888 تهديد")</f>
        <v> 888 تهديد</v>
      </c>
      <c r="F269" s="4" t="str">
        <f>IFERROR(__xludf.DUMMYFUNCTION("GOOGLETRANSLATE(B269, ""en"", ""km"")")," 888 ការគំរាមកំហែង")</f>
        <v> 888 ការគំរាមកំហែង</v>
      </c>
      <c r="G269" s="4" t="str">
        <f>IFERROR(__xludf.DUMMYFUNCTION("GOOGLETRANSLATE(B269, ""en"", ""fr"")")," 888 Menace")</f>
        <v> 888 Menace</v>
      </c>
      <c r="H269" s="4" t="str">
        <f>IFERROR(__xludf.DUMMYFUNCTION("GOOGLETRANSLATE(B269, ""en"", ""ro"")")," 888 amenințare")</f>
        <v> 888 amenințare</v>
      </c>
      <c r="I269" s="4" t="str">
        <f>IFERROR(__xludf.DUMMYFUNCTION("GOOGLETRANSLATE(B269, ""en"", ""my"")")," 888 ခြိမ်းခြောက်မှု")</f>
        <v> 888 ခြိမ်းခြောက်မှု</v>
      </c>
      <c r="J269" s="4" t="str">
        <f>IFERROR(__xludf.DUMMYFUNCTION("GOOGLETRANSLATE(B269, ""en"", ""sw"")")," 888 Tishio")</f>
        <v> 888 Tishio</v>
      </c>
      <c r="K269" s="4" t="str">
        <f>IFERROR(__xludf.DUMMYFUNCTION("GOOGLETRANSLATE(B269, ""en"", ""th"")")," ภัยคุกคาม 888")</f>
        <v> ภัยคุกคาม 888</v>
      </c>
      <c r="L269" s="4" t="str">
        <f>IFERROR(__xludf.DUMMYFUNCTION("GOOGLETRANSLATE(B269, ""en"", ""si"")")," 888 තර්ජනය")</f>
        <v> 888 තර්ජනය</v>
      </c>
      <c r="M269" s="4" t="str">
        <f>IFERROR(__xludf.DUMMYFUNCTION("GOOGLETRANSLATE(B269, ""en"", ""vi"")")," 888 MINE.")</f>
        <v> 888 MINE.</v>
      </c>
      <c r="N269" s="4" t="str">
        <f>IFERROR(__xludf.DUMMYFUNCTION("GOOGLETRANSLATE(B269, ""en"", ""ne"")")," 8 888 खतरा")</f>
        <v> 8 888 खतरा</v>
      </c>
      <c r="O269" s="4" t="str">
        <f>IFERROR(__xludf.DUMMYFUNCTION("GOOGLETRANSLATE(B269, ""en"", ""de"")")," 888 Bedrohung.")</f>
        <v> 888 Bedrohung.</v>
      </c>
      <c r="P269" s="4" t="str">
        <f>IFERROR(__xludf.DUMMYFUNCTION("GOOGLETRANSLATE(B269, ""en"", ""he"")")," 888 איום")</f>
        <v> 888 איום</v>
      </c>
      <c r="Q269" s="4" t="str">
        <f>IFERROR(__xludf.DUMMYFUNCTION("GOOGLETRANSLATE(B269, ""en"", ""cs"")")," 888 Hrozba")</f>
        <v> 888 Hrozba</v>
      </c>
      <c r="R269" s="4" t="str">
        <f>IFERROR(__xludf.DUMMYFUNCTION("GOOGLETRANSLATE(B269, ""en"", ""it"")")," 888 minaccia")</f>
        <v> 888 minaccia</v>
      </c>
      <c r="S269" s="4" t="str">
        <f>IFERROR(__xludf.DUMMYFUNCTION("GOOGLETRANSLATE(B269, ""en"", ""el"")")," 888 απειλή")</f>
        <v> 888 απειλή</v>
      </c>
    </row>
    <row r="270" ht="15.75" customHeight="1">
      <c r="A270" s="4" t="s">
        <v>549</v>
      </c>
      <c r="B270" s="4" t="s">
        <v>550</v>
      </c>
      <c r="C270" s="4" t="str">
        <f>IFERROR(__xludf.DUMMYFUNCTION("GOOGLETRANSLATE(B270, ""en"", ""es"")"),"Vibración")</f>
        <v>Vibración</v>
      </c>
      <c r="D270" s="4" t="str">
        <f>IFERROR(__xludf.DUMMYFUNCTION("GOOGLETRANSLATE(B270, ""en"", ""pt"")"),"Vibração")</f>
        <v>Vibração</v>
      </c>
      <c r="E270" s="4" t="str">
        <f>IFERROR(__xludf.DUMMYFUNCTION("GOOGLETRANSLATE(B270, ""en"", ""ar"")"),"اهتزاز")</f>
        <v>اهتزاز</v>
      </c>
      <c r="F270" s="4" t="str">
        <f>IFERROR(__xludf.DUMMYFUNCTION("GOOGLETRANSLATE(B270, ""en"", ""km"")"),"រំ​ញ័រ")</f>
        <v>រំ​ញ័រ</v>
      </c>
      <c r="G270" s="4" t="str">
        <f>IFERROR(__xludf.DUMMYFUNCTION("GOOGLETRANSLATE(B270, ""en"", ""fr"")"),"Vibration")</f>
        <v>Vibration</v>
      </c>
      <c r="H270" s="4" t="str">
        <f>IFERROR(__xludf.DUMMYFUNCTION("GOOGLETRANSLATE(B270, ""en"", ""ro"")"),"Vibrații")</f>
        <v>Vibrații</v>
      </c>
      <c r="I270" s="4" t="str">
        <f>IFERROR(__xludf.DUMMYFUNCTION("GOOGLETRANSLATE(B270, ""en"", ""my"")"),"တုန်ခါခြင်း")</f>
        <v>တုန်ခါခြင်း</v>
      </c>
      <c r="J270" s="4" t="str">
        <f>IFERROR(__xludf.DUMMYFUNCTION("GOOGLETRANSLATE(B270, ""en"", ""sw"")"),"Vibration.")</f>
        <v>Vibration.</v>
      </c>
      <c r="K270" s="4" t="str">
        <f>IFERROR(__xludf.DUMMYFUNCTION("GOOGLETRANSLATE(B270, ""en"", ""th"")"),"การสั่นสะเทือน")</f>
        <v>การสั่นสะเทือน</v>
      </c>
      <c r="L270" s="4" t="str">
        <f>IFERROR(__xludf.DUMMYFUNCTION("GOOGLETRANSLATE(B270, ""en"", ""si"")"),"කම්පනය")</f>
        <v>කම්පනය</v>
      </c>
      <c r="M270" s="4" t="str">
        <f>IFERROR(__xludf.DUMMYFUNCTION("GOOGLETRANSLATE(B270, ""en"", ""vi"")"),"Rung động")</f>
        <v>Rung động</v>
      </c>
      <c r="N270" s="4" t="str">
        <f>IFERROR(__xludf.DUMMYFUNCTION("GOOGLETRANSLATE(B270, ""en"", ""ne"")"),"पुरातात्व")</f>
        <v>पुरातात्व</v>
      </c>
      <c r="O270" s="4" t="str">
        <f>IFERROR(__xludf.DUMMYFUNCTION("GOOGLETRANSLATE(B270, ""en"", ""de"")"),"Vibration")</f>
        <v>Vibration</v>
      </c>
      <c r="P270" s="4" t="str">
        <f>IFERROR(__xludf.DUMMYFUNCTION("GOOGLETRANSLATE(B270, ""en"", ""he"")"),"רֶטֶט")</f>
        <v>רֶטֶט</v>
      </c>
      <c r="Q270" s="4" t="str">
        <f>IFERROR(__xludf.DUMMYFUNCTION("GOOGLETRANSLATE(B270, ""en"", ""cs"")"),"Vibrace")</f>
        <v>Vibrace</v>
      </c>
      <c r="R270" s="4" t="str">
        <f>IFERROR(__xludf.DUMMYFUNCTION("GOOGLETRANSLATE(B270, ""en"", ""it"")"),"Vibrazione")</f>
        <v>Vibrazione</v>
      </c>
      <c r="S270" s="4" t="str">
        <f>IFERROR(__xludf.DUMMYFUNCTION("GOOGLETRANSLATE(B270, ""en"", ""el"")"),"Δόνηση")</f>
        <v>Δόνηση</v>
      </c>
    </row>
    <row r="271" ht="15.75" customHeight="1">
      <c r="A271" s="4" t="s">
        <v>551</v>
      </c>
      <c r="B271" s="4" t="s">
        <v>552</v>
      </c>
      <c r="C271" s="4" t="str">
        <f>IFERROR(__xludf.DUMMYFUNCTION("GOOGLETRANSLATE(B271, ""en"", ""es"")"),"Amenazas de seguridad")</f>
        <v>Amenazas de seguridad</v>
      </c>
      <c r="D271" s="4" t="str">
        <f>IFERROR(__xludf.DUMMYFUNCTION("GOOGLETRANSLATE(B271, ""en"", ""pt"")"),"Ameaças à segurança")</f>
        <v>Ameaças à segurança</v>
      </c>
      <c r="E271" s="4" t="str">
        <f>IFERROR(__xludf.DUMMYFUNCTION("GOOGLETRANSLATE(B271, ""en"", ""ar"")"),"التهديدات الأمنية")</f>
        <v>التهديدات الأمنية</v>
      </c>
      <c r="F271" s="4" t="str">
        <f>IFERROR(__xludf.DUMMYFUNCTION("GOOGLETRANSLATE(B271, ""en"", ""km"")"),"ការគំរាមកំហែងសន្តិសុខ")</f>
        <v>ការគំរាមកំហែងសន្តិសុខ</v>
      </c>
      <c r="G271" s="4" t="str">
        <f>IFERROR(__xludf.DUMMYFUNCTION("GOOGLETRANSLATE(B271, ""en"", ""fr"")"),"Menaces de sécurité")</f>
        <v>Menaces de sécurité</v>
      </c>
      <c r="H271" s="4" t="str">
        <f>IFERROR(__xludf.DUMMYFUNCTION("GOOGLETRANSLATE(B271, ""en"", ""ro"")"),"Amenintari de securitate")</f>
        <v>Amenintari de securitate</v>
      </c>
      <c r="I271" s="4" t="str">
        <f>IFERROR(__xludf.DUMMYFUNCTION("GOOGLETRANSLATE(B271, ""en"", ""my"")"),"လုံခြုံရေးခြိမ်းခြောက်မှုများ")</f>
        <v>လုံခြုံရေးခြိမ်းခြောက်မှုများ</v>
      </c>
      <c r="J271" s="4" t="str">
        <f>IFERROR(__xludf.DUMMYFUNCTION("GOOGLETRANSLATE(B271, ""en"", ""sw"")"),"Vitisho vya usalama.")</f>
        <v>Vitisho vya usalama.</v>
      </c>
      <c r="K271" s="4" t="str">
        <f>IFERROR(__xludf.DUMMYFUNCTION("GOOGLETRANSLATE(B271, ""en"", ""th"")"),"ภัยคุกคามความปลอดภัย")</f>
        <v>ภัยคุกคามความปลอดภัย</v>
      </c>
      <c r="L271" s="4" t="str">
        <f>IFERROR(__xludf.DUMMYFUNCTION("GOOGLETRANSLATE(B271, ""en"", ""si"")"),"ආරක්ෂක තර්ජන")</f>
        <v>ආරක්ෂක තර්ජන</v>
      </c>
      <c r="M271" s="4" t="str">
        <f>IFERROR(__xludf.DUMMYFUNCTION("GOOGLETRANSLATE(B271, ""en"", ""vi"")"),"Các mối đe dọa an ninh")</f>
        <v>Các mối đe dọa an ninh</v>
      </c>
      <c r="N271" s="4" t="str">
        <f>IFERROR(__xludf.DUMMYFUNCTION("GOOGLETRANSLATE(B271, ""en"", ""ne"")"),"सुरक्षा खतरा")</f>
        <v>सुरक्षा खतरा</v>
      </c>
      <c r="O271" s="4" t="str">
        <f>IFERROR(__xludf.DUMMYFUNCTION("GOOGLETRANSLATE(B271, ""en"", ""de"")"),"Sicherheitsbedrohungen")</f>
        <v>Sicherheitsbedrohungen</v>
      </c>
      <c r="P271" s="4" t="str">
        <f>IFERROR(__xludf.DUMMYFUNCTION("GOOGLETRANSLATE(B271, ""en"", ""he"")"),"איומים ביטחוניים")</f>
        <v>איומים ביטחוניים</v>
      </c>
      <c r="Q271" s="4" t="str">
        <f>IFERROR(__xludf.DUMMYFUNCTION("GOOGLETRANSLATE(B271, ""en"", ""cs"")"),"Bezpečnostní hrozby")</f>
        <v>Bezpečnostní hrozby</v>
      </c>
      <c r="R271" s="4" t="str">
        <f>IFERROR(__xludf.DUMMYFUNCTION("GOOGLETRANSLATE(B271, ""en"", ""it"")"),"Minacce alla sicurezza")</f>
        <v>Minacce alla sicurezza</v>
      </c>
      <c r="S271" s="4" t="str">
        <f>IFERROR(__xludf.DUMMYFUNCTION("GOOGLETRANSLATE(B271, ""en"", ""el"")"),"Απειλές ασφάλειας")</f>
        <v>Απειλές ασφάλειας</v>
      </c>
    </row>
    <row r="272" ht="15.75" customHeight="1">
      <c r="A272" s="4" t="s">
        <v>553</v>
      </c>
      <c r="B272" s="4" t="s">
        <v>554</v>
      </c>
      <c r="C272" s="4" t="str">
        <f>IFERROR(__xludf.DUMMYFUNCTION("GOOGLETRANSLATE(B272, ""en"", ""es"")"),"Aplicación de usuario")</f>
        <v>Aplicación de usuario</v>
      </c>
      <c r="D272" s="4" t="str">
        <f>IFERROR(__xludf.DUMMYFUNCTION("GOOGLETRANSLATE(B272, ""en"", ""pt"")"),"App do usuário.")</f>
        <v>App do usuário.</v>
      </c>
      <c r="E272" s="4" t="str">
        <f>IFERROR(__xludf.DUMMYFUNCTION("GOOGLETRANSLATE(B272, ""en"", ""ar"")"),"تطبيق المستخدم")</f>
        <v>تطبيق المستخدم</v>
      </c>
      <c r="F272" s="4" t="str">
        <f>IFERROR(__xludf.DUMMYFUNCTION("GOOGLETRANSLATE(B272, ""en"", ""km"")"),"កម្មវិធីអ្នកប្រើប្រាស់")</f>
        <v>កម្មវិធីអ្នកប្រើប្រាស់</v>
      </c>
      <c r="G272" s="4" t="str">
        <f>IFERROR(__xludf.DUMMYFUNCTION("GOOGLETRANSLATE(B272, ""en"", ""fr"")"),"Application utilisateur")</f>
        <v>Application utilisateur</v>
      </c>
      <c r="H272" s="4" t="str">
        <f>IFERROR(__xludf.DUMMYFUNCTION("GOOGLETRANSLATE(B272, ""en"", ""ro"")"),"Aplicația utilizatorului")</f>
        <v>Aplicația utilizatorului</v>
      </c>
      <c r="I272" s="4" t="str">
        <f>IFERROR(__xludf.DUMMYFUNCTION("GOOGLETRANSLATE(B272, ""en"", ""my"")"),"အသုံးပြုသူ app")</f>
        <v>အသုံးပြုသူ app</v>
      </c>
      <c r="J272" s="4" t="str">
        <f>IFERROR(__xludf.DUMMYFUNCTION("GOOGLETRANSLATE(B272, ""en"", ""sw"")"),"Programu ya mtumiaji")</f>
        <v>Programu ya mtumiaji</v>
      </c>
      <c r="K272" s="4" t="str">
        <f>IFERROR(__xludf.DUMMYFUNCTION("GOOGLETRANSLATE(B272, ""en"", ""th"")"),"แอปผู้ใช้")</f>
        <v>แอปผู้ใช้</v>
      </c>
      <c r="L272" s="4" t="str">
        <f>IFERROR(__xludf.DUMMYFUNCTION("GOOGLETRANSLATE(B272, ""en"", ""si"")"),"පරිශීලක යෙදුම")</f>
        <v>පරිශීලක යෙදුම</v>
      </c>
      <c r="M272" s="4" t="str">
        <f>IFERROR(__xludf.DUMMYFUNCTION("GOOGLETRANSLATE(B272, ""en"", ""vi"")"),"Ứng dụng người dùng")</f>
        <v>Ứng dụng người dùng</v>
      </c>
      <c r="N272" s="4" t="str">
        <f>IFERROR(__xludf.DUMMYFUNCTION("GOOGLETRANSLATE(B272, ""en"", ""ne"")"),"प्रयोगकर्ता निवेदन")</f>
        <v>प्रयोगकर्ता निवेदन</v>
      </c>
      <c r="O272" s="4" t="str">
        <f>IFERROR(__xludf.DUMMYFUNCTION("GOOGLETRANSLATE(B272, ""en"", ""de"")"),"Benutzer-App.")</f>
        <v>Benutzer-App.</v>
      </c>
      <c r="P272" s="4" t="str">
        <f>IFERROR(__xludf.DUMMYFUNCTION("GOOGLETRANSLATE(B272, ""en"", ""he"")"),"משתמש App.")</f>
        <v>משתמש App.</v>
      </c>
      <c r="Q272" s="4" t="str">
        <f>IFERROR(__xludf.DUMMYFUNCTION("GOOGLETRANSLATE(B272, ""en"", ""cs"")"),"Uživatelská aplikace")</f>
        <v>Uživatelská aplikace</v>
      </c>
      <c r="R272" s="4" t="str">
        <f>IFERROR(__xludf.DUMMYFUNCTION("GOOGLETRANSLATE(B272, ""en"", ""it"")"),"User App.")</f>
        <v>User App.</v>
      </c>
      <c r="S272" s="4" t="str">
        <f>IFERROR(__xludf.DUMMYFUNCTION("GOOGLETRANSLATE(B272, ""en"", ""el"")"),"Εφαρμογή χρήστη")</f>
        <v>Εφαρμογή χρήστη</v>
      </c>
    </row>
    <row r="273" ht="15.75" customHeight="1">
      <c r="A273" s="4" t="s">
        <v>555</v>
      </c>
      <c r="B273" s="4" t="s">
        <v>487</v>
      </c>
      <c r="C273" s="4" t="str">
        <f>IFERROR(__xludf.DUMMYFUNCTION("GOOGLETRANSLATE(B273, ""en"", ""es"")"),"Notificación")</f>
        <v>Notificación</v>
      </c>
      <c r="D273" s="4" t="str">
        <f>IFERROR(__xludf.DUMMYFUNCTION("GOOGLETRANSLATE(B273, ""en"", ""pt"")"),"Notificação")</f>
        <v>Notificação</v>
      </c>
      <c r="E273" s="4" t="str">
        <f>IFERROR(__xludf.DUMMYFUNCTION("GOOGLETRANSLATE(B273, ""en"", ""ar"")"),"تنبيه")</f>
        <v>تنبيه</v>
      </c>
      <c r="F273" s="4" t="str">
        <f>IFERROR(__xludf.DUMMYFUNCTION("GOOGLETRANSLATE(B273, ""en"", ""km"")"),"របាយការ")</f>
        <v>របាយការ</v>
      </c>
      <c r="G273" s="4" t="str">
        <f>IFERROR(__xludf.DUMMYFUNCTION("GOOGLETRANSLATE(B273, ""en"", ""fr"")"),"Notification")</f>
        <v>Notification</v>
      </c>
      <c r="H273" s="4" t="str">
        <f>IFERROR(__xludf.DUMMYFUNCTION("GOOGLETRANSLATE(B273, ""en"", ""ro"")"),"Notificare")</f>
        <v>Notificare</v>
      </c>
      <c r="I273" s="4" t="str">
        <f>IFERROR(__xludf.DUMMYFUNCTION("GOOGLETRANSLATE(B273, ""en"", ""my"")"),"ကေြာ်ြငာခြင်း")</f>
        <v>ကေြာ်ြငာခြင်း</v>
      </c>
      <c r="J273" s="4" t="str">
        <f>IFERROR(__xludf.DUMMYFUNCTION("GOOGLETRANSLATE(B273, ""en"", ""sw"")"),"Arifa")</f>
        <v>Arifa</v>
      </c>
      <c r="K273" s="4" t="str">
        <f>IFERROR(__xludf.DUMMYFUNCTION("GOOGLETRANSLATE(B273, ""en"", ""th"")"),"การแจ้ง")</f>
        <v>การแจ้ง</v>
      </c>
      <c r="L273" s="4" t="str">
        <f>IFERROR(__xludf.DUMMYFUNCTION("GOOGLETRANSLATE(B273, ""en"", ""si"")"),"දැනුම්දීම")</f>
        <v>දැනුම්දීම</v>
      </c>
      <c r="M273" s="4" t="str">
        <f>IFERROR(__xludf.DUMMYFUNCTION("GOOGLETRANSLATE(B273, ""en"", ""vi"")"),"Thông báo")</f>
        <v>Thông báo</v>
      </c>
      <c r="N273" s="4" t="str">
        <f>IFERROR(__xludf.DUMMYFUNCTION("GOOGLETRANSLATE(B273, ""en"", ""ne"")"),"सुचना")</f>
        <v>सुचना</v>
      </c>
      <c r="O273" s="4" t="str">
        <f>IFERROR(__xludf.DUMMYFUNCTION("GOOGLETRANSLATE(B273, ""en"", ""de"")"),"Benachrichtigung")</f>
        <v>Benachrichtigung</v>
      </c>
      <c r="P273" s="4" t="str">
        <f>IFERROR(__xludf.DUMMYFUNCTION("GOOGLETRANSLATE(B273, ""en"", ""he"")"),"הוֹדָעָה")</f>
        <v>הוֹדָעָה</v>
      </c>
      <c r="Q273" s="4" t="str">
        <f>IFERROR(__xludf.DUMMYFUNCTION("GOOGLETRANSLATE(B273, ""en"", ""cs"")"),"Oznámení")</f>
        <v>Oznámení</v>
      </c>
      <c r="R273" s="4" t="str">
        <f>IFERROR(__xludf.DUMMYFUNCTION("GOOGLETRANSLATE(B273, ""en"", ""it"")"),"Notifica")</f>
        <v>Notifica</v>
      </c>
      <c r="S273" s="4" t="str">
        <f>IFERROR(__xludf.DUMMYFUNCTION("GOOGLETRANSLATE(B273, ""en"", ""el"")"),"Γνωστοποίηση")</f>
        <v>Γνωστοποίηση</v>
      </c>
    </row>
    <row r="274" ht="15.75" customHeight="1">
      <c r="A274" s="4" t="s">
        <v>556</v>
      </c>
      <c r="B274" s="4" t="s">
        <v>557</v>
      </c>
      <c r="C274" s="4" t="str">
        <f>IFERROR(__xludf.DUMMYFUNCTION("GOOGLETRANSLATE(B274, ""en"", ""es"")"),"Dibuja el patrón de nuevo para confirmar")</f>
        <v>Dibuja el patrón de nuevo para confirmar</v>
      </c>
      <c r="D274" s="4" t="str">
        <f>IFERROR(__xludf.DUMMYFUNCTION("GOOGLETRANSLATE(B274, ""en"", ""pt"")"),"Desenhe o padrão novamente para confirmar")</f>
        <v>Desenhe o padrão novamente para confirmar</v>
      </c>
      <c r="E274" s="4" t="str">
        <f>IFERROR(__xludf.DUMMYFUNCTION("GOOGLETRANSLATE(B274, ""en"", ""ar"")"),"ارسم النموذج مرة أخرى للتأكيد")</f>
        <v>ارسم النموذج مرة أخرى للتأكيد</v>
      </c>
      <c r="F274" s="4" t="str">
        <f>IFERROR(__xludf.DUMMYFUNCTION("GOOGLETRANSLATE(B274, ""en"", ""km"")"),"គូរលំនាំម្តងទៀតដើម្បីបញ្ជាក់")</f>
        <v>គូរលំនាំម្តងទៀតដើម្បីបញ្ជាក់</v>
      </c>
      <c r="G274" s="4" t="str">
        <f>IFERROR(__xludf.DUMMYFUNCTION("GOOGLETRANSLATE(B274, ""en"", ""fr"")"),"Dessinez à nouveau le motif pour confirmer")</f>
        <v>Dessinez à nouveau le motif pour confirmer</v>
      </c>
      <c r="H274" s="4" t="str">
        <f>IFERROR(__xludf.DUMMYFUNCTION("GOOGLETRANSLATE(B274, ""en"", ""ro"")"),"Desenați modelul din nou pentru a confirma")</f>
        <v>Desenați modelul din nou pentru a confirma</v>
      </c>
      <c r="I274" s="4" t="str">
        <f>IFERROR(__xludf.DUMMYFUNCTION("GOOGLETRANSLATE(B274, ""en"", ""my"")"),"အတည်ပြုရန်နောက်တဖန်ပုံစံကိုဆွဲပါ")</f>
        <v>အတည်ပြုရန်နောက်တဖန်ပုံစံကိုဆွဲပါ</v>
      </c>
      <c r="J274" s="4" t="str">
        <f>IFERROR(__xludf.DUMMYFUNCTION("GOOGLETRANSLATE(B274, ""en"", ""sw"")"),"Chora muundo tena ili kuthibitisha")</f>
        <v>Chora muundo tena ili kuthibitisha</v>
      </c>
      <c r="K274" s="4" t="str">
        <f>IFERROR(__xludf.DUMMYFUNCTION("GOOGLETRANSLATE(B274, ""en"", ""th"")"),"วาดรูปแบบอีกครั้งเพื่อยืนยัน")</f>
        <v>วาดรูปแบบอีกครั้งเพื่อยืนยัน</v>
      </c>
      <c r="L274" s="4" t="str">
        <f>IFERROR(__xludf.DUMMYFUNCTION("GOOGLETRANSLATE(B274, ""en"", ""si"")"),"තහවුරු කිරීම සඳහා නැවත රටාව නැවත අඳින්න")</f>
        <v>තහවුරු කිරීම සඳහා නැවත රටාව නැවත අඳින්න</v>
      </c>
      <c r="M274" s="4" t="str">
        <f>IFERROR(__xludf.DUMMYFUNCTION("GOOGLETRANSLATE(B274, ""en"", ""vi"")"),"Vẽ mẫu một lần nữa để xác nhận")</f>
        <v>Vẽ mẫu một lần nữa để xác nhận</v>
      </c>
      <c r="N274" s="4" t="str">
        <f>IFERROR(__xludf.DUMMYFUNCTION("GOOGLETRANSLATE(B274, ""en"", ""ne"")"),"पुष्टि गर्न फेरि ढाँचा कोर्नुहोस्")</f>
        <v>पुष्टि गर्न फेरि ढाँचा कोर्नुहोस्</v>
      </c>
      <c r="O274" s="4" t="str">
        <f>IFERROR(__xludf.DUMMYFUNCTION("GOOGLETRANSLATE(B274, ""en"", ""de"")"),"Zeichnen Sie das Muster erneut, um zu bestätigen")</f>
        <v>Zeichnen Sie das Muster erneut, um zu bestätigen</v>
      </c>
      <c r="P274" s="4" t="str">
        <f>IFERROR(__xludf.DUMMYFUNCTION("GOOGLETRANSLATE(B274, ""en"", ""he"")"),"צייר את התבנית שוב כדי לאשר")</f>
        <v>צייר את התבנית שוב כדי לאשר</v>
      </c>
      <c r="Q274" s="4" t="str">
        <f>IFERROR(__xludf.DUMMYFUNCTION("GOOGLETRANSLATE(B274, ""en"", ""cs"")"),"Znovu nakreslete vzor, ​​abyste potvrdili")</f>
        <v>Znovu nakreslete vzor, ​​abyste potvrdili</v>
      </c>
      <c r="R274" s="4" t="str">
        <f>IFERROR(__xludf.DUMMYFUNCTION("GOOGLETRANSLATE(B274, ""en"", ""it"")"),"Disegna di nuovo il modello per confermare")</f>
        <v>Disegna di nuovo il modello per confermare</v>
      </c>
      <c r="S274" s="4" t="str">
        <f>IFERROR(__xludf.DUMMYFUNCTION("GOOGLETRANSLATE(B274, ""en"", ""el"")"),"Σχεδιάστε ξανά το πρότυπο για να επιβεβαιώσετε")</f>
        <v>Σχεδιάστε ξανά το πρότυπο για να επιβεβαιώσετε</v>
      </c>
    </row>
    <row r="275" ht="15.75" customHeight="1">
      <c r="A275" s="4" t="s">
        <v>558</v>
      </c>
      <c r="B275" s="4" t="s">
        <v>559</v>
      </c>
      <c r="C275" s="4" t="str">
        <f>IFERROR(__xludf.DUMMYFUNCTION("GOOGLETRANSLATE(B275, ""en"", ""es"")"),"Cada 7 dias")</f>
        <v>Cada 7 dias</v>
      </c>
      <c r="D275" s="4" t="str">
        <f>IFERROR(__xludf.DUMMYFUNCTION("GOOGLETRANSLATE(B275, ""en"", ""pt"")"),"A cada 7 dias")</f>
        <v>A cada 7 dias</v>
      </c>
      <c r="E275" s="4" t="str">
        <f>IFERROR(__xludf.DUMMYFUNCTION("GOOGLETRANSLATE(B275, ""en"", ""ar"")"),"كل 7 أيام")</f>
        <v>كل 7 أيام</v>
      </c>
      <c r="F275" s="4" t="str">
        <f>IFERROR(__xludf.DUMMYFUNCTION("GOOGLETRANSLATE(B275, ""en"", ""km"")"),"រៀងរាល់ 7 ថ្ងៃម្តង")</f>
        <v>រៀងរាល់ 7 ថ្ងៃម្តង</v>
      </c>
      <c r="G275" s="4" t="str">
        <f>IFERROR(__xludf.DUMMYFUNCTION("GOOGLETRANSLATE(B275, ""en"", ""fr"")"),"Tous les 7 jours")</f>
        <v>Tous les 7 jours</v>
      </c>
      <c r="H275" s="4" t="str">
        <f>IFERROR(__xludf.DUMMYFUNCTION("GOOGLETRANSLATE(B275, ""en"", ""ro"")"),"La fiecare 7 zile")</f>
        <v>La fiecare 7 zile</v>
      </c>
      <c r="I275" s="4" t="str">
        <f>IFERROR(__xludf.DUMMYFUNCTION("GOOGLETRANSLATE(B275, ""en"", ""my"")"),"တိုင်း 7 ရက်")</f>
        <v>တိုင်း 7 ရက်</v>
      </c>
      <c r="J275" s="4" t="str">
        <f>IFERROR(__xludf.DUMMYFUNCTION("GOOGLETRANSLATE(B275, ""en"", ""sw"")"),"Kila siku 7.")</f>
        <v>Kila siku 7.</v>
      </c>
      <c r="K275" s="4" t="str">
        <f>IFERROR(__xludf.DUMMYFUNCTION("GOOGLETRANSLATE(B275, ""en"", ""th"")"),"ทุก 7 วัน")</f>
        <v>ทุก 7 วัน</v>
      </c>
      <c r="L275" s="4" t="str">
        <f>IFERROR(__xludf.DUMMYFUNCTION("GOOGLETRANSLATE(B275, ""en"", ""si"")"),"සෑම දින 7 කට වරක්")</f>
        <v>සෑම දින 7 කට වරක්</v>
      </c>
      <c r="M275" s="4" t="str">
        <f>IFERROR(__xludf.DUMMYFUNCTION("GOOGLETRANSLATE(B275, ""en"", ""vi"")"),"Cứ sau 7 ngày")</f>
        <v>Cứ sau 7 ngày</v>
      </c>
      <c r="N275" s="4" t="str">
        <f>IFERROR(__xludf.DUMMYFUNCTION("GOOGLETRANSLATE(B275, ""en"", ""ne"")"),"हरेक days दिन")</f>
        <v>हरेक days दिन</v>
      </c>
      <c r="O275" s="4" t="str">
        <f>IFERROR(__xludf.DUMMYFUNCTION("GOOGLETRANSLATE(B275, ""en"", ""de"")"),"Alle 7 Tage")</f>
        <v>Alle 7 Tage</v>
      </c>
      <c r="P275" s="4" t="str">
        <f>IFERROR(__xludf.DUMMYFUNCTION("GOOGLETRANSLATE(B275, ""en"", ""he"")"),"כל 7 ימים")</f>
        <v>כל 7 ימים</v>
      </c>
      <c r="Q275" s="4" t="str">
        <f>IFERROR(__xludf.DUMMYFUNCTION("GOOGLETRANSLATE(B275, ""en"", ""cs"")"),"Každých 7 dní")</f>
        <v>Každých 7 dní</v>
      </c>
      <c r="R275" s="4" t="str">
        <f>IFERROR(__xludf.DUMMYFUNCTION("GOOGLETRANSLATE(B275, ""en"", ""it"")"),"Ogni 7 giorni")</f>
        <v>Ogni 7 giorni</v>
      </c>
      <c r="S275" s="4" t="str">
        <f>IFERROR(__xludf.DUMMYFUNCTION("GOOGLETRANSLATE(B275, ""en"", ""el"")"),"Κάθε 7 ημέρες")</f>
        <v>Κάθε 7 ημέρες</v>
      </c>
    </row>
    <row r="276" ht="15.75" customHeight="1">
      <c r="A276" s="4" t="s">
        <v>560</v>
      </c>
      <c r="B276" s="4" t="s">
        <v>561</v>
      </c>
      <c r="C276" s="4" t="str">
        <f>IFERROR(__xludf.DUMMYFUNCTION("GOOGLETRANSLATE(B276, ""en"", ""es"")"),"Optimizar")</f>
        <v>Optimizar</v>
      </c>
      <c r="D276" s="4" t="str">
        <f>IFERROR(__xludf.DUMMYFUNCTION("GOOGLETRANSLATE(B276, ""en"", ""pt"")"),"Otimizar")</f>
        <v>Otimizar</v>
      </c>
      <c r="E276" s="4" t="str">
        <f>IFERROR(__xludf.DUMMYFUNCTION("GOOGLETRANSLATE(B276, ""en"", ""ar"")"),"تحسين")</f>
        <v>تحسين</v>
      </c>
      <c r="F276" s="4" t="str">
        <f>IFERROR(__xludf.DUMMYFUNCTION("GOOGLETRANSLATE(B276, ""en"", ""km"")"),"តមាប់")</f>
        <v>តមាប់</v>
      </c>
      <c r="G276" s="4" t="str">
        <f>IFERROR(__xludf.DUMMYFUNCTION("GOOGLETRANSLATE(B276, ""en"", ""fr"")"),"Optimiser")</f>
        <v>Optimiser</v>
      </c>
      <c r="H276" s="4" t="str">
        <f>IFERROR(__xludf.DUMMYFUNCTION("GOOGLETRANSLATE(B276, ""en"", ""ro"")"),"Optimizați-vă")</f>
        <v>Optimizați-vă</v>
      </c>
      <c r="I276" s="4" t="str">
        <f>IFERROR(__xludf.DUMMYFUNCTION("GOOGLETRANSLATE(B276, ""en"", ""my"")"),"အကောင်းမြင်")</f>
        <v>အကောင်းမြင်</v>
      </c>
      <c r="J276" s="4" t="str">
        <f>IFERROR(__xludf.DUMMYFUNCTION("GOOGLETRANSLATE(B276, ""en"", ""sw"")"),"Optimize.")</f>
        <v>Optimize.</v>
      </c>
      <c r="K276" s="4" t="str">
        <f>IFERROR(__xludf.DUMMYFUNCTION("GOOGLETRANSLATE(B276, ""en"", ""th"")"),"เพิ่มประสิทธิภาพ")</f>
        <v>เพิ่มประสิทธิภาพ</v>
      </c>
      <c r="L276" s="4" t="str">
        <f>IFERROR(__xludf.DUMMYFUNCTION("GOOGLETRANSLATE(B276, ""en"", ""si"")"),"ප්රශස්තිකරණය කරන්න")</f>
        <v>ප්රශස්තිකරණය කරන්න</v>
      </c>
      <c r="M276" s="4" t="str">
        <f>IFERROR(__xludf.DUMMYFUNCTION("GOOGLETRANSLATE(B276, ""en"", ""vi"")"),"Tối ưu hóa")</f>
        <v>Tối ưu hóa</v>
      </c>
      <c r="N276" s="4" t="str">
        <f>IFERROR(__xludf.DUMMYFUNCTION("GOOGLETRANSLATE(B276, ""en"", ""ne"")"),"अनुकूलन गर्नुहोस्")</f>
        <v>अनुकूलन गर्नुहोस्</v>
      </c>
      <c r="O276" s="4" t="str">
        <f>IFERROR(__xludf.DUMMYFUNCTION("GOOGLETRANSLATE(B276, ""en"", ""de"")"),"Optimieren")</f>
        <v>Optimieren</v>
      </c>
      <c r="P276" s="4" t="str">
        <f>IFERROR(__xludf.DUMMYFUNCTION("GOOGLETRANSLATE(B276, ""en"", ""he"")"),"אופטימיזציה")</f>
        <v>אופטימיזציה</v>
      </c>
      <c r="Q276" s="4" t="str">
        <f>IFERROR(__xludf.DUMMYFUNCTION("GOOGLETRANSLATE(B276, ""en"", ""cs"")"),"Optimalizovat")</f>
        <v>Optimalizovat</v>
      </c>
      <c r="R276" s="4" t="str">
        <f>IFERROR(__xludf.DUMMYFUNCTION("GOOGLETRANSLATE(B276, ""en"", ""it"")"),"Ottimizzare")</f>
        <v>Ottimizzare</v>
      </c>
      <c r="S276" s="4" t="str">
        <f>IFERROR(__xludf.DUMMYFUNCTION("GOOGLETRANSLATE(B276, ""en"", ""el"")"),"Βελτιστοποίηση της")</f>
        <v>Βελτιστοποίηση της</v>
      </c>
    </row>
    <row r="277" ht="15.75" customHeight="1">
      <c r="A277" s="4" t="s">
        <v>562</v>
      </c>
      <c r="B277" s="4" t="s">
        <v>563</v>
      </c>
      <c r="C277" s="4" t="str">
        <f>IFERROR(__xludf.DUMMYFUNCTION("GOOGLETRANSLATE(B277, ""en"", ""es"")"),"MEGABYTE")</f>
        <v>MEGABYTE</v>
      </c>
      <c r="D277" s="4" t="str">
        <f>IFERROR(__xludf.DUMMYFUNCTION("GOOGLETRANSLATE(B277, ""en"", ""pt"")"),"MB.")</f>
        <v>MB.</v>
      </c>
      <c r="E277" s="4" t="str">
        <f>IFERROR(__xludf.DUMMYFUNCTION("GOOGLETRANSLATE(B277, ""en"", ""ar"")"),"ميغابايت")</f>
        <v>ميغابايت</v>
      </c>
      <c r="F277" s="4" t="str">
        <f>IFERROR(__xludf.DUMMYFUNCTION("GOOGLETRANSLATE(B277, ""en"", ""km"")"),"មករមរឺបិត")</f>
        <v>មករមរឺបិត</v>
      </c>
      <c r="G277" s="4" t="str">
        <f>IFERROR(__xludf.DUMMYFUNCTION("GOOGLETRANSLATE(B277, ""en"", ""fr"")"),"Mb")</f>
        <v>Mb</v>
      </c>
      <c r="H277" s="4" t="str">
        <f>IFERROR(__xludf.DUMMYFUNCTION("GOOGLETRANSLATE(B277, ""en"", ""ro"")"),"Mb.")</f>
        <v>Mb.</v>
      </c>
      <c r="I277" s="4" t="str">
        <f>IFERROR(__xludf.DUMMYFUNCTION("GOOGLETRANSLATE(B277, ""en"", ""my"")"),"ခရက်ဖိကျ")</f>
        <v>ခရက်ဖိကျ</v>
      </c>
      <c r="J277" s="4" t="str">
        <f>IFERROR(__xludf.DUMMYFUNCTION("GOOGLETRANSLATE(B277, ""en"", ""sw"")"),"MB.")</f>
        <v>MB.</v>
      </c>
      <c r="K277" s="4" t="str">
        <f>IFERROR(__xludf.DUMMYFUNCTION("GOOGLETRANSLATE(B277, ""en"", ""th"")"),"mb")</f>
        <v>mb</v>
      </c>
      <c r="L277" s="4" t="str">
        <f>IFERROR(__xludf.DUMMYFUNCTION("GOOGLETRANSLATE(B277, ""en"", ""si"")"),"MB")</f>
        <v>MB</v>
      </c>
      <c r="M277" s="4" t="str">
        <f>IFERROR(__xludf.DUMMYFUNCTION("GOOGLETRANSLATE(B277, ""en"", ""vi"")"),"Mb.")</f>
        <v>Mb.</v>
      </c>
      <c r="N277" s="4" t="str">
        <f>IFERROR(__xludf.DUMMYFUNCTION("GOOGLETRANSLATE(B277, ""en"", ""ne"")"),"एमबी")</f>
        <v>एमबी</v>
      </c>
      <c r="O277" s="4" t="str">
        <f>IFERROR(__xludf.DUMMYFUNCTION("GOOGLETRANSLATE(B277, ""en"", ""de"")"),"Mb.")</f>
        <v>Mb.</v>
      </c>
      <c r="P277" s="4" t="str">
        <f>IFERROR(__xludf.DUMMYFUNCTION("GOOGLETRANSLATE(B277, ""en"", ""he"")"),"מ.ב.")</f>
        <v>מ.ב.</v>
      </c>
      <c r="Q277" s="4" t="str">
        <f>IFERROR(__xludf.DUMMYFUNCTION("GOOGLETRANSLATE(B277, ""en"", ""cs"")"),"Mb.")</f>
        <v>Mb.</v>
      </c>
      <c r="R277" s="4" t="str">
        <f>IFERROR(__xludf.DUMMYFUNCTION("GOOGLETRANSLATE(B277, ""en"", ""it"")"),"MB.")</f>
        <v>MB.</v>
      </c>
      <c r="S277" s="4" t="str">
        <f>IFERROR(__xludf.DUMMYFUNCTION("GOOGLETRANSLATE(B277, ""en"", ""el"")"),"Mb")</f>
        <v>Mb</v>
      </c>
    </row>
    <row r="278" ht="15.75" customHeight="1">
      <c r="A278" s="4" t="s">
        <v>564</v>
      </c>
      <c r="B278" s="4" t="s">
        <v>565</v>
      </c>
      <c r="C278" s="4" t="str">
        <f>IFERROR(__xludf.DUMMYFUNCTION("GOOGLETRANSLATE(B278, ""en"", ""es"")"),"Booster del juego")</f>
        <v>Booster del juego</v>
      </c>
      <c r="D278" s="4" t="str">
        <f>IFERROR(__xludf.DUMMYFUNCTION("GOOGLETRANSLATE(B278, ""en"", ""pt"")"),"Booster do jogo")</f>
        <v>Booster do jogo</v>
      </c>
      <c r="E278" s="4" t="str">
        <f>IFERROR(__xludf.DUMMYFUNCTION("GOOGLETRANSLATE(B278, ""en"", ""ar"")"),"لعبة الداعم")</f>
        <v>لعبة الداعم</v>
      </c>
      <c r="F278" s="4" t="str">
        <f>IFERROR(__xludf.DUMMYFUNCTION("GOOGLETRANSLATE(B278, ""en"", ""km"")"),"booster ហ្គេម")</f>
        <v>booster ហ្គេម</v>
      </c>
      <c r="G278" s="4" t="str">
        <f>IFERROR(__xludf.DUMMYFUNCTION("GOOGLETRANSLATE(B278, ""en"", ""fr"")"),"Booster")</f>
        <v>Booster</v>
      </c>
      <c r="H278" s="4" t="str">
        <f>IFERROR(__xludf.DUMMYFUNCTION("GOOGLETRANSLATE(B278, ""en"", ""ro"")"),"Game Booster.")</f>
        <v>Game Booster.</v>
      </c>
      <c r="I278" s="4" t="str">
        <f>IFERROR(__xludf.DUMMYFUNCTION("GOOGLETRANSLATE(B278, ""en"", ""my"")"),"ဂိမ်းအာနိသင်တိုးမြှင့်")</f>
        <v>ဂိမ်းအာနိသင်တိုးမြှင့်</v>
      </c>
      <c r="J278" s="4" t="str">
        <f>IFERROR(__xludf.DUMMYFUNCTION("GOOGLETRANSLATE(B278, ""en"", ""sw"")"),"Mchezo Booster")</f>
        <v>Mchezo Booster</v>
      </c>
      <c r="K278" s="4" t="str">
        <f>IFERROR(__xludf.DUMMYFUNCTION("GOOGLETRANSLATE(B278, ""en"", ""th"")"),"Booster เกม")</f>
        <v>Booster เกม</v>
      </c>
      <c r="L278" s="4" t="str">
        <f>IFERROR(__xludf.DUMMYFUNCTION("GOOGLETRANSLATE(B278, ""en"", ""si"")"),"ක්රීඩා බූස්ටරය")</f>
        <v>ක්රීඩා බූස්ටරය</v>
      </c>
      <c r="M278" s="4" t="str">
        <f>IFERROR(__xludf.DUMMYFUNCTION("GOOGLETRANSLATE(B278, ""en"", ""vi"")"),"Trò chơi tăng cường")</f>
        <v>Trò chơi tăng cường</v>
      </c>
      <c r="N278" s="4" t="str">
        <f>IFERROR(__xludf.DUMMYFUNCTION("GOOGLETRANSLATE(B278, ""en"", ""ne"")"),"खेल बूस्टर")</f>
        <v>खेल बूस्टर</v>
      </c>
      <c r="O278" s="4" t="str">
        <f>IFERROR(__xludf.DUMMYFUNCTION("GOOGLETRANSLATE(B278, ""en"", ""de"")"),"Spiel Beschleuniger")</f>
        <v>Spiel Beschleuniger</v>
      </c>
      <c r="P278" s="4" t="str">
        <f>IFERROR(__xludf.DUMMYFUNCTION("GOOGLETRANSLATE(B278, ""en"", ""he"")"),"מאיץ משחק")</f>
        <v>מאיץ משחק</v>
      </c>
      <c r="Q278" s="4" t="str">
        <f>IFERROR(__xludf.DUMMYFUNCTION("GOOGLETRANSLATE(B278, ""en"", ""cs"")"),"Hra Booster.")</f>
        <v>Hra Booster.</v>
      </c>
      <c r="R278" s="4" t="str">
        <f>IFERROR(__xludf.DUMMYFUNCTION("GOOGLETRANSLATE(B278, ""en"", ""it"")"),"Booster di gioco")</f>
        <v>Booster di gioco</v>
      </c>
      <c r="S278" s="4" t="str">
        <f>IFERROR(__xludf.DUMMYFUNCTION("GOOGLETRANSLATE(B278, ""en"", ""el"")"),"Παιχνίδι Booster")</f>
        <v>Παιχνίδι Booster</v>
      </c>
    </row>
    <row r="279" ht="15.75" customHeight="1">
      <c r="A279" s="4" t="s">
        <v>566</v>
      </c>
      <c r="B279" s="4" t="s">
        <v>567</v>
      </c>
      <c r="C279" s="4" t="str">
        <f>IFERROR(__xludf.DUMMYFUNCTION("GOOGLETRANSLATE(B279, ""en"", ""es"")"),"Las aplicaciones seleccionadas no se cancelarán durante la limpieza.")</f>
        <v>Las aplicaciones seleccionadas no se cancelarán durante la limpieza.</v>
      </c>
      <c r="D279" s="4" t="str">
        <f>IFERROR(__xludf.DUMMYFUNCTION("GOOGLETRANSLATE(B279, ""en"", ""pt"")"),"Os aplicativos selecionados não serão cancelados durante a limpeza")</f>
        <v>Os aplicativos selecionados não serão cancelados durante a limpeza</v>
      </c>
      <c r="E279" s="4" t="str">
        <f>IFERROR(__xludf.DUMMYFUNCTION("GOOGLETRANSLATE(B279, ""en"", ""ar"")"),"لن يتم إلغاء التطبيقات المحددة أثناء التنظيف")</f>
        <v>لن يتم إلغاء التطبيقات المحددة أثناء التنظيف</v>
      </c>
      <c r="F279" s="4" t="str">
        <f>IFERROR(__xludf.DUMMYFUNCTION("GOOGLETRANSLATE(B279, ""en"", ""km"")"),"កម្មវិធីដែលបានជ្រើសរើសនឹងមិនត្រូវបានលុបចោលក្នុងកំឡុងពេលសម្អាតឡើយ")</f>
        <v>កម្មវិធីដែលបានជ្រើសរើសនឹងមិនត្រូវបានលុបចោលក្នុងកំឡុងពេលសម្អាតឡើយ</v>
      </c>
      <c r="G279" s="4" t="str">
        <f>IFERROR(__xludf.DUMMYFUNCTION("GOOGLETRANSLATE(B279, ""en"", ""fr"")"),"Les applications sélectionnées ne seront pas annulées pendant le nettoyage.")</f>
        <v>Les applications sélectionnées ne seront pas annulées pendant le nettoyage.</v>
      </c>
      <c r="H279" s="4" t="str">
        <f>IFERROR(__xludf.DUMMYFUNCTION("GOOGLETRANSLATE(B279, ""en"", ""ro"")"),"Aplicațiile selectate nu vor fi anulate în timpul curățării")</f>
        <v>Aplicațiile selectate nu vor fi anulate în timpul curățării</v>
      </c>
      <c r="I279" s="4" t="str">
        <f>IFERROR(__xludf.DUMMYFUNCTION("GOOGLETRANSLATE(B279, ""en"", ""my"")"),"ရွေးချယ်ထားသော application များကိုသန့်ရှင်းရေးကာလအတွင်းဖျက်သိမ်းမည်မဟုတ်ပါ")</f>
        <v>ရွေးချယ်ထားသော application များကိုသန့်ရှင်းရေးကာလအတွင်းဖျက်သိမ်းမည်မဟုတ်ပါ</v>
      </c>
      <c r="J279" s="4" t="str">
        <f>IFERROR(__xludf.DUMMYFUNCTION("GOOGLETRANSLATE(B279, ""en"", ""sw"")"),"Maombi yaliyochaguliwa hayatafutwa wakati wa kusafishwa")</f>
        <v>Maombi yaliyochaguliwa hayatafutwa wakati wa kusafishwa</v>
      </c>
      <c r="K279" s="4" t="str">
        <f>IFERROR(__xludf.DUMMYFUNCTION("GOOGLETRANSLATE(B279, ""en"", ""th"")"),"แอปพลิเคชันที่เลือกจะไม่ถูกยกเลิกในระหว่างการล้างข้อมูล")</f>
        <v>แอปพลิเคชันที่เลือกจะไม่ถูกยกเลิกในระหว่างการล้างข้อมูล</v>
      </c>
      <c r="L279" s="4" t="str">
        <f>IFERROR(__xludf.DUMMYFUNCTION("GOOGLETRANSLATE(B279, ""en"", ""si"")"),"පිරිසිදු කිරීම අතරතුර තෝරාගත් අයදුම්පත් අවලංගු නොකෙරේ")</f>
        <v>පිරිසිදු කිරීම අතරතුර තෝරාගත් අයදුම්පත් අවලංගු නොකෙරේ</v>
      </c>
      <c r="M279" s="4" t="str">
        <f>IFERROR(__xludf.DUMMYFUNCTION("GOOGLETRANSLATE(B279, ""en"", ""vi"")"),"Các ứng dụng đã chọn sẽ không bị hủy trong quá trình dọn dẹp")</f>
        <v>Các ứng dụng đã chọn sẽ không bị hủy trong quá trình dọn dẹp</v>
      </c>
      <c r="N279" s="4" t="str">
        <f>IFERROR(__xludf.DUMMYFUNCTION("GOOGLETRANSLATE(B279, ""en"", ""ne"")"),"चयनित अनुप्रयोगहरू सफाको समयमा रद्द हुनेछैन")</f>
        <v>चयनित अनुप्रयोगहरू सफाको समयमा रद्द हुनेछैन</v>
      </c>
      <c r="O279" s="4" t="str">
        <f>IFERROR(__xludf.DUMMYFUNCTION("GOOGLETRANSLATE(B279, ""en"", ""de"")"),"Die ausgewählten Anwendungen werden während der Bereinigung nicht storniert")</f>
        <v>Die ausgewählten Anwendungen werden während der Bereinigung nicht storniert</v>
      </c>
      <c r="P279" s="4" t="str">
        <f>IFERROR(__xludf.DUMMYFUNCTION("GOOGLETRANSLATE(B279, ""en"", ""he"")"),"היישומים שנבחרו לא יבוטלו במהלך הניקוי")</f>
        <v>היישומים שנבחרו לא יבוטלו במהלך הניקוי</v>
      </c>
      <c r="Q279" s="4" t="str">
        <f>IFERROR(__xludf.DUMMYFUNCTION("GOOGLETRANSLATE(B279, ""en"", ""cs"")"),"Vybrané aplikace nebudou během vyčištění zrušeno")</f>
        <v>Vybrané aplikace nebudou během vyčištění zrušeno</v>
      </c>
      <c r="R279" s="4" t="str">
        <f>IFERROR(__xludf.DUMMYFUNCTION("GOOGLETRANSLATE(B279, ""en"", ""it"")"),"Le applicazioni selezionate non verranno annullate durante la pulizia")</f>
        <v>Le applicazioni selezionate non verranno annullate durante la pulizia</v>
      </c>
      <c r="S279" s="4" t="str">
        <f>IFERROR(__xludf.DUMMYFUNCTION("GOOGLETRANSLATE(B279, ""en"", ""el"")"),"Οι επιλεγμένες εφαρμογές δεν θα ακυρωθούν κατά τη διάρκεια του καθαρισμού")</f>
        <v>Οι επιλεγμένες εφαρμογές δεν θα ακυρωθούν κατά τη διάρκεια του καθαρισμού</v>
      </c>
    </row>
    <row r="280" ht="15.75" customHeight="1">
      <c r="A280" s="4" t="s">
        <v>568</v>
      </c>
      <c r="B280" s="4" t="s">
        <v>569</v>
      </c>
      <c r="C280" s="4" t="str">
        <f>IFERROR(__xludf.DUMMYFUNCTION("GOOGLETRANSLATE(B280, ""en"", ""es"")"),"Analizando para aplicaciones que pueden dañar ...")</f>
        <v>Analizando para aplicaciones que pueden dañar ...</v>
      </c>
      <c r="D280" s="4" t="str">
        <f>IFERROR(__xludf.DUMMYFUNCTION("GOOGLETRANSLATE(B280, ""en"", ""pt"")"),"Analisando para aplicativos que possam prejudicar ...")</f>
        <v>Analisando para aplicativos que possam prejudicar ...</v>
      </c>
      <c r="E280" s="4" t="str">
        <f>IFERROR(__xludf.DUMMYFUNCTION("GOOGLETRANSLATE(B280, ""en"", ""ar"")"),"تحليل التطبيقات التي يمكن أن تضر ...")</f>
        <v>تحليل التطبيقات التي يمكن أن تضر ...</v>
      </c>
      <c r="F280" s="4" t="str">
        <f>IFERROR(__xludf.DUMMYFUNCTION("GOOGLETRANSLATE(B280, ""en"", ""km"")"),"ការវិភាគសម្រាប់កម្មវិធីដែលអាចបង្កគ្រោះថ្នាក់ ...")</f>
        <v>ការវិភាគសម្រាប់កម្មវិធីដែលអាចបង្កគ្រោះថ្នាក់ ...</v>
      </c>
      <c r="G280" s="4" t="str">
        <f>IFERROR(__xludf.DUMMYFUNCTION("GOOGLETRANSLATE(B280, ""en"", ""fr"")"),"Analyser les applications pouvant nuire à ...")</f>
        <v>Analyser les applications pouvant nuire à ...</v>
      </c>
      <c r="H280" s="4" t="str">
        <f>IFERROR(__xludf.DUMMYFUNCTION("GOOGLETRANSLATE(B280, ""en"", ""ro"")"),"Analizând pentru aplicații care pot dăuna ...")</f>
        <v>Analizând pentru aplicații care pot dăuna ...</v>
      </c>
      <c r="I280" s="4" t="str">
        <f>IFERROR(__xludf.DUMMYFUNCTION("GOOGLETRANSLATE(B280, ""en"", ""my"")"),"ထိခိုက်နိုင်သည့်အက်ပ်များကိုဆန်းစစ်ခြင်း ...")</f>
        <v>ထိခိုက်နိုင်သည့်အက်ပ်များကိုဆန်းစစ်ခြင်း ...</v>
      </c>
      <c r="J280" s="4" t="str">
        <f>IFERROR(__xludf.DUMMYFUNCTION("GOOGLETRANSLATE(B280, ""en"", ""sw"")"),"Kuchambua kwa programu ambazo zinaweza kuharibu ...")</f>
        <v>Kuchambua kwa programu ambazo zinaweza kuharibu ...</v>
      </c>
      <c r="K280" s="4" t="str">
        <f>IFERROR(__xludf.DUMMYFUNCTION("GOOGLETRANSLATE(B280, ""en"", ""th"")"),"การวิเคราะห์สำหรับแอพที่อาจเป็นอันตราย ...")</f>
        <v>การวิเคราะห์สำหรับแอพที่อาจเป็นอันตราย ...</v>
      </c>
      <c r="L280" s="4" t="str">
        <f>IFERROR(__xludf.DUMMYFUNCTION("GOOGLETRANSLATE(B280, ""en"", ""si"")"),"හානිය විය හැකි යෙදුම් සඳහා විශ්ලේෂණය කිරීම ...")</f>
        <v>හානිය විය හැකි යෙදුම් සඳහා විශ්ලේෂණය කිරීම ...</v>
      </c>
      <c r="M280" s="4" t="str">
        <f>IFERROR(__xludf.DUMMYFUNCTION("GOOGLETRANSLATE(B280, ""en"", ""vi"")"),"Phân tích cho các ứng dụng có thể gây hại ...")</f>
        <v>Phân tích cho các ứng dụng có thể gây hại ...</v>
      </c>
      <c r="N280" s="4" t="str">
        <f>IFERROR(__xludf.DUMMYFUNCTION("GOOGLETRANSLATE(B280, ""en"", ""ne"")"),"अनुप्रयोगहरूको लागि विश्लेषण गर्दै जुन हानी गर्न सक्दछ ...")</f>
        <v>अनुप्रयोगहरूको लागि विश्लेषण गर्दै जुन हानी गर्न सक्दछ ...</v>
      </c>
      <c r="O280" s="4" t="str">
        <f>IFERROR(__xludf.DUMMYFUNCTION("GOOGLETRANSLATE(B280, ""en"", ""de"")"),"Analysieren für Apps, die schaden können ...")</f>
        <v>Analysieren für Apps, die schaden können ...</v>
      </c>
      <c r="P280" s="4" t="str">
        <f>IFERROR(__xludf.DUMMYFUNCTION("GOOGLETRANSLATE(B280, ""en"", ""he"")"),"ניתוח עבור אפליקציות שיכולות להזיק ...")</f>
        <v>ניתוח עבור אפליקציות שיכולות להזיק ...</v>
      </c>
      <c r="Q280" s="4" t="str">
        <f>IFERROR(__xludf.DUMMYFUNCTION("GOOGLETRANSLATE(B280, ""en"", ""cs"")"),"Analýza aplikací, které mohou poškodit ...")</f>
        <v>Analýza aplikací, které mohou poškodit ...</v>
      </c>
      <c r="R280" s="4" t="str">
        <f>IFERROR(__xludf.DUMMYFUNCTION("GOOGLETRANSLATE(B280, ""en"", ""it"")"),"Analizzando le app che possono danneggiare ...")</f>
        <v>Analizzando le app che possono danneggiare ...</v>
      </c>
      <c r="S280" s="4" t="str">
        <f>IFERROR(__xludf.DUMMYFUNCTION("GOOGLETRANSLATE(B280, ""en"", ""el"")"),"Ανάλυση για εφαρμογές που μπορούν να βλάψουν ...")</f>
        <v>Ανάλυση για εφαρμογές που μπορούν να βλάψουν ...</v>
      </c>
    </row>
    <row r="281" ht="15.75" customHeight="1">
      <c r="A281" s="4" t="s">
        <v>570</v>
      </c>
      <c r="B281" s="4" t="s">
        <v>571</v>
      </c>
      <c r="C281" s="4" t="str">
        <f>IFERROR(__xludf.DUMMYFUNCTION("GOOGLETRANSLATE(B281, ""en"", ""es"")"),"Se eliminaron, encontraron archivos redundantes y eliminados para liberar más espacio.")</f>
        <v>Se eliminaron, encontraron archivos redundantes y eliminados para liberar más espacio.</v>
      </c>
      <c r="D281" s="4" t="str">
        <f>IFERROR(__xludf.DUMMYFUNCTION("GOOGLETRANSLATE(B281, ""en"", ""pt"")"),"removido, encontrado redundante, arquivos excluídos para liberar mais espaço.")</f>
        <v>removido, encontrado redundante, arquivos excluídos para liberar mais espaço.</v>
      </c>
      <c r="E281" s="4" t="str">
        <f>IFERROR(__xludf.DUMMYFUNCTION("GOOGLETRANSLATE(B281, ""en"", ""ar"")"),"إزالتها، وجدت ملفات حمراء حمراء لتحرير مساحة أكبر.")</f>
        <v>إزالتها، وجدت ملفات حمراء حمراء لتحرير مساحة أكبر.</v>
      </c>
      <c r="F281" s="4" t="str">
        <f>IFERROR(__xludf.DUMMYFUNCTION("GOOGLETRANSLATE(B281, ""en"", ""km"")"),"បានយកចេញត្រូវបានរកឃើញដែលមិនចាំបាច់ដែលត្រូវបានលុបចេញដើម្បីដោះលែងកន្លែងទំនេរបន្ថែមទៀត។")</f>
        <v>បានយកចេញត្រូវបានរកឃើញដែលមិនចាំបាច់ដែលត្រូវបានលុបចេញដើម្បីដោះលែងកន្លែងទំនេរបន្ថែមទៀត។</v>
      </c>
      <c r="G281" s="4" t="str">
        <f>IFERROR(__xludf.DUMMYFUNCTION("GOOGLETRANSLATE(B281, ""en"", ""fr"")"),"Supprimé, trouvé des fichiers redondants, supprimés pour libérer plus d'espace.")</f>
        <v>Supprimé, trouvé des fichiers redondants, supprimés pour libérer plus d'espace.</v>
      </c>
      <c r="H281" s="4" t="str">
        <f>IFERROR(__xludf.DUMMYFUNCTION("GOOGLETRANSLATE(B281, ""en"", ""ro"")"),"eliminat, găsit redundant, fișierele șterse pentru a elibera mai mult spațiu.")</f>
        <v>eliminat, găsit redundant, fișierele șterse pentru a elibera mai mult spațiu.</v>
      </c>
      <c r="I281" s="4" t="str">
        <f>IFERROR(__xludf.DUMMYFUNCTION("GOOGLETRANSLATE(B281, ""en"", ""my"")"),"ဖယ်ရှားပစ်ရန်မလိုအပ်သောဖိုင်များကိုနေရာလွတ်မပေးနိုင်ရန်မလိုအပ်သောဖိုင်များကိုတွေ့ရှိခဲ့သည်။")</f>
        <v>ဖယ်ရှားပစ်ရန်မလိုအပ်သောဖိုင်များကိုနေရာလွတ်မပေးနိုင်ရန်မလိုအပ်သောဖိုင်များကိုတွေ့ရှိခဲ့သည်။</v>
      </c>
      <c r="J281" s="4" t="str">
        <f>IFERROR(__xludf.DUMMYFUNCTION("GOOGLETRANSLATE(B281, ""en"", ""sw"")"),"Imeondolewa, imepata faili zilizopunguzwa, zimefutwa ili kufungua nafasi zaidi.")</f>
        <v>Imeondolewa, imepata faili zilizopunguzwa, zimefutwa ili kufungua nafasi zaidi.</v>
      </c>
      <c r="K281" s="4" t="str">
        <f>IFERROR(__xludf.DUMMYFUNCTION("GOOGLETRANSLATE(B281, ""en"", ""th"")"),"ลบออกพบไฟล์ซ้ำซ้อนที่ถูกลบเพื่อเพิ่มพื้นที่ว่างมากขึ้น")</f>
        <v>ลบออกพบไฟล์ซ้ำซ้อนที่ถูกลบเพื่อเพิ่มพื้นที่ว่างมากขึ้น</v>
      </c>
      <c r="L281" s="4" t="str">
        <f>IFERROR(__xludf.DUMMYFUNCTION("GOOGLETRANSLATE(B281, ""en"", ""si"")"),"ඉවත් කරන ලද, අතිරික්ත, මකාදැමූ ලිපිගොනු වැඩි ඉඩක් නිදහස් කර ඇත.")</f>
        <v>ඉවත් කරන ලද, අතිරික්ත, මකාදැමූ ලිපිගොනු වැඩි ඉඩක් නිදහස් කර ඇත.</v>
      </c>
      <c r="M281" s="4" t="str">
        <f>IFERROR(__xludf.DUMMYFUNCTION("GOOGLETRANSLATE(B281, ""en"", ""vi"")"),"Đã xóa, tìm thấy dự phòng, xóa các tập tin để giải phóng nhiều không gian hơn.")</f>
        <v>Đã xóa, tìm thấy dự phòng, xóa các tập tin để giải phóng nhiều không gian hơn.</v>
      </c>
      <c r="N281" s="4" t="str">
        <f>IFERROR(__xludf.DUMMYFUNCTION("GOOGLETRANSLATE(B281, ""en"", ""ne"")"),"हटाइएको, अनावश्यक, मेटाइएको फाईलहरू मेटाइएको फाईलहरू अधिक ठाउँ खाली गर्न।")</f>
        <v>हटाइएको, अनावश्यक, मेटाइएको फाईलहरू मेटाइएको फाईलहरू अधिक ठाउँ खाली गर्न।</v>
      </c>
      <c r="O281" s="4" t="str">
        <f>IFERROR(__xludf.DUMMYFUNCTION("GOOGLETRANSLATE(B281, ""en"", ""de"")"),"entfernt, redundante, gelöschte Dateien gefunden, um mehr Speicherplatz freizusetzen.")</f>
        <v>entfernt, redundante, gelöschte Dateien gefunden, um mehr Speicherplatz freizusetzen.</v>
      </c>
      <c r="P281" s="4" t="str">
        <f>IFERROR(__xludf.DUMMYFUNCTION("GOOGLETRANSLATE(B281, ""en"", ""he"")"),"הוסרו, נמצאו קבצים מיותרים, שנמחקו כדי לפנות מקום נוסף.")</f>
        <v>הוסרו, נמצאו קבצים מיותרים, שנמחקו כדי לפנות מקום נוסף.</v>
      </c>
      <c r="Q281" s="4" t="str">
        <f>IFERROR(__xludf.DUMMYFUNCTION("GOOGLETRANSLATE(B281, ""en"", ""cs"")"),"Odstraněno, nalezeno nadbytečné, odstraněné soubory pro uvolnění více místa.")</f>
        <v>Odstraněno, nalezeno nadbytečné, odstraněné soubory pro uvolnění více místa.</v>
      </c>
      <c r="R281" s="4" t="str">
        <f>IFERROR(__xludf.DUMMYFUNCTION("GOOGLETRANSLATE(B281, ""en"", ""it"")"),"rimosso, trovato i file ridondanti e cancellati per liberare più spazio.")</f>
        <v>rimosso, trovato i file ridondanti e cancellati per liberare più spazio.</v>
      </c>
      <c r="S281" s="4" t="str">
        <f>IFERROR(__xludf.DUMMYFUNCTION("GOOGLETRANSLATE(B281, ""en"", ""el"")"),"Αφαιρέθηκε, βρέθηκε πλεονάζουσα, διαγραμμένα αρχεία για να απελευθερώσουν περισσότερο χώρο.")</f>
        <v>Αφαιρέθηκε, βρέθηκε πλεονάζουσα, διαγραμμένα αρχεία για να απελευθερώσουν περισσότερο χώρο.</v>
      </c>
    </row>
    <row r="282" ht="15.75" customHeight="1">
      <c r="A282" s="4" t="s">
        <v>572</v>
      </c>
      <c r="B282" s="4" t="s">
        <v>573</v>
      </c>
      <c r="C282" s="4" t="str">
        <f>IFERROR(__xludf.DUMMYFUNCTION("GOOGLETRANSLATE(B282, ""en"", ""es"")"),"Configuraciones más flexibles para proteger")</f>
        <v>Configuraciones más flexibles para proteger</v>
      </c>
      <c r="D282" s="4" t="str">
        <f>IFERROR(__xludf.DUMMYFUNCTION("GOOGLETRANSLATE(B282, ""en"", ""pt"")"),"Configurações mais flexíveis para proteger")</f>
        <v>Configurações mais flexíveis para proteger</v>
      </c>
      <c r="E282" s="4" t="str">
        <f>IFERROR(__xludf.DUMMYFUNCTION("GOOGLETRANSLATE(B282, ""en"", ""ar"")"),"إعدادات أكثر مرونة للحماية")</f>
        <v>إعدادات أكثر مرونة للحماية</v>
      </c>
      <c r="F282" s="4" t="str">
        <f>IFERROR(__xludf.DUMMYFUNCTION("GOOGLETRANSLATE(B282, ""en"", ""km"")"),"ការកំណត់ដែលអាចបត់បែនបានដើម្បីការពារ")</f>
        <v>ការកំណត់ដែលអាចបត់បែនបានដើម្បីការពារ</v>
      </c>
      <c r="G282" s="4" t="str">
        <f>IFERROR(__xludf.DUMMYFUNCTION("GOOGLETRANSLATE(B282, ""en"", ""fr"")"),"Paramètres plus flexibles pour protéger")</f>
        <v>Paramètres plus flexibles pour protéger</v>
      </c>
      <c r="H282" s="4" t="str">
        <f>IFERROR(__xludf.DUMMYFUNCTION("GOOGLETRANSLATE(B282, ""en"", ""ro"")"),"Setări mai flexibile pentru a proteja")</f>
        <v>Setări mai flexibile pentru a proteja</v>
      </c>
      <c r="I282" s="4" t="str">
        <f>IFERROR(__xludf.DUMMYFUNCTION("GOOGLETRANSLATE(B282, ""en"", ""my"")"),"ကာကွယ်ရန်ပိုမိုပြောင်းလွယ်ပြင်လွယ် settings ကို")</f>
        <v>ကာကွယ်ရန်ပိုမိုပြောင်းလွယ်ပြင်လွယ် settings ကို</v>
      </c>
      <c r="J282" s="4" t="str">
        <f>IFERROR(__xludf.DUMMYFUNCTION("GOOGLETRANSLATE(B282, ""en"", ""sw"")"),"Mipangilio rahisi zaidi ya kulinda")</f>
        <v>Mipangilio rahisi zaidi ya kulinda</v>
      </c>
      <c r="K282" s="4" t="str">
        <f>IFERROR(__xludf.DUMMYFUNCTION("GOOGLETRANSLATE(B282, ""en"", ""th"")"),"การตั้งค่าที่ยืดหยุ่นมากขึ้นเพื่อปกป้อง")</f>
        <v>การตั้งค่าที่ยืดหยุ่นมากขึ้นเพื่อปกป้อง</v>
      </c>
      <c r="L282" s="4" t="str">
        <f>IFERROR(__xludf.DUMMYFUNCTION("GOOGLETRANSLATE(B282, ""en"", ""si"")"),"ආරක්ෂා කිරීම සඳහා වඩාත් නම්යශීලී සැකසුම්")</f>
        <v>ආරක්ෂා කිරීම සඳහා වඩාත් නම්යශීලී සැකසුම්</v>
      </c>
      <c r="M282" s="4" t="str">
        <f>IFERROR(__xludf.DUMMYFUNCTION("GOOGLETRANSLATE(B282, ""en"", ""vi"")"),"Cài đặt linh hoạt hơn để bảo vệ")</f>
        <v>Cài đặt linh hoạt hơn để bảo vệ</v>
      </c>
      <c r="N282" s="4" t="str">
        <f>IFERROR(__xludf.DUMMYFUNCTION("GOOGLETRANSLATE(B282, ""en"", ""ne"")"),"सुरक्षित गर्न अधिक लचिलो सेटिंग्स")</f>
        <v>सुरक्षित गर्न अधिक लचिलो सेटिंग्स</v>
      </c>
      <c r="O282" s="4" t="str">
        <f>IFERROR(__xludf.DUMMYFUNCTION("GOOGLETRANSLATE(B282, ""en"", ""de"")"),"Weitere flexiblere Einstellungen zum Schutz")</f>
        <v>Weitere flexiblere Einstellungen zum Schutz</v>
      </c>
      <c r="P282" s="4" t="str">
        <f>IFERROR(__xludf.DUMMYFUNCTION("GOOGLETRANSLATE(B282, ""en"", ""he"")"),"הגדרות גמישות יותר כדי להגן")</f>
        <v>הגדרות גמישות יותר כדי להגן</v>
      </c>
      <c r="Q282" s="4" t="str">
        <f>IFERROR(__xludf.DUMMYFUNCTION("GOOGLETRANSLATE(B282, ""en"", ""cs"")"),"Flexibilnější nastavení pro ochranu")</f>
        <v>Flexibilnější nastavení pro ochranu</v>
      </c>
      <c r="R282" s="4" t="str">
        <f>IFERROR(__xludf.DUMMYFUNCTION("GOOGLETRANSLATE(B282, ""en"", ""it"")"),"Impostazioni più flessibili da proteggere")</f>
        <v>Impostazioni più flessibili da proteggere</v>
      </c>
      <c r="S282" s="4" t="str">
        <f>IFERROR(__xludf.DUMMYFUNCTION("GOOGLETRANSLATE(B282, ""en"", ""el"")"),"Περισσότερες ευέλικτες ρυθμίσεις για προστασία")</f>
        <v>Περισσότερες ευέλικτες ρυθμίσεις για προστασία</v>
      </c>
    </row>
    <row r="283" ht="15.75" customHeight="1">
      <c r="A283" s="4" t="s">
        <v>574</v>
      </c>
      <c r="B283" s="4" t="s">
        <v>575</v>
      </c>
      <c r="C283" s="4" t="str">
        <f>IFERROR(__xludf.DUMMYFUNCTION("GOOGLETRANSLATE(B283, ""en"", ""es"")"),"""Permiso de la subvención para cambiar la configuración del dispositivo")</f>
        <v>"Permiso de la subvención para cambiar la configuración del dispositivo</v>
      </c>
      <c r="D283" s="4" t="str">
        <f>IFERROR(__xludf.DUMMYFUNCTION("GOOGLETRANSLATE(B283, ""en"", ""pt"")"),"""Conceder permissão para alterar as configurações do dispositivo")</f>
        <v>"Conceder permissão para alterar as configurações do dispositivo</v>
      </c>
      <c r="E283" s="4" t="str">
        <f>IFERROR(__xludf.DUMMYFUNCTION("GOOGLETRANSLATE(B283, ""en"", ""ar"")"),"""منح إذن لتغيير إعدادات الجهاز")</f>
        <v>"منح إذن لتغيير إعدادات الجهاز</v>
      </c>
      <c r="F283" s="4" t="str">
        <f>IFERROR(__xludf.DUMMYFUNCTION("GOOGLETRANSLATE(B283, ""en"", ""km"")"),"""ផ្តល់ការអនុញ្ញាតឱ្យផ្លាស់ប្តូរការកំណត់ឧបករណ៍")</f>
        <v>"ផ្តល់ការអនុញ្ញាតឱ្យផ្លាស់ប្តូរការកំណត់ឧបករណ៍</v>
      </c>
      <c r="G283" s="4" t="str">
        <f>IFERROR(__xludf.DUMMYFUNCTION("GOOGLETRANSLATE(B283, ""en"", ""fr"")"),"«Autorisation de subvention pour modifier les paramètres du périphérique")</f>
        <v>«Autorisation de subvention pour modifier les paramètres du périphérique</v>
      </c>
      <c r="H283" s="4" t="str">
        <f>IFERROR(__xludf.DUMMYFUNCTION("GOOGLETRANSLATE(B283, ""en"", ""ro"")"),"""Acordați permisiunea de a schimba setările dispozitivului")</f>
        <v>"Acordați permisiunea de a schimba setările dispozitivului</v>
      </c>
      <c r="I283" s="4" t="str">
        <f>IFERROR(__xludf.DUMMYFUNCTION("GOOGLETRANSLATE(B283, ""en"", ""my"")"),"""device settings ကိုပြောင်းလဲပစ်ရန်ခွင့်ပြုချက်")</f>
        <v>"device settings ကိုပြောင်းလဲပစ်ရန်ခွင့်ပြုချက်</v>
      </c>
      <c r="J283" s="4" t="str">
        <f>IFERROR(__xludf.DUMMYFUNCTION("GOOGLETRANSLATE(B283, ""en"", ""sw"")"),"""Ruhusu idhini ya kubadilisha mipangilio ya kifaa")</f>
        <v>"Ruhusu idhini ya kubadilisha mipangilio ya kifaa</v>
      </c>
      <c r="K283" s="4" t="str">
        <f>IFERROR(__xludf.DUMMYFUNCTION("GOOGLETRANSLATE(B283, ""en"", ""th"")"),"""อนุญาตให้เปลี่ยนการตั้งค่าอุปกรณ์")</f>
        <v>"อนุญาตให้เปลี่ยนการตั้งค่าอุปกรณ์</v>
      </c>
      <c r="L283" s="4" t="str">
        <f>IFERROR(__xludf.DUMMYFUNCTION("GOOGLETRANSLATE(B283, ""en"", ""si"")"),"""උපාංග සැකසුම් වෙනස් කිරීමට අවසර ලබා දීම")</f>
        <v>"උපාංග සැකසුම් වෙනස් කිරීමට අවසර ලබා දීම</v>
      </c>
      <c r="M283" s="4" t="str">
        <f>IFERROR(__xludf.DUMMYFUNCTION("GOOGLETRANSLATE(B283, ""en"", ""vi"")"),"""Cấp phép để thay đổi cài đặt thiết bị")</f>
        <v>"Cấp phép để thay đổi cài đặt thiết bị</v>
      </c>
      <c r="N283" s="4" t="str">
        <f>IFERROR(__xludf.DUMMYFUNCTION("GOOGLETRANSLATE(B283, ""en"", ""ne"")"),"""उपकरण सेटिंग्स परिवर्तन गर्न अनुमति प्रदान गर्नुहोस्")</f>
        <v>"उपकरण सेटिंग्स परिवर्तन गर्न अनुमति प्रदान गर्नुहोस्</v>
      </c>
      <c r="O283" s="4" t="str">
        <f>IFERROR(__xludf.DUMMYFUNCTION("GOOGLETRANSLATE(B283, ""en"", ""de"")"),"""Erteilungsberechtigung zum Ändern der Geräteeinstellungen")</f>
        <v>"Erteilungsberechtigung zum Ändern der Geräteeinstellungen</v>
      </c>
      <c r="P283" s="4" t="str">
        <f>IFERROR(__xludf.DUMMYFUNCTION("GOOGLETRANSLATE(B283, ""en"", ""he"")"),"Msgstr """" מענק הרשאה לשנות את הגדרות ההתקן")</f>
        <v>Msgstr "" מענק הרשאה לשנות את הגדרות ההתקן</v>
      </c>
      <c r="Q283" s="4" t="str">
        <f>IFERROR(__xludf.DUMMYFUNCTION("GOOGLETRANSLATE(B283, ""en"", ""cs"")"),"""Udělení povolení ke změně nastavení zařízení")</f>
        <v>"Udělení povolení ke změně nastavení zařízení</v>
      </c>
      <c r="R283" s="4" t="str">
        <f>IFERROR(__xludf.DUMMYFUNCTION("GOOGLETRANSLATE(B283, ""en"", ""it"")"),"""Autorizzazione alla concessione di modificare le impostazioni del dispositivo")</f>
        <v>"Autorizzazione alla concessione di modificare le impostazioni del dispositivo</v>
      </c>
      <c r="S283" s="4" t="str">
        <f>IFERROR(__xludf.DUMMYFUNCTION("GOOGLETRANSLATE(B283, ""en"", ""el"")"),"""Επιτρέψτε την άδεια να αλλάξετε τις ρυθμίσεις συσκευών")</f>
        <v>"Επιτρέψτε την άδεια να αλλάξετε τις ρυθμίσεις συσκευών</v>
      </c>
    </row>
    <row r="284" ht="15.75" customHeight="1">
      <c r="A284" s="4" t="s">
        <v>576</v>
      </c>
      <c r="B284" s="4" t="s">
        <v>577</v>
      </c>
      <c r="C284" s="4" t="str">
        <f>IFERROR(__xludf.DUMMYFUNCTION("GOOGLETRANSLATE(B284, ""en"", ""es"")"),"Cada 3 dias")</f>
        <v>Cada 3 dias</v>
      </c>
      <c r="D284" s="4" t="str">
        <f>IFERROR(__xludf.DUMMYFUNCTION("GOOGLETRANSLATE(B284, ""en"", ""pt"")"),"A cada 3 dias")</f>
        <v>A cada 3 dias</v>
      </c>
      <c r="E284" s="4" t="str">
        <f>IFERROR(__xludf.DUMMYFUNCTION("GOOGLETRANSLATE(B284, ""en"", ""ar"")"),"كل 3 أيام")</f>
        <v>كل 3 أيام</v>
      </c>
      <c r="F284" s="4" t="str">
        <f>IFERROR(__xludf.DUMMYFUNCTION("GOOGLETRANSLATE(B284, ""en"", ""km"")"),"រៀងរាល់ 3 ថ្ងៃម្តង")</f>
        <v>រៀងរាល់ 3 ថ្ងៃម្តង</v>
      </c>
      <c r="G284" s="4" t="str">
        <f>IFERROR(__xludf.DUMMYFUNCTION("GOOGLETRANSLATE(B284, ""en"", ""fr"")"),"Tous les 3 jours")</f>
        <v>Tous les 3 jours</v>
      </c>
      <c r="H284" s="4" t="str">
        <f>IFERROR(__xludf.DUMMYFUNCTION("GOOGLETRANSLATE(B284, ""en"", ""ro"")"),"La fiecare 3 zile")</f>
        <v>La fiecare 3 zile</v>
      </c>
      <c r="I284" s="4" t="str">
        <f>IFERROR(__xludf.DUMMYFUNCTION("GOOGLETRANSLATE(B284, ""en"", ""my"")"),"3 ရက်တိုင်း")</f>
        <v>3 ရက်တိုင်း</v>
      </c>
      <c r="J284" s="4" t="str">
        <f>IFERROR(__xludf.DUMMYFUNCTION("GOOGLETRANSLATE(B284, ""en"", ""sw"")"),"Kila siku 3.")</f>
        <v>Kila siku 3.</v>
      </c>
      <c r="K284" s="4" t="str">
        <f>IFERROR(__xludf.DUMMYFUNCTION("GOOGLETRANSLATE(B284, ""en"", ""th"")"),"ทุก 3 วัน")</f>
        <v>ทุก 3 วัน</v>
      </c>
      <c r="L284" s="4" t="str">
        <f>IFERROR(__xludf.DUMMYFUNCTION("GOOGLETRANSLATE(B284, ""en"", ""si"")"),"සෑම දින 3 කට වරක්")</f>
        <v>සෑම දින 3 කට වරක්</v>
      </c>
      <c r="M284" s="4" t="str">
        <f>IFERROR(__xludf.DUMMYFUNCTION("GOOGLETRANSLATE(B284, ""en"", ""vi"")"),"Cứ sau 3 ngày")</f>
        <v>Cứ sau 3 ngày</v>
      </c>
      <c r="N284" s="4" t="str">
        <f>IFERROR(__xludf.DUMMYFUNCTION("GOOGLETRANSLATE(B284, ""en"", ""ne"")"),"हरेक days दिन")</f>
        <v>हरेक days दिन</v>
      </c>
      <c r="O284" s="4" t="str">
        <f>IFERROR(__xludf.DUMMYFUNCTION("GOOGLETRANSLATE(B284, ""en"", ""de"")"),"Alle 3 Tage")</f>
        <v>Alle 3 Tage</v>
      </c>
      <c r="P284" s="4" t="str">
        <f>IFERROR(__xludf.DUMMYFUNCTION("GOOGLETRANSLATE(B284, ""en"", ""he"")"),"כל 3 ימים")</f>
        <v>כל 3 ימים</v>
      </c>
      <c r="Q284" s="4" t="str">
        <f>IFERROR(__xludf.DUMMYFUNCTION("GOOGLETRANSLATE(B284, ""en"", ""cs"")"),"Každých 3 dny")</f>
        <v>Každých 3 dny</v>
      </c>
      <c r="R284" s="4" t="str">
        <f>IFERROR(__xludf.DUMMYFUNCTION("GOOGLETRANSLATE(B284, ""en"", ""it"")"),"Ogni 3 giorni")</f>
        <v>Ogni 3 giorni</v>
      </c>
      <c r="S284" s="4" t="str">
        <f>IFERROR(__xludf.DUMMYFUNCTION("GOOGLETRANSLATE(B284, ""en"", ""el"")"),"Κάθε 3 ημέρες")</f>
        <v>Κάθε 3 ημέρες</v>
      </c>
    </row>
    <row r="285" ht="15.75" customHeight="1">
      <c r="A285" s="4" t="s">
        <v>578</v>
      </c>
      <c r="B285" s="4" t="s">
        <v>579</v>
      </c>
      <c r="C285" s="4" t="str">
        <f>IFERROR(__xludf.DUMMYFUNCTION("GOOGLETRANSLATE(B285, ""en"", ""es"")"),"Ignorar las notificaciones innecesarias")</f>
        <v>Ignorar las notificaciones innecesarias</v>
      </c>
      <c r="D285" s="4" t="str">
        <f>IFERROR(__xludf.DUMMYFUNCTION("GOOGLETRANSLATE(B285, ""en"", ""pt"")"),"Ignorar notificações desnecessárias")</f>
        <v>Ignorar notificações desnecessárias</v>
      </c>
      <c r="E285" s="4" t="str">
        <f>IFERROR(__xludf.DUMMYFUNCTION("GOOGLETRANSLATE(B285, ""en"", ""ar"")"),"تجاهل الإخطارات غير الضرورية")</f>
        <v>تجاهل الإخطارات غير الضرورية</v>
      </c>
      <c r="F285" s="4" t="str">
        <f>IFERROR(__xludf.DUMMYFUNCTION("GOOGLETRANSLATE(B285, ""en"", ""km"")"),"មិនអើពើការជូនដំណឹងដែលមិនចាំបាច់")</f>
        <v>មិនអើពើការជូនដំណឹងដែលមិនចាំបាច់</v>
      </c>
      <c r="G285" s="4" t="str">
        <f>IFERROR(__xludf.DUMMYFUNCTION("GOOGLETRANSLATE(B285, ""en"", ""fr"")"),"Ignorer les notifications inutiles")</f>
        <v>Ignorer les notifications inutiles</v>
      </c>
      <c r="H285" s="4" t="str">
        <f>IFERROR(__xludf.DUMMYFUNCTION("GOOGLETRANSLATE(B285, ""en"", ""ro"")"),"Ignorați notificările inutile")</f>
        <v>Ignorați notificările inutile</v>
      </c>
      <c r="I285" s="4" t="str">
        <f>IFERROR(__xludf.DUMMYFUNCTION("GOOGLETRANSLATE(B285, ""en"", ""my"")"),"မလိုအပ်သောအသိပေးချက်များကိုလျစ်လျူရှုပါ")</f>
        <v>မလိုအပ်သောအသိပေးချက်များကိုလျစ်လျူရှုပါ</v>
      </c>
      <c r="J285" s="4" t="str">
        <f>IFERROR(__xludf.DUMMYFUNCTION("GOOGLETRANSLATE(B285, ""en"", ""sw"")"),"Kupuuza arifa zisizohitajika.")</f>
        <v>Kupuuza arifa zisizohitajika.</v>
      </c>
      <c r="K285" s="4" t="str">
        <f>IFERROR(__xludf.DUMMYFUNCTION("GOOGLETRANSLATE(B285, ""en"", ""th"")"),"ไม่สนใจการแจ้งเตือนที่ไม่จำเป็น")</f>
        <v>ไม่สนใจการแจ้งเตือนที่ไม่จำเป็น</v>
      </c>
      <c r="L285" s="4" t="str">
        <f>IFERROR(__xludf.DUMMYFUNCTION("GOOGLETRANSLATE(B285, ""en"", ""si"")"),"අනවශ්ය දැනුම්දීම් නොසලකා හරින්න")</f>
        <v>අනවශ්ය දැනුම්දීම් නොසලකා හරින්න</v>
      </c>
      <c r="M285" s="4" t="str">
        <f>IFERROR(__xludf.DUMMYFUNCTION("GOOGLETRANSLATE(B285, ""en"", ""vi"")"),"Bỏ qua các thông báo không cần thiết")</f>
        <v>Bỏ qua các thông báo không cần thiết</v>
      </c>
      <c r="N285" s="4" t="str">
        <f>IFERROR(__xludf.DUMMYFUNCTION("GOOGLETRANSLATE(B285, ""en"", ""ne"")"),"अनावश्यक सूचनाहरूलाई वेवास्ता गर्नुहोस्")</f>
        <v>अनावश्यक सूचनाहरूलाई वेवास्ता गर्नुहोस्</v>
      </c>
      <c r="O285" s="4" t="str">
        <f>IFERROR(__xludf.DUMMYFUNCTION("GOOGLETRANSLATE(B285, ""en"", ""de"")"),"Unnötige Benachrichtigungen ignorieren")</f>
        <v>Unnötige Benachrichtigungen ignorieren</v>
      </c>
      <c r="P285" s="4" t="str">
        <f>IFERROR(__xludf.DUMMYFUNCTION("GOOGLETRANSLATE(B285, ""en"", ""he"")"),"התעלם הודעות מיותרות")</f>
        <v>התעלם הודעות מיותרות</v>
      </c>
      <c r="Q285" s="4" t="str">
        <f>IFERROR(__xludf.DUMMYFUNCTION("GOOGLETRANSLATE(B285, ""en"", ""cs"")"),"Ignorovat zbytečné oznámení")</f>
        <v>Ignorovat zbytečné oznámení</v>
      </c>
      <c r="R285" s="4" t="str">
        <f>IFERROR(__xludf.DUMMYFUNCTION("GOOGLETRANSLATE(B285, ""en"", ""it"")"),"Ignora le notifiche non necessarie")</f>
        <v>Ignora le notifiche non necessarie</v>
      </c>
      <c r="S285" s="4" t="str">
        <f>IFERROR(__xludf.DUMMYFUNCTION("GOOGLETRANSLATE(B285, ""en"", ""el"")"),"Αγνοήστε τις περιττές ειδοποιήσεις")</f>
        <v>Αγνοήστε τις περιττές ειδοποιήσεις</v>
      </c>
    </row>
    <row r="286" ht="15.75" customHeight="1">
      <c r="A286" s="4" t="s">
        <v>580</v>
      </c>
      <c r="B286" s="4" t="s">
        <v>581</v>
      </c>
      <c r="C286" s="4" t="str">
        <f>IFERROR(__xludf.DUMMYFUNCTION("GOOGLETRANSLATE(B286, ""en"", ""es"")"),"Ajustes")</f>
        <v>Ajustes</v>
      </c>
      <c r="D286" s="4" t="str">
        <f>IFERROR(__xludf.DUMMYFUNCTION("GOOGLETRANSLATE(B286, ""en"", ""pt"")"),"Definições")</f>
        <v>Definições</v>
      </c>
      <c r="E286" s="4" t="str">
        <f>IFERROR(__xludf.DUMMYFUNCTION("GOOGLETRANSLATE(B286, ""en"", ""ar"")"),"إعدادات")</f>
        <v>إعدادات</v>
      </c>
      <c r="F286" s="4" t="str">
        <f>IFERROR(__xludf.DUMMYFUNCTION("GOOGLETRANSLATE(B286, ""en"", ""km"")"),"ការកំណត់")</f>
        <v>ការកំណត់</v>
      </c>
      <c r="G286" s="4" t="str">
        <f>IFERROR(__xludf.DUMMYFUNCTION("GOOGLETRANSLATE(B286, ""en"", ""fr"")"),"Paramètres")</f>
        <v>Paramètres</v>
      </c>
      <c r="H286" s="4" t="str">
        <f>IFERROR(__xludf.DUMMYFUNCTION("GOOGLETRANSLATE(B286, ""en"", ""ro"")"),"Setări.")</f>
        <v>Setări.</v>
      </c>
      <c r="I286" s="4" t="str">
        <f>IFERROR(__xludf.DUMMYFUNCTION("GOOGLETRANSLATE(B286, ""en"", ""my"")"),"ဆက်တင်များ")</f>
        <v>ဆက်တင်များ</v>
      </c>
      <c r="J286" s="4" t="str">
        <f>IFERROR(__xludf.DUMMYFUNCTION("GOOGLETRANSLATE(B286, ""en"", ""sw"")"),"Mipangilio")</f>
        <v>Mipangilio</v>
      </c>
      <c r="K286" s="4" t="str">
        <f>IFERROR(__xludf.DUMMYFUNCTION("GOOGLETRANSLATE(B286, ""en"", ""th"")"),"การตั้งค่า")</f>
        <v>การตั้งค่า</v>
      </c>
      <c r="L286" s="4" t="str">
        <f>IFERROR(__xludf.DUMMYFUNCTION("GOOGLETRANSLATE(B286, ""en"", ""si"")"),"සැකසුම්")</f>
        <v>සැකසුම්</v>
      </c>
      <c r="M286" s="4" t="str">
        <f>IFERROR(__xludf.DUMMYFUNCTION("GOOGLETRANSLATE(B286, ""en"", ""vi"")"),"Cài đặt")</f>
        <v>Cài đặt</v>
      </c>
      <c r="N286" s="4" t="str">
        <f>IFERROR(__xludf.DUMMYFUNCTION("GOOGLETRANSLATE(B286, ""en"", ""ne"")"),"बतंग")</f>
        <v>बतंग</v>
      </c>
      <c r="O286" s="4" t="str">
        <f>IFERROR(__xludf.DUMMYFUNCTION("GOOGLETRANSLATE(B286, ""en"", ""de"")"),"Einstellungen")</f>
        <v>Einstellungen</v>
      </c>
      <c r="P286" s="4" t="str">
        <f>IFERROR(__xludf.DUMMYFUNCTION("GOOGLETRANSLATE(B286, ""en"", ""he"")"),"הגדרות")</f>
        <v>הגדרות</v>
      </c>
      <c r="Q286" s="4" t="str">
        <f>IFERROR(__xludf.DUMMYFUNCTION("GOOGLETRANSLATE(B286, ""en"", ""cs"")"),"Nastavení")</f>
        <v>Nastavení</v>
      </c>
      <c r="R286" s="4" t="str">
        <f>IFERROR(__xludf.DUMMYFUNCTION("GOOGLETRANSLATE(B286, ""en"", ""it"")"),"Impostazioni")</f>
        <v>Impostazioni</v>
      </c>
      <c r="S286" s="4" t="str">
        <f>IFERROR(__xludf.DUMMYFUNCTION("GOOGLETRANSLATE(B286, ""en"", ""el"")"),"Ρυθμίσεις")</f>
        <v>Ρυθμίσεις</v>
      </c>
    </row>
    <row r="287" ht="15.75" customHeight="1">
      <c r="A287" s="4" t="s">
        <v>582</v>
      </c>
      <c r="B287" s="4" t="s">
        <v>583</v>
      </c>
      <c r="C287" s="4" t="str">
        <f>IFERROR(__xludf.DUMMYFUNCTION("GOOGLETRANSLATE(B287, ""en"", ""es"")"),"Exploración……")</f>
        <v>Exploración……</v>
      </c>
      <c r="D287" s="4" t="str">
        <f>IFERROR(__xludf.DUMMYFUNCTION("GOOGLETRANSLATE(B287, ""en"", ""pt"")"),"Digitalização ......")</f>
        <v>Digitalização ......</v>
      </c>
      <c r="E287" s="4" t="str">
        <f>IFERROR(__xludf.DUMMYFUNCTION("GOOGLETRANSLATE(B287, ""en"", ""ar"")"),"يتم المسح……")</f>
        <v>يتم المسح……</v>
      </c>
      <c r="F287" s="4" t="str">
        <f>IFERROR(__xludf.DUMMYFUNCTION("GOOGLETRANSLATE(B287, ""en"", ""km"")"),"ស្កេន ......")</f>
        <v>ស្កេន ......</v>
      </c>
      <c r="G287" s="4" t="str">
        <f>IFERROR(__xludf.DUMMYFUNCTION("GOOGLETRANSLATE(B287, ""en"", ""fr"")"),"Balayage……")</f>
        <v>Balayage……</v>
      </c>
      <c r="H287" s="4" t="str">
        <f>IFERROR(__xludf.DUMMYFUNCTION("GOOGLETRANSLATE(B287, ""en"", ""ro"")"),"Scanare ......")</f>
        <v>Scanare ......</v>
      </c>
      <c r="I287" s="4" t="str">
        <f>IFERROR(__xludf.DUMMYFUNCTION("GOOGLETRANSLATE(B287, ""en"", ""my"")"),"စကင်ဖတ်စစ်ဆေး ......")</f>
        <v>စကင်ဖတ်စစ်ဆေး ......</v>
      </c>
      <c r="J287" s="4" t="str">
        <f>IFERROR(__xludf.DUMMYFUNCTION("GOOGLETRANSLATE(B287, ""en"", ""sw"")"),"Skanning ......")</f>
        <v>Skanning ......</v>
      </c>
      <c r="K287" s="4" t="str">
        <f>IFERROR(__xludf.DUMMYFUNCTION("GOOGLETRANSLATE(B287, ""en"", ""th"")"),"สแกน ......")</f>
        <v>สแกน ......</v>
      </c>
      <c r="L287" s="4" t="str">
        <f>IFERROR(__xludf.DUMMYFUNCTION("GOOGLETRANSLATE(B287, ""en"", ""si"")"),"ස්කෑන් කිරීම ......")</f>
        <v>ස්කෑන් කිරීම ......</v>
      </c>
      <c r="M287" s="4" t="str">
        <f>IFERROR(__xludf.DUMMYFUNCTION("GOOGLETRANSLATE(B287, ""en"", ""vi"")"),"Quét ......")</f>
        <v>Quét ......</v>
      </c>
      <c r="N287" s="4" t="str">
        <f>IFERROR(__xludf.DUMMYFUNCTION("GOOGLETRANSLATE(B287, ""en"", ""ne"")"),"स्क्यान गर्दै ......")</f>
        <v>स्क्यान गर्दै ......</v>
      </c>
      <c r="O287" s="4" t="str">
        <f>IFERROR(__xludf.DUMMYFUNCTION("GOOGLETRANSLATE(B287, ""en"", ""de"")"),"Scannen ......")</f>
        <v>Scannen ......</v>
      </c>
      <c r="P287" s="4" t="str">
        <f>IFERROR(__xludf.DUMMYFUNCTION("GOOGLETRANSLATE(B287, ""en"", ""he"")"),"סריקה ......")</f>
        <v>סריקה ......</v>
      </c>
      <c r="Q287" s="4" t="str">
        <f>IFERROR(__xludf.DUMMYFUNCTION("GOOGLETRANSLATE(B287, ""en"", ""cs"")"),"Snímání……")</f>
        <v>Snímání……</v>
      </c>
      <c r="R287" s="4" t="str">
        <f>IFERROR(__xludf.DUMMYFUNCTION("GOOGLETRANSLATE(B287, ""en"", ""it"")"),"Scansione ......")</f>
        <v>Scansione ......</v>
      </c>
      <c r="S287" s="4" t="str">
        <f>IFERROR(__xludf.DUMMYFUNCTION("GOOGLETRANSLATE(B287, ""en"", ""el"")"),"Ερευνα……")</f>
        <v>Ερευνα……</v>
      </c>
    </row>
    <row r="288" ht="15.75" customHeight="1">
      <c r="A288" s="4" t="s">
        <v>584</v>
      </c>
      <c r="B288" s="4" t="s">
        <v>585</v>
      </c>
      <c r="C288" s="4" t="str">
        <f>IFERROR(__xludf.DUMMYFUNCTION("GOOGLETRANSLATE(B288, ""en"", ""es"")"),"Limpieza de teléfonos sin publicidad.")</f>
        <v>Limpieza de teléfonos sin publicidad.</v>
      </c>
      <c r="D288" s="4" t="str">
        <f>IFERROR(__xludf.DUMMYFUNCTION("GOOGLETRANSLATE(B288, ""en"", ""pt"")"),"Limpeza do telefone sem publicidade")</f>
        <v>Limpeza do telefone sem publicidade</v>
      </c>
      <c r="E288" s="4" t="str">
        <f>IFERROR(__xludf.DUMMYFUNCTION("GOOGLETRANSLATE(B288, ""en"", ""ar"")"),"تنظيف الهاتف دون الإعلان")</f>
        <v>تنظيف الهاتف دون الإعلان</v>
      </c>
      <c r="F288" s="4" t="str">
        <f>IFERROR(__xludf.DUMMYFUNCTION("GOOGLETRANSLATE(B288, ""en"", ""km"")"),"ការសម្អាតទូរស័ព្ទដោយគ្មានការផ្សាយពាណិជ្ជកម្ម")</f>
        <v>ការសម្អាតទូរស័ព្ទដោយគ្មានការផ្សាយពាណិជ្ជកម្ម</v>
      </c>
      <c r="G288" s="4" t="str">
        <f>IFERROR(__xludf.DUMMYFUNCTION("GOOGLETRANSLATE(B288, ""en"", ""fr"")"),"Nettoyage du téléphone sans publicité")</f>
        <v>Nettoyage du téléphone sans publicité</v>
      </c>
      <c r="H288" s="4" t="str">
        <f>IFERROR(__xludf.DUMMYFUNCTION("GOOGLETRANSLATE(B288, ""en"", ""ro"")"),"Curățarea telefonului fără publicitate")</f>
        <v>Curățarea telefonului fără publicitate</v>
      </c>
      <c r="I288" s="4" t="str">
        <f>IFERROR(__xludf.DUMMYFUNCTION("GOOGLETRANSLATE(B288, ""en"", ""my"")"),"ကြော်ငြာမပါဘဲဖုန်းသန့်ရှင်းရေး")</f>
        <v>ကြော်ငြာမပါဘဲဖုန်းသန့်ရှင်းရေး</v>
      </c>
      <c r="J288" s="4" t="str">
        <f>IFERROR(__xludf.DUMMYFUNCTION("GOOGLETRANSLATE(B288, ""en"", ""sw"")"),"Simu ya kusafisha bila matangazo")</f>
        <v>Simu ya kusafisha bila matangazo</v>
      </c>
      <c r="K288" s="4" t="str">
        <f>IFERROR(__xludf.DUMMYFUNCTION("GOOGLETRANSLATE(B288, ""en"", ""th"")"),"การทำความสะอาดโทรศัพท์โดยไม่ต้องโฆษณา")</f>
        <v>การทำความสะอาดโทรศัพท์โดยไม่ต้องโฆษณา</v>
      </c>
      <c r="L288" s="4" t="str">
        <f>IFERROR(__xludf.DUMMYFUNCTION("GOOGLETRANSLATE(B288, ""en"", ""si"")"),"වෙළඳ දැන්වීම් නොමැතිව දුරකථන පිරිසිදු කිරීම")</f>
        <v>වෙළඳ දැන්වීම් නොමැතිව දුරකථන පිරිසිදු කිරීම</v>
      </c>
      <c r="M288" s="4" t="str">
        <f>IFERROR(__xludf.DUMMYFUNCTION("GOOGLETRANSLATE(B288, ""en"", ""vi"")"),"Vệ sinh điện thoại mà không cần quảng cáo")</f>
        <v>Vệ sinh điện thoại mà không cần quảng cáo</v>
      </c>
      <c r="N288" s="4" t="str">
        <f>IFERROR(__xludf.DUMMYFUNCTION("GOOGLETRANSLATE(B288, ""en"", ""ne"")"),"विज्ञापन बिना फोन सफाई")</f>
        <v>विज्ञापन बिना फोन सफाई</v>
      </c>
      <c r="O288" s="4" t="str">
        <f>IFERROR(__xludf.DUMMYFUNCTION("GOOGLETRANSLATE(B288, ""en"", ""de"")"),"Telefonreinigung ohne Werbung")</f>
        <v>Telefonreinigung ohne Werbung</v>
      </c>
      <c r="P288" s="4" t="str">
        <f>IFERROR(__xludf.DUMMYFUNCTION("GOOGLETRANSLATE(B288, ""en"", ""he"")"),"ניקוי טלפון ללא פרסום")</f>
        <v>ניקוי טלפון ללא פרסום</v>
      </c>
      <c r="Q288" s="4" t="str">
        <f>IFERROR(__xludf.DUMMYFUNCTION("GOOGLETRANSLATE(B288, ""en"", ""cs"")"),"Čištění telefonu bez reklamy")</f>
        <v>Čištění telefonu bez reklamy</v>
      </c>
      <c r="R288" s="4" t="str">
        <f>IFERROR(__xludf.DUMMYFUNCTION("GOOGLETRANSLATE(B288, ""en"", ""it"")"),"Pulizia del telefono senza pubblicità")</f>
        <v>Pulizia del telefono senza pubblicità</v>
      </c>
      <c r="S288" s="4" t="str">
        <f>IFERROR(__xludf.DUMMYFUNCTION("GOOGLETRANSLATE(B288, ""en"", ""el"")"),"Καθαρισμός τηλεφώνου χωρίς διαφήμιση")</f>
        <v>Καθαρισμός τηλεφώνου χωρίς διαφήμιση</v>
      </c>
    </row>
    <row r="289" ht="15.75" customHeight="1">
      <c r="A289" s="4" t="s">
        <v>586</v>
      </c>
      <c r="B289" s="4" t="s">
        <v>587</v>
      </c>
      <c r="C289" s="4" t="str">
        <f>IFERROR(__xludf.DUMMYFUNCTION("GOOGLETRANSLATE(B289, ""en"", ""es"")"),"Para optimizar aún más su CPU")</f>
        <v>Para optimizar aún más su CPU</v>
      </c>
      <c r="D289" s="4" t="str">
        <f>IFERROR(__xludf.DUMMYFUNCTION("GOOGLETRANSLATE(B289, ""en"", ""pt"")"),"Para otimizar ainda mais sua CPU")</f>
        <v>Para otimizar ainda mais sua CPU</v>
      </c>
      <c r="E289" s="4" t="str">
        <f>IFERROR(__xludf.DUMMYFUNCTION("GOOGLETRANSLATE(B289, ""en"", ""ar"")"),"لتعزيز وحدة المعالجة المركزية الخاصة بك")</f>
        <v>لتعزيز وحدة المعالجة المركزية الخاصة بك</v>
      </c>
      <c r="F289" s="4" t="str">
        <f>IFERROR(__xludf.DUMMYFUNCTION("GOOGLETRANSLATE(B289, ""en"", ""km"")"),"ដើម្បីបង្កើនប្រសិទ្ធភាពស៊ីភីយូរបស់អ្នកបន្ថែមទៀត")</f>
        <v>ដើម្បីបង្កើនប្រសិទ្ធភាពស៊ីភីយូរបស់អ្នកបន្ថែមទៀត</v>
      </c>
      <c r="G289" s="4" t="str">
        <f>IFERROR(__xludf.DUMMYFUNCTION("GOOGLETRANSLATE(B289, ""en"", ""fr"")"),"Pour optimiser davantage votre CPU")</f>
        <v>Pour optimiser davantage votre CPU</v>
      </c>
      <c r="H289" s="4" t="str">
        <f>IFERROR(__xludf.DUMMYFUNCTION("GOOGLETRANSLATE(B289, ""en"", ""ro"")"),"Pentru a vă optimiza în continuare CPU-ul")</f>
        <v>Pentru a vă optimiza în continuare CPU-ul</v>
      </c>
      <c r="I289" s="4" t="str">
        <f>IFERROR(__xludf.DUMMYFUNCTION("GOOGLETRANSLATE(B289, ""en"", ""my"")"),"သင်၏ CPU ကိုထပ်မံအကောင်းမြင်ရန်")</f>
        <v>သင်၏ CPU ကိုထပ်မံအကောင်းမြင်ရန်</v>
      </c>
      <c r="J289" s="4" t="str">
        <f>IFERROR(__xludf.DUMMYFUNCTION("GOOGLETRANSLATE(B289, ""en"", ""sw"")"),"Ili kuongeza zaidi CPU yako")</f>
        <v>Ili kuongeza zaidi CPU yako</v>
      </c>
      <c r="K289" s="4" t="str">
        <f>IFERROR(__xludf.DUMMYFUNCTION("GOOGLETRANSLATE(B289, ""en"", ""th"")"),"เพื่อเพิ่มประสิทธิภาพซีพียูของคุณต่อไป")</f>
        <v>เพื่อเพิ่มประสิทธิภาพซีพียูของคุณต่อไป</v>
      </c>
      <c r="L289" s="4" t="str">
        <f>IFERROR(__xludf.DUMMYFUNCTION("GOOGLETRANSLATE(B289, ""en"", ""si"")"),"ඔබේ CPU තවදුරටත් ප්රශස්ත කිරීම")</f>
        <v>ඔබේ CPU තවදුරටත් ප්රශස්ත කිරීම</v>
      </c>
      <c r="M289" s="4" t="str">
        <f>IFERROR(__xludf.DUMMYFUNCTION("GOOGLETRANSLATE(B289, ""en"", ""vi"")"),"Để tiếp tục tối ưu hóa CPU của bạn")</f>
        <v>Để tiếp tục tối ưu hóa CPU của bạn</v>
      </c>
      <c r="N289" s="4" t="str">
        <f>IFERROR(__xludf.DUMMYFUNCTION("GOOGLETRANSLATE(B289, ""en"", ""ne"")"),"अगाडि तपाईंको CPU लाई अनुकूलन गर्न")</f>
        <v>अगाडि तपाईंको CPU लाई अनुकूलन गर्न</v>
      </c>
      <c r="O289" s="4" t="str">
        <f>IFERROR(__xludf.DUMMYFUNCTION("GOOGLETRANSLATE(B289, ""en"", ""de"")"),"Um Ihre CPU weiter zu optimieren")</f>
        <v>Um Ihre CPU weiter zu optimieren</v>
      </c>
      <c r="P289" s="4" t="str">
        <f>IFERROR(__xludf.DUMMYFUNCTION("GOOGLETRANSLATE(B289, ""en"", ""he"")"),"כדי לבצע אופטימיזציה של CPU שלך")</f>
        <v>כדי לבצע אופטימיזציה של CPU שלך</v>
      </c>
      <c r="Q289" s="4" t="str">
        <f>IFERROR(__xludf.DUMMYFUNCTION("GOOGLETRANSLATE(B289, ""en"", ""cs"")"),"Pro další optimalizaci CPU")</f>
        <v>Pro další optimalizaci CPU</v>
      </c>
      <c r="R289" s="4" t="str">
        <f>IFERROR(__xludf.DUMMYFUNCTION("GOOGLETRANSLATE(B289, ""en"", ""it"")"),"Per ottimizzare ulteriormente la tua CPU")</f>
        <v>Per ottimizzare ulteriormente la tua CPU</v>
      </c>
      <c r="S289" s="4" t="str">
        <f>IFERROR(__xludf.DUMMYFUNCTION("GOOGLETRANSLATE(B289, ""en"", ""el"")"),"Για να βελτιστοποιήσετε περαιτέρω την CPU σας")</f>
        <v>Για να βελτιστοποιήσετε περαιτέρω την CPU σας</v>
      </c>
    </row>
    <row r="290" ht="15.75" customHeight="1">
      <c r="A290" s="4" t="s">
        <v>588</v>
      </c>
      <c r="B290" s="4" t="s">
        <v>589</v>
      </c>
      <c r="C290" s="4" t="str">
        <f>IFERROR(__xludf.DUMMYFUNCTION("GOOGLETRANSLATE(B290, ""en"", ""es"")"),"Optimizando completado!")</f>
        <v>Optimizando completado!</v>
      </c>
      <c r="D290" s="4" t="str">
        <f>IFERROR(__xludf.DUMMYFUNCTION("GOOGLETRANSLATE(B290, ""en"", ""pt"")"),"Otimizando concluído!")</f>
        <v>Otimizando concluído!</v>
      </c>
      <c r="E290" s="4" t="str">
        <f>IFERROR(__xludf.DUMMYFUNCTION("GOOGLETRANSLATE(B290, ""en"", ""ar"")"),"تحسين الانتهاء!")</f>
        <v>تحسين الانتهاء!</v>
      </c>
      <c r="F290" s="4" t="str">
        <f>IFERROR(__xludf.DUMMYFUNCTION("GOOGLETRANSLATE(B290, ""en"", ""km"")"),"ការធ្វើឱ្យប្រសើរបានបញ្ចប់!")</f>
        <v>ការធ្វើឱ្យប្រសើរបានបញ្ចប់!</v>
      </c>
      <c r="G290" s="4" t="str">
        <f>IFERROR(__xludf.DUMMYFUNCTION("GOOGLETRANSLATE(B290, ""en"", ""fr"")"),"Optimisation terminée!")</f>
        <v>Optimisation terminée!</v>
      </c>
      <c r="H290" s="4" t="str">
        <f>IFERROR(__xludf.DUMMYFUNCTION("GOOGLETRANSLATE(B290, ""en"", ""ro"")"),"Optimizarea finalizată!")</f>
        <v>Optimizarea finalizată!</v>
      </c>
      <c r="I290" s="4" t="str">
        <f>IFERROR(__xludf.DUMMYFUNCTION("GOOGLETRANSLATE(B290, ""en"", ""my"")"),"ပြီးပြည့်စုံသော optimize!")</f>
        <v>ပြီးပြည့်စုံသော optimize!</v>
      </c>
      <c r="J290" s="4" t="str">
        <f>IFERROR(__xludf.DUMMYFUNCTION("GOOGLETRANSLATE(B290, ""en"", ""sw"")"),"Kuboresha kukamilika!")</f>
        <v>Kuboresha kukamilika!</v>
      </c>
      <c r="K290" s="4" t="str">
        <f>IFERROR(__xludf.DUMMYFUNCTION("GOOGLETRANSLATE(B290, ""en"", ""th"")"),"เพิ่มประสิทธิภาพเสร็จสมบูรณ์!")</f>
        <v>เพิ่มประสิทธิภาพเสร็จสมบูรณ์!</v>
      </c>
      <c r="L290" s="4" t="str">
        <f>IFERROR(__xludf.DUMMYFUNCTION("GOOGLETRANSLATE(B290, ""en"", ""si"")"),"ප්රශස්තිකරණය සම්පූර්ණ කිරීම!")</f>
        <v>ප්රශස්තිකරණය සම්පූර්ණ කිරීම!</v>
      </c>
      <c r="M290" s="4" t="str">
        <f>IFERROR(__xludf.DUMMYFUNCTION("GOOGLETRANSLATE(B290, ""en"", ""vi"")"),"Tối ưu hóa hoàn thành!")</f>
        <v>Tối ưu hóa hoàn thành!</v>
      </c>
      <c r="N290" s="4" t="str">
        <f>IFERROR(__xludf.DUMMYFUNCTION("GOOGLETRANSLATE(B290, ""en"", ""ne"")"),"अनुकूलन पूरा भयो!")</f>
        <v>अनुकूलन पूरा भयो!</v>
      </c>
      <c r="O290" s="4" t="str">
        <f>IFERROR(__xludf.DUMMYFUNCTION("GOOGLETRANSLATE(B290, ""en"", ""de"")"),"Optimierung abgeschlossen!")</f>
        <v>Optimierung abgeschlossen!</v>
      </c>
      <c r="P290" s="4" t="str">
        <f>IFERROR(__xludf.DUMMYFUNCTION("GOOGLETRANSLATE(B290, ""en"", ""he"")"),"אופטימיזציה הושלמה!")</f>
        <v>אופטימיזציה הושלמה!</v>
      </c>
      <c r="Q290" s="4" t="str">
        <f>IFERROR(__xludf.DUMMYFUNCTION("GOOGLETRANSLATE(B290, ""en"", ""cs"")"),"Optimalizace dokončeno!")</f>
        <v>Optimalizace dokončeno!</v>
      </c>
      <c r="R290" s="4" t="str">
        <f>IFERROR(__xludf.DUMMYFUNCTION("GOOGLETRANSLATE(B290, ""en"", ""it"")"),"Ottimizzazione completata!")</f>
        <v>Ottimizzazione completata!</v>
      </c>
      <c r="S290" s="4" t="str">
        <f>IFERROR(__xludf.DUMMYFUNCTION("GOOGLETRANSLATE(B290, ""en"", ""el"")"),"Βελτιστοποίηση ολοκληρώθηκε!")</f>
        <v>Βελτιστοποίηση ολοκληρώθηκε!</v>
      </c>
    </row>
    <row r="291" ht="15.75" customHeight="1">
      <c r="A291" s="4" t="s">
        <v>590</v>
      </c>
      <c r="B291" s="4" t="s">
        <v>358</v>
      </c>
      <c r="C291" s="4" t="str">
        <f>IFERROR(__xludf.DUMMYFUNCTION("GOOGLETRANSLATE(B291, ""en"", ""es"")"),"Grant acceso a la memoria de almacenamiento externo en el dispositivo")</f>
        <v>Grant acceso a la memoria de almacenamiento externo en el dispositivo</v>
      </c>
      <c r="D291" s="4" t="str">
        <f>IFERROR(__xludf.DUMMYFUNCTION("GOOGLETRANSLATE(B291, ""en"", ""pt"")"),"Conceder acesso à memória de armazenamento externo no dispositivo")</f>
        <v>Conceder acesso à memória de armazenamento externo no dispositivo</v>
      </c>
      <c r="E291" s="4" t="str">
        <f>IFERROR(__xludf.DUMMYFUNCTION("GOOGLETRANSLATE(B291, ""en"", ""ar"")"),"منح الوصول إلى ذاكرة التخزين الخارجية في الجهاز")</f>
        <v>منح الوصول إلى ذاكرة التخزين الخارجية في الجهاز</v>
      </c>
      <c r="F291" s="4" t="str">
        <f>IFERROR(__xludf.DUMMYFUNCTION("GOOGLETRANSLATE(B291, ""en"", ""km"")"),"ទទួលបានការចូលដំណើរការអង្គចងចាំផ្ទុកទិន្នន័យខាងក្រៅនៅក្នុងឧបករណ៍")</f>
        <v>ទទួលបានការចូលដំណើរការអង្គចងចាំផ្ទុកទិន្នន័យខាងក្រៅនៅក្នុងឧបករណ៍</v>
      </c>
      <c r="G291" s="4" t="str">
        <f>IFERROR(__xludf.DUMMYFUNCTION("GOOGLETRANSLATE(B291, ""en"", ""fr"")"),"Accorder l'accès à la mémoire de stockage externe dans l'appareil")</f>
        <v>Accorder l'accès à la mémoire de stockage externe dans l'appareil</v>
      </c>
      <c r="H291" s="4" t="str">
        <f>IFERROR(__xludf.DUMMYFUNCTION("GOOGLETRANSLATE(B291, ""en"", ""ro"")"),"Acordați accesul la memoria de stocare externă din dispozitiv")</f>
        <v>Acordați accesul la memoria de stocare externă din dispozitiv</v>
      </c>
      <c r="I291" s="4" t="str">
        <f>IFERROR(__xludf.DUMMYFUNCTION("GOOGLETRANSLATE(B291, ""en"", ""my"")"),"ကိရိယာထဲရှိပြင်ပသိုလှောင်မှုမှတ်ဉာဏ်ကိုရယူပါ")</f>
        <v>ကိရိယာထဲရှိပြင်ပသိုလှောင်မှုမှတ်ဉာဏ်ကိုရယူပါ</v>
      </c>
      <c r="J291" s="4" t="str">
        <f>IFERROR(__xludf.DUMMYFUNCTION("GOOGLETRANSLATE(B291, ""en"", ""sw"")"),"Ruhusu upatikanaji wa kumbukumbu ya hifadhi ya nje kwenye kifaa")</f>
        <v>Ruhusu upatikanaji wa kumbukumbu ya hifadhi ya nje kwenye kifaa</v>
      </c>
      <c r="K291" s="4" t="str">
        <f>IFERROR(__xludf.DUMMYFUNCTION("GOOGLETRANSLATE(B291, ""en"", ""th"")"),"ให้สิทธิ์การเข้าถึงหน่วยความจำหน่วยเก็บข้อมูลภายนอกในอุปกรณ์")</f>
        <v>ให้สิทธิ์การเข้าถึงหน่วยความจำหน่วยเก็บข้อมูลภายนอกในอุปกรณ์</v>
      </c>
      <c r="L291" s="4" t="str">
        <f>IFERROR(__xludf.DUMMYFUNCTION("GOOGLETRANSLATE(B291, ""en"", ""si"")"),"උපාංගයේ බාහිර ගබඩා මතකයට ප්රවේශය ලබා දෙන්න")</f>
        <v>උපාංගයේ බාහිර ගබඩා මතකයට ප්රවේශය ලබා දෙන්න</v>
      </c>
      <c r="M291" s="4" t="str">
        <f>IFERROR(__xludf.DUMMYFUNCTION("GOOGLETRANSLATE(B291, ""en"", ""vi"")"),"Cấp quyền truy cập vào bộ nhớ lưu trữ ngoài trong thiết bị")</f>
        <v>Cấp quyền truy cập vào bộ nhớ lưu trữ ngoài trong thiết bị</v>
      </c>
      <c r="N291" s="4" t="str">
        <f>IFERROR(__xludf.DUMMYFUNCTION("GOOGLETRANSLATE(B291, ""en"", ""ne"")"),"उपकरणमा बाह्य भण्डारण मेमोरीमा अनुदान पहुँच")</f>
        <v>उपकरणमा बाह्य भण्डारण मेमोरीमा अनुदान पहुँच</v>
      </c>
      <c r="O291" s="4" t="str">
        <f>IFERROR(__xludf.DUMMYFUNCTION("GOOGLETRANSLATE(B291, ""en"", ""de"")"),"Zugriff auf den externen Speicherspeicher im Gerät")</f>
        <v>Zugriff auf den externen Speicherspeicher im Gerät</v>
      </c>
      <c r="P291" s="4" t="str">
        <f>IFERROR(__xludf.DUMMYFUNCTION("GOOGLETRANSLATE(B291, ""en"", ""he"")"),"גרנט גישה לזיכרון האחסון החיצוני במכשיר")</f>
        <v>גרנט גישה לזיכרון האחסון החיצוני במכשיר</v>
      </c>
      <c r="Q291" s="4" t="str">
        <f>IFERROR(__xludf.DUMMYFUNCTION("GOOGLETRANSLATE(B291, ""en"", ""cs"")"),"Udělte přístup k externí paměti paměti v přístroji")</f>
        <v>Udělte přístup k externí paměti paměti v přístroji</v>
      </c>
      <c r="R291" s="4" t="str">
        <f>IFERROR(__xludf.DUMMYFUNCTION("GOOGLETRANSLATE(B291, ""en"", ""it"")"),"Concedere l'accesso alla memoria di archiviazione esterna nel dispositivo")</f>
        <v>Concedere l'accesso alla memoria di archiviazione esterna nel dispositivo</v>
      </c>
      <c r="S291" s="4" t="str">
        <f>IFERROR(__xludf.DUMMYFUNCTION("GOOGLETRANSLATE(B291, ""en"", ""el"")"),"Παρακολούθηση πρόσβασης στην εξωτερική μνήμη αποθήκευσης στη συσκευή")</f>
        <v>Παρακολούθηση πρόσβασης στην εξωτερική μνήμη αποθήκευσης στη συσκευή</v>
      </c>
    </row>
    <row r="292" ht="15.75" customHeight="1">
      <c r="A292" s="4" t="s">
        <v>591</v>
      </c>
      <c r="B292" s="4" t="s">
        <v>592</v>
      </c>
      <c r="C292" s="4" t="str">
        <f>IFERROR(__xludf.DUMMYFUNCTION("GOOGLETRANSLATE(B292, ""en"", ""es"")"),"1 minuto")</f>
        <v>1 minuto</v>
      </c>
      <c r="D292" s="4" t="str">
        <f>IFERROR(__xludf.DUMMYFUNCTION("GOOGLETRANSLATE(B292, ""en"", ""pt"")"),"1 minuto")</f>
        <v>1 minuto</v>
      </c>
      <c r="E292" s="4" t="str">
        <f>IFERROR(__xludf.DUMMYFUNCTION("GOOGLETRANSLATE(B292, ""en"", ""ar"")"),"1 دقيقة")</f>
        <v>1 دقيقة</v>
      </c>
      <c r="F292" s="4" t="str">
        <f>IFERROR(__xludf.DUMMYFUNCTION("GOOGLETRANSLATE(B292, ""en"", ""km"")"),"1 នាទី")</f>
        <v>1 នាទី</v>
      </c>
      <c r="G292" s="4" t="str">
        <f>IFERROR(__xludf.DUMMYFUNCTION("GOOGLETRANSLATE(B292, ""en"", ""fr"")"),"1 minute")</f>
        <v>1 minute</v>
      </c>
      <c r="H292" s="4" t="str">
        <f>IFERROR(__xludf.DUMMYFUNCTION("GOOGLETRANSLATE(B292, ""en"", ""ro"")"),"1 minut")</f>
        <v>1 minut</v>
      </c>
      <c r="I292" s="4" t="str">
        <f>IFERROR(__xludf.DUMMYFUNCTION("GOOGLETRANSLATE(B292, ""en"", ""my"")"),"1 မိနစ်")</f>
        <v>1 မိနစ်</v>
      </c>
      <c r="J292" s="4" t="str">
        <f>IFERROR(__xludf.DUMMYFUNCTION("GOOGLETRANSLATE(B292, ""en"", ""sw"")"),"dakika 1")</f>
        <v>dakika 1</v>
      </c>
      <c r="K292" s="4" t="str">
        <f>IFERROR(__xludf.DUMMYFUNCTION("GOOGLETRANSLATE(B292, ""en"", ""th"")"),"1 นาที")</f>
        <v>1 นาที</v>
      </c>
      <c r="L292" s="4" t="str">
        <f>IFERROR(__xludf.DUMMYFUNCTION("GOOGLETRANSLATE(B292, ""en"", ""si"")"),"1 විනාඩියක්")</f>
        <v>1 විනාඩියක්</v>
      </c>
      <c r="M292" s="4" t="str">
        <f>IFERROR(__xludf.DUMMYFUNCTION("GOOGLETRANSLATE(B292, ""en"", ""vi"")"),"1 phút")</f>
        <v>1 phút</v>
      </c>
      <c r="N292" s="4" t="str">
        <f>IFERROR(__xludf.DUMMYFUNCTION("GOOGLETRANSLATE(B292, ""en"", ""ne"")"),"1 मिनेट")</f>
        <v>1 मिनेट</v>
      </c>
      <c r="O292" s="4" t="str">
        <f>IFERROR(__xludf.DUMMYFUNCTION("GOOGLETRANSLATE(B292, ""en"", ""de"")"),"1 Minute")</f>
        <v>1 Minute</v>
      </c>
      <c r="P292" s="4" t="str">
        <f>IFERROR(__xludf.DUMMYFUNCTION("GOOGLETRANSLATE(B292, ""en"", ""he"")"),"דקה 1")</f>
        <v>דקה 1</v>
      </c>
      <c r="Q292" s="4" t="str">
        <f>IFERROR(__xludf.DUMMYFUNCTION("GOOGLETRANSLATE(B292, ""en"", ""cs"")"),"1 minuta")</f>
        <v>1 minuta</v>
      </c>
      <c r="R292" s="4" t="str">
        <f>IFERROR(__xludf.DUMMYFUNCTION("GOOGLETRANSLATE(B292, ""en"", ""it"")"),"1 minuto")</f>
        <v>1 minuto</v>
      </c>
      <c r="S292" s="4" t="str">
        <f>IFERROR(__xludf.DUMMYFUNCTION("GOOGLETRANSLATE(B292, ""en"", ""el"")"),"1 λεπτό")</f>
        <v>1 λεπτό</v>
      </c>
    </row>
    <row r="293" ht="15.75" customHeight="1">
      <c r="A293" s="4" t="s">
        <v>593</v>
      </c>
      <c r="B293" s="4" t="s">
        <v>594</v>
      </c>
      <c r="C293" s="4" t="str">
        <f>IFERROR(__xludf.DUMMYFUNCTION("GOOGLETRANSLATE(B293, ""en"", ""es"")"),"Proteger ahora")</f>
        <v>Proteger ahora</v>
      </c>
      <c r="D293" s="4" t="str">
        <f>IFERROR(__xludf.DUMMYFUNCTION("GOOGLETRANSLATE(B293, ""en"", ""pt"")"),"Proteja agora")</f>
        <v>Proteja agora</v>
      </c>
      <c r="E293" s="4" t="str">
        <f>IFERROR(__xludf.DUMMYFUNCTION("GOOGLETRANSLATE(B293, ""en"", ""ar"")"),"حماية الآن")</f>
        <v>حماية الآن</v>
      </c>
      <c r="F293" s="4" t="str">
        <f>IFERROR(__xludf.DUMMYFUNCTION("GOOGLETRANSLATE(B293, ""en"", ""km"")"),"ការពារឥឡូវនេះ")</f>
        <v>ការពារឥឡូវនេះ</v>
      </c>
      <c r="G293" s="4" t="str">
        <f>IFERROR(__xludf.DUMMYFUNCTION("GOOGLETRANSLATE(B293, ""en"", ""fr"")"),"Protéger maintenant")</f>
        <v>Protéger maintenant</v>
      </c>
      <c r="H293" s="4" t="str">
        <f>IFERROR(__xludf.DUMMYFUNCTION("GOOGLETRANSLATE(B293, ""en"", ""ro"")"),"Protejați-vă acum")</f>
        <v>Protejați-vă acum</v>
      </c>
      <c r="I293" s="4" t="str">
        <f>IFERROR(__xludf.DUMMYFUNCTION("GOOGLETRANSLATE(B293, ""en"", ""my"")"),"ယခုကာကွယ်ပါ")</f>
        <v>ယခုကာကွယ်ပါ</v>
      </c>
      <c r="J293" s="4" t="str">
        <f>IFERROR(__xludf.DUMMYFUNCTION("GOOGLETRANSLATE(B293, ""en"", ""sw"")"),"Tetea sasa")</f>
        <v>Tetea sasa</v>
      </c>
      <c r="K293" s="4" t="str">
        <f>IFERROR(__xludf.DUMMYFUNCTION("GOOGLETRANSLATE(B293, ""en"", ""th"")"),"ปกป้องตอนนี้")</f>
        <v>ปกป้องตอนนี้</v>
      </c>
      <c r="L293" s="4" t="str">
        <f>IFERROR(__xludf.DUMMYFUNCTION("GOOGLETRANSLATE(B293, ""en"", ""si"")"),"දැන් ආරක්ෂා කරන්න")</f>
        <v>දැන් ආරක්ෂා කරන්න</v>
      </c>
      <c r="M293" s="4" t="str">
        <f>IFERROR(__xludf.DUMMYFUNCTION("GOOGLETRANSLATE(B293, ""en"", ""vi"")"),"Bảo vệ ngay bây giờ")</f>
        <v>Bảo vệ ngay bây giờ</v>
      </c>
      <c r="N293" s="4" t="str">
        <f>IFERROR(__xludf.DUMMYFUNCTION("GOOGLETRANSLATE(B293, ""en"", ""ne"")"),"अब बचाऊ")</f>
        <v>अब बचाऊ</v>
      </c>
      <c r="O293" s="4" t="str">
        <f>IFERROR(__xludf.DUMMYFUNCTION("GOOGLETRANSLATE(B293, ""en"", ""de"")"),"Jetzt schützen")</f>
        <v>Jetzt schützen</v>
      </c>
      <c r="P293" s="4" t="str">
        <f>IFERROR(__xludf.DUMMYFUNCTION("GOOGLETRANSLATE(B293, ""en"", ""he"")"),"להגן עכשיו")</f>
        <v>להגן עכשיו</v>
      </c>
      <c r="Q293" s="4" t="str">
        <f>IFERROR(__xludf.DUMMYFUNCTION("GOOGLETRANSLATE(B293, ""en"", ""cs"")"),"Chránit nyní")</f>
        <v>Chránit nyní</v>
      </c>
      <c r="R293" s="4" t="str">
        <f>IFERROR(__xludf.DUMMYFUNCTION("GOOGLETRANSLATE(B293, ""en"", ""it"")"),"Proteggi ora")</f>
        <v>Proteggi ora</v>
      </c>
      <c r="S293" s="4" t="str">
        <f>IFERROR(__xludf.DUMMYFUNCTION("GOOGLETRANSLATE(B293, ""en"", ""el"")"),"Προστατεύουν τώρα")</f>
        <v>Προστατεύουν τώρα</v>
      </c>
    </row>
    <row r="294" ht="15.75" customHeight="1">
      <c r="A294" s="4" t="s">
        <v>595</v>
      </c>
      <c r="B294" s="4" t="s">
        <v>596</v>
      </c>
      <c r="C294" s="4" t="str">
        <f>IFERROR(__xludf.DUMMYFUNCTION("GOOGLETRANSLATE(B294, ""en"", ""es"")"),"Error de pregunta de respuesta de seguridad")</f>
        <v>Error de pregunta de respuesta de seguridad</v>
      </c>
      <c r="D294" s="4" t="str">
        <f>IFERROR(__xludf.DUMMYFUNCTION("GOOGLETRANSLATE(B294, ""en"", ""pt"")"),"Erro de pergunta de resposta de segurança")</f>
        <v>Erro de pergunta de resposta de segurança</v>
      </c>
      <c r="E294" s="4" t="str">
        <f>IFERROR(__xludf.DUMMYFUNCTION("GOOGLETRANSLATE(B294, ""en"", ""ar"")"),"خطأ الأمن الإجابة خطأ")</f>
        <v>خطأ الأمن الإجابة خطأ</v>
      </c>
      <c r="F294" s="4" t="str">
        <f>IFERROR(__xludf.DUMMYFUNCTION("GOOGLETRANSLATE(B294, ""en"", ""km"")"),"កំហុសសំណួរឆ្លើយសុវត្ថិភាព")</f>
        <v>កំហុសសំណួរឆ្លើយសុវត្ថិភាព</v>
      </c>
      <c r="G294" s="4" t="str">
        <f>IFERROR(__xludf.DUMMYFUNCTION("GOOGLETRANSLATE(B294, ""en"", ""fr"")"),"Erreur de question de réponse de la sécurité")</f>
        <v>Erreur de question de réponse de la sécurité</v>
      </c>
      <c r="H294" s="4" t="str">
        <f>IFERROR(__xludf.DUMMYFUNCTION("GOOGLETRANSLATE(B294, ""en"", ""ro"")"),"Securitate Răspuns Eroare la întrebare")</f>
        <v>Securitate Răspuns Eroare la întrebare</v>
      </c>
      <c r="I294" s="4" t="str">
        <f>IFERROR(__xludf.DUMMYFUNCTION("GOOGLETRANSLATE(B294, ""en"", ""my"")"),"လုံခြုံရေးအဖြေမေးခွန်းအမှား")</f>
        <v>လုံခြုံရေးအဖြေမေးခွန်းအမှား</v>
      </c>
      <c r="J294" s="4" t="str">
        <f>IFERROR(__xludf.DUMMYFUNCTION("GOOGLETRANSLATE(B294, ""en"", ""sw"")"),"Jibu la Jibu la Usalama")</f>
        <v>Jibu la Jibu la Usalama</v>
      </c>
      <c r="K294" s="4" t="str">
        <f>IFERROR(__xludf.DUMMYFUNCTION("GOOGLETRANSLATE(B294, ""en"", ""th"")"),"ข้อผิดพลาดคำถามตอบคำถามความปลอดภัย")</f>
        <v>ข้อผิดพลาดคำถามตอบคำถามความปลอดภัย</v>
      </c>
      <c r="L294" s="4" t="str">
        <f>IFERROR(__xludf.DUMMYFUNCTION("GOOGLETRANSLATE(B294, ""en"", ""si"")"),"ආරක්ෂක පිළිතුරු ප්රශ්න කිරීමේ දෝෂයකි")</f>
        <v>ආරක්ෂක පිළිතුරු ප්රශ්න කිරීමේ දෝෂයකි</v>
      </c>
      <c r="M294" s="4" t="str">
        <f>IFERROR(__xludf.DUMMYFUNCTION("GOOGLETRANSLATE(B294, ""en"", ""vi"")"),"Bảo mật Trả lời lỗi câu hỏi")</f>
        <v>Bảo mật Trả lời lỗi câu hỏi</v>
      </c>
      <c r="N294" s="4" t="str">
        <f>IFERROR(__xludf.DUMMYFUNCTION("GOOGLETRANSLATE(B294, ""en"", ""ne"")"),"सुरक्षा उत्तर प्रश्न त्रुटि")</f>
        <v>सुरक्षा उत्तर प्रश्न त्रुटि</v>
      </c>
      <c r="O294" s="4" t="str">
        <f>IFERROR(__xludf.DUMMYFUNCTION("GOOGLETRANSLATE(B294, ""en"", ""de"")"),"Sicherheitsantwortfragefehler")</f>
        <v>Sicherheitsantwortfragefehler</v>
      </c>
      <c r="P294" s="4" t="str">
        <f>IFERROR(__xludf.DUMMYFUNCTION("GOOGLETRANSLATE(B294, ""en"", ""he"")"),"שגיאת שאלה תשובה")</f>
        <v>שגיאת שאלה תשובה</v>
      </c>
      <c r="Q294" s="4" t="str">
        <f>IFERROR(__xludf.DUMMYFUNCTION("GOOGLETRANSLATE(B294, ""en"", ""cs"")"),"Chyba odpovědi zabezpečení")</f>
        <v>Chyba odpovědi zabezpečení</v>
      </c>
      <c r="R294" s="4" t="str">
        <f>IFERROR(__xludf.DUMMYFUNCTION("GOOGLETRANSLATE(B294, ""en"", ""it"")"),"Errore della domanda di risposta della sicurezza")</f>
        <v>Errore della domanda di risposta della sicurezza</v>
      </c>
      <c r="S294" s="4" t="str">
        <f>IFERROR(__xludf.DUMMYFUNCTION("GOOGLETRANSLATE(B294, ""en"", ""el"")"),"Σφάλμα ερωτήματος απάντησης ασφαλείας")</f>
        <v>Σφάλμα ερωτήματος απάντησης ασφαλείας</v>
      </c>
    </row>
    <row r="295" ht="15.75" customHeight="1">
      <c r="A295" s="4" t="s">
        <v>597</v>
      </c>
      <c r="B295" s="4" t="s">
        <v>548</v>
      </c>
      <c r="C295" s="4" t="str">
        <f>IFERROR(__xludf.DUMMYFUNCTION("GOOGLETRANSLATE(B295, ""en"", ""es"")")," 888 amenaza")</f>
        <v> 888 amenaza</v>
      </c>
      <c r="D295" s="4" t="str">
        <f>IFERROR(__xludf.DUMMYFUNCTION("GOOGLETRANSLATE(B295, ""en"", ""pt"")")," 888 ameaça")</f>
        <v> 888 ameaça</v>
      </c>
      <c r="E295" s="4" t="str">
        <f>IFERROR(__xludf.DUMMYFUNCTION("GOOGLETRANSLATE(B295, ""en"", ""ar"")")," 888 تهديد")</f>
        <v> 888 تهديد</v>
      </c>
      <c r="F295" s="4" t="str">
        <f>IFERROR(__xludf.DUMMYFUNCTION("GOOGLETRANSLATE(B295, ""en"", ""km"")")," 888 ការគំរាមកំហែង")</f>
        <v> 888 ការគំរាមកំហែង</v>
      </c>
      <c r="G295" s="4" t="str">
        <f>IFERROR(__xludf.DUMMYFUNCTION("GOOGLETRANSLATE(B295, ""en"", ""fr"")")," 888 Menace")</f>
        <v> 888 Menace</v>
      </c>
      <c r="H295" s="4" t="str">
        <f>IFERROR(__xludf.DUMMYFUNCTION("GOOGLETRANSLATE(B295, ""en"", ""ro"")")," 888 amenințare")</f>
        <v> 888 amenințare</v>
      </c>
      <c r="I295" s="4" t="str">
        <f>IFERROR(__xludf.DUMMYFUNCTION("GOOGLETRANSLATE(B295, ""en"", ""my"")")," 888 ခြိမ်းခြောက်မှု")</f>
        <v> 888 ခြိမ်းခြောက်မှု</v>
      </c>
      <c r="J295" s="4" t="str">
        <f>IFERROR(__xludf.DUMMYFUNCTION("GOOGLETRANSLATE(B295, ""en"", ""sw"")")," 888 Tishio")</f>
        <v> 888 Tishio</v>
      </c>
      <c r="K295" s="4" t="str">
        <f>IFERROR(__xludf.DUMMYFUNCTION("GOOGLETRANSLATE(B295, ""en"", ""th"")")," ภัยคุกคาม 888")</f>
        <v> ภัยคุกคาม 888</v>
      </c>
      <c r="L295" s="4" t="str">
        <f>IFERROR(__xludf.DUMMYFUNCTION("GOOGLETRANSLATE(B295, ""en"", ""si"")")," 888 තර්ජනය")</f>
        <v> 888 තර්ජනය</v>
      </c>
      <c r="M295" s="4" t="str">
        <f>IFERROR(__xludf.DUMMYFUNCTION("GOOGLETRANSLATE(B295, ""en"", ""vi"")")," 888 MINE.")</f>
        <v> 888 MINE.</v>
      </c>
      <c r="N295" s="4" t="str">
        <f>IFERROR(__xludf.DUMMYFUNCTION("GOOGLETRANSLATE(B295, ""en"", ""ne"")")," 8 888 खतरा")</f>
        <v> 8 888 खतरा</v>
      </c>
      <c r="O295" s="4" t="str">
        <f>IFERROR(__xludf.DUMMYFUNCTION("GOOGLETRANSLATE(B295, ""en"", ""de"")")," 888 Bedrohung.")</f>
        <v> 888 Bedrohung.</v>
      </c>
      <c r="P295" s="4" t="str">
        <f>IFERROR(__xludf.DUMMYFUNCTION("GOOGLETRANSLATE(B295, ""en"", ""he"")")," 888 איום")</f>
        <v> 888 איום</v>
      </c>
      <c r="Q295" s="4" t="str">
        <f>IFERROR(__xludf.DUMMYFUNCTION("GOOGLETRANSLATE(B295, ""en"", ""cs"")")," 888 Hrozba")</f>
        <v> 888 Hrozba</v>
      </c>
      <c r="R295" s="4" t="str">
        <f>IFERROR(__xludf.DUMMYFUNCTION("GOOGLETRANSLATE(B295, ""en"", ""it"")")," 888 minaccia")</f>
        <v> 888 minaccia</v>
      </c>
      <c r="S295" s="4" t="str">
        <f>IFERROR(__xludf.DUMMYFUNCTION("GOOGLETRANSLATE(B295, ""en"", ""el"")")," 888 απειλή")</f>
        <v> 888 απειλή</v>
      </c>
    </row>
    <row r="296" ht="15.75" customHeight="1">
      <c r="A296" s="4" t="s">
        <v>598</v>
      </c>
      <c r="B296" s="4" t="s">
        <v>599</v>
      </c>
      <c r="C296" s="4" t="str">
        <f>IFERROR(__xludf.DUMMYFUNCTION("GOOGLETRANSLATE(B296, ""en"", ""es"")")," 888 / semana")</f>
        <v> 888 / semana</v>
      </c>
      <c r="D296" s="4" t="str">
        <f>IFERROR(__xludf.DUMMYFUNCTION("GOOGLETRANSLATE(B296, ""en"", ""pt"")")," 888 / semana")</f>
        <v> 888 / semana</v>
      </c>
      <c r="E296" s="4" t="str">
        <f>IFERROR(__xludf.DUMMYFUNCTION("GOOGLETRANSLATE(B296, ""en"", ""ar"")")," 888 / أسبوع")</f>
        <v> 888 / أسبوع</v>
      </c>
      <c r="F296" s="4" t="str">
        <f>IFERROR(__xludf.DUMMYFUNCTION("GOOGLETRANSLATE(B296, ""en"", ""km"")")," 888 / សប្តាហ៍")</f>
        <v> 888 / សប្តាហ៍</v>
      </c>
      <c r="G296" s="4" t="str">
        <f>IFERROR(__xludf.DUMMYFUNCTION("GOOGLETRANSLATE(B296, ""en"", ""fr"")")," 888 / semaine")</f>
        <v> 888 / semaine</v>
      </c>
      <c r="H296" s="4" t="str">
        <f>IFERROR(__xludf.DUMMYFUNCTION("GOOGLETRANSLATE(B296, ""en"", ""ro"")")," 888 / săptămână")</f>
        <v> 888 / săptămână</v>
      </c>
      <c r="I296" s="4" t="str">
        <f>IFERROR(__xludf.DUMMYFUNCTION("GOOGLETRANSLATE(B296, ""en"", ""my"")")," 888 / ရက်သတ္တပတ်")</f>
        <v> 888 / ရက်သတ္တပတ်</v>
      </c>
      <c r="J296" s="4" t="str">
        <f>IFERROR(__xludf.DUMMYFUNCTION("GOOGLETRANSLATE(B296, ""en"", ""sw"")")," 888 / Wiki.")</f>
        <v> 888 / Wiki.</v>
      </c>
      <c r="K296" s="4" t="str">
        <f>IFERROR(__xludf.DUMMYFUNCTION("GOOGLETRANSLATE(B296, ""en"", ""th"")")," 888 / สัปดาห์")</f>
        <v> 888 / สัปดาห์</v>
      </c>
      <c r="L296" s="4" t="str">
        <f>IFERROR(__xludf.DUMMYFUNCTION("GOOGLETRANSLATE(B296, ""en"", ""si"")")," සතියකට 888 /")</f>
        <v> සතියකට 888 /</v>
      </c>
      <c r="M296" s="4" t="str">
        <f>IFERROR(__xludf.DUMMYFUNCTION("GOOGLETRANSLATE(B296, ""en"", ""vi"")")," 888 / tuần")</f>
        <v> 888 / tuần</v>
      </c>
      <c r="N296" s="4" t="str">
        <f>IFERROR(__xludf.DUMMYFUNCTION("GOOGLETRANSLATE(B296, ""en"", ""ne"")")," 8 888 / हप्ता")</f>
        <v> 8 888 / हप्ता</v>
      </c>
      <c r="O296" s="4" t="str">
        <f>IFERROR(__xludf.DUMMYFUNCTION("GOOGLETRANSLATE(B296, ""en"", ""de"")")," 888 / Woche.")</f>
        <v> 888 / Woche.</v>
      </c>
      <c r="P296" s="4" t="str">
        <f>IFERROR(__xludf.DUMMYFUNCTION("GOOGLETRANSLATE(B296, ""en"", ""he"")")," 888 / שבוע")</f>
        <v> 888 / שבוע</v>
      </c>
      <c r="Q296" s="4" t="str">
        <f>IFERROR(__xludf.DUMMYFUNCTION("GOOGLETRANSLATE(B296, ""en"", ""cs"")")," 888 / týden")</f>
        <v> 888 / týden</v>
      </c>
      <c r="R296" s="4" t="str">
        <f>IFERROR(__xludf.DUMMYFUNCTION("GOOGLETRANSLATE(B296, ""en"", ""it"")")," 888 / settimana")</f>
        <v> 888 / settimana</v>
      </c>
      <c r="S296" s="4" t="str">
        <f>IFERROR(__xludf.DUMMYFUNCTION("GOOGLETRANSLATE(B296, ""en"", ""el"")")," 888 / εβδομάδα")</f>
        <v> 888 / εβδομάδα</v>
      </c>
    </row>
    <row r="297" ht="15.75" customHeight="1">
      <c r="A297" s="4" t="s">
        <v>600</v>
      </c>
      <c r="B297" s="4" t="s">
        <v>601</v>
      </c>
      <c r="C297" s="4" t="str">
        <f>IFERROR(__xludf.DUMMYFUNCTION("GOOGLETRANSLATE(B297, ""en"", ""es"")"),"¡A salvo! ¡Amenazas eliminadas!")</f>
        <v>¡A salvo! ¡Amenazas eliminadas!</v>
      </c>
      <c r="D297" s="4" t="str">
        <f>IFERROR(__xludf.DUMMYFUNCTION("GOOGLETRANSLATE(B297, ""en"", ""pt"")"),"Seguro! Ameaças eliminadas!")</f>
        <v>Seguro! Ameaças eliminadas!</v>
      </c>
      <c r="E297" s="4" t="str">
        <f>IFERROR(__xludf.DUMMYFUNCTION("GOOGLETRANSLATE(B297, ""en"", ""ar"")"),"آمن! التهديدات القضاء عليها!")</f>
        <v>آمن! التهديدات القضاء عليها!</v>
      </c>
      <c r="F297" s="4" t="str">
        <f>IFERROR(__xludf.DUMMYFUNCTION("GOOGLETRANSLATE(B297, ""en"", ""km"")"),"សុវត្ថិភាព! ការគំរាមកំហែងបានលុបបំបាត់!")</f>
        <v>សុវត្ថិភាព! ការគំរាមកំហែងបានលុបបំបាត់!</v>
      </c>
      <c r="G297" s="4" t="str">
        <f>IFERROR(__xludf.DUMMYFUNCTION("GOOGLETRANSLATE(B297, ""en"", ""fr"")"),"En sécurité! Menaces éliminées!")</f>
        <v>En sécurité! Menaces éliminées!</v>
      </c>
      <c r="H297" s="4" t="str">
        <f>IFERROR(__xludf.DUMMYFUNCTION("GOOGLETRANSLATE(B297, ""en"", ""ro"")"),"Sigur! Amenințările eliminate!")</f>
        <v>Sigur! Amenințările eliminate!</v>
      </c>
      <c r="I297" s="4" t="str">
        <f>IFERROR(__xludf.DUMMYFUNCTION("GOOGLETRANSLATE(B297, ""en"", ""my"")"),"လုံခြုံမှု! ခြိမ်းခြောက်မှုများဖယ်ရှားပစ်!")</f>
        <v>လုံခြုံမှု! ခြိမ်းခြောက်မှုများဖယ်ရှားပစ်!</v>
      </c>
      <c r="J297" s="4" t="str">
        <f>IFERROR(__xludf.DUMMYFUNCTION("GOOGLETRANSLATE(B297, ""en"", ""sw"")"),"Salama! Vitisho vilivyoondolewa!")</f>
        <v>Salama! Vitisho vilivyoondolewa!</v>
      </c>
      <c r="K297" s="4" t="str">
        <f>IFERROR(__xludf.DUMMYFUNCTION("GOOGLETRANSLATE(B297, ""en"", ""th"")"),"ปลอดภัย! ภัยคุกคามกำจัด!")</f>
        <v>ปลอดภัย! ภัยคุกคามกำจัด!</v>
      </c>
      <c r="L297" s="4" t="str">
        <f>IFERROR(__xludf.DUMMYFUNCTION("GOOGLETRANSLATE(B297, ""en"", ""si"")"),"ආරක්ෂිතයි! තර්ජන ඉවත් කිරීම!")</f>
        <v>ආරක්ෂිතයි! තර්ජන ඉවත් කිරීම!</v>
      </c>
      <c r="M297" s="4" t="str">
        <f>IFERROR(__xludf.DUMMYFUNCTION("GOOGLETRANSLATE(B297, ""en"", ""vi"")"),"An toàn! Các mối đe dọa bị loại!")</f>
        <v>An toàn! Các mối đe dọa bị loại!</v>
      </c>
      <c r="N297" s="4" t="str">
        <f>IFERROR(__xludf.DUMMYFUNCTION("GOOGLETRANSLATE(B297, ""en"", ""ne"")"),"सुरक्षित! धम्की एक्रिए!")</f>
        <v>सुरक्षित! धम्की एक्रिए!</v>
      </c>
      <c r="O297" s="4" t="str">
        <f>IFERROR(__xludf.DUMMYFUNCTION("GOOGLETRANSLATE(B297, ""en"", ""de"")"),"Sicher! Bedrohungen eliminiert!")</f>
        <v>Sicher! Bedrohungen eliminiert!</v>
      </c>
      <c r="P297" s="4" t="str">
        <f>IFERROR(__xludf.DUMMYFUNCTION("GOOGLETRANSLATE(B297, ""en"", ""he"")"),"בטוח! איומים בוטלו!")</f>
        <v>בטוח! איומים בוטלו!</v>
      </c>
      <c r="Q297" s="4" t="str">
        <f>IFERROR(__xludf.DUMMYFUNCTION("GOOGLETRANSLATE(B297, ""en"", ""cs"")"),"Bezpečný! Hrozby odstraněny!")</f>
        <v>Bezpečný! Hrozby odstraněny!</v>
      </c>
      <c r="R297" s="4" t="str">
        <f>IFERROR(__xludf.DUMMYFUNCTION("GOOGLETRANSLATE(B297, ""en"", ""it"")"),"Sicuro! Minacce eliminate!")</f>
        <v>Sicuro! Minacce eliminate!</v>
      </c>
      <c r="S297" s="4" t="str">
        <f>IFERROR(__xludf.DUMMYFUNCTION("GOOGLETRANSLATE(B297, ""en"", ""el"")"),"Ασφαλής! Απειλές εξάλειψαν!")</f>
        <v>Ασφαλής! Απειλές εξάλειψαν!</v>
      </c>
    </row>
    <row r="298" ht="15.75" customHeight="1">
      <c r="A298" s="4" t="s">
        <v>602</v>
      </c>
      <c r="B298" s="4" t="s">
        <v>603</v>
      </c>
      <c r="C298" s="4" t="str">
        <f>IFERROR(__xludf.DUMMYFUNCTION("GOOGLETRANSLATE(B298, ""en"", ""es"")"),"CPU - Aplicaciones de calefacción")</f>
        <v>CPU - Aplicaciones de calefacción</v>
      </c>
      <c r="D298" s="4" t="str">
        <f>IFERROR(__xludf.DUMMYFUNCTION("GOOGLETRANSLATE(B298, ""en"", ""pt"")"),"CPU - Aquecimento Apps")</f>
        <v>CPU - Aquecimento Apps</v>
      </c>
      <c r="E298" s="4" t="str">
        <f>IFERROR(__xludf.DUMMYFUNCTION("GOOGLETRANSLATE(B298, ""en"", ""ar"")"),"وحدة المعالجة المركزية - تطبيقات التدفئة")</f>
        <v>وحدة المعالجة المركزية - تطبيقات التدفئة</v>
      </c>
      <c r="F298" s="4" t="str">
        <f>IFERROR(__xludf.DUMMYFUNCTION("GOOGLETRANSLATE(B298, ""en"", ""km"")"),"ស៊ីភីយូ - កម្មវិធីកំដៅ")</f>
        <v>ស៊ីភីយូ - កម្មវិធីកំដៅ</v>
      </c>
      <c r="G298" s="4" t="str">
        <f>IFERROR(__xludf.DUMMYFUNCTION("GOOGLETRANSLATE(B298, ""en"", ""fr"")"),"CPU - Applications de chauffage")</f>
        <v>CPU - Applications de chauffage</v>
      </c>
      <c r="H298" s="4" t="str">
        <f>IFERROR(__xludf.DUMMYFUNCTION("GOOGLETRANSLATE(B298, ""en"", ""ro"")"),"CPU - Aplicații de încălzire")</f>
        <v>CPU - Aplicații de încălzire</v>
      </c>
      <c r="I298" s="4" t="str">
        <f>IFERROR(__xludf.DUMMYFUNCTION("GOOGLETRANSLATE(B298, ""en"", ""my"")"),"CPU - အပူပေးထားသောအက်ပ်များ")</f>
        <v>CPU - အပူပေးထားသောအက်ပ်များ</v>
      </c>
      <c r="J298" s="4" t="str">
        <f>IFERROR(__xludf.DUMMYFUNCTION("GOOGLETRANSLATE(B298, ""en"", ""sw"")"),"CPU - Inapokanzwa Apps.")</f>
        <v>CPU - Inapokanzwa Apps.</v>
      </c>
      <c r="K298" s="4" t="str">
        <f>IFERROR(__xludf.DUMMYFUNCTION("GOOGLETRANSLATE(B298, ""en"", ""th"")"),"CPU - แอปทำความร้อน")</f>
        <v>CPU - แอปทำความร้อน</v>
      </c>
      <c r="L298" s="4" t="str">
        <f>IFERROR(__xludf.DUMMYFUNCTION("GOOGLETRANSLATE(B298, ""en"", ""si"")"),"CPU - රත්රක යෙදුම්")</f>
        <v>CPU - රත්රක යෙදුම්</v>
      </c>
      <c r="M298" s="4" t="str">
        <f>IFERROR(__xludf.DUMMYFUNCTION("GOOGLETRANSLATE(B298, ""en"", ""vi"")"),"CPU - Ứng dụng sưởi ấm")</f>
        <v>CPU - Ứng dụng sưởi ấm</v>
      </c>
      <c r="N298" s="4" t="str">
        <f>IFERROR(__xludf.DUMMYFUNCTION("GOOGLETRANSLATE(B298, ""en"", ""ne"")"),"CPU - तताउने अनुप्रयोगहरू")</f>
        <v>CPU - तताउने अनुप्रयोगहरू</v>
      </c>
      <c r="O298" s="4" t="str">
        <f>IFERROR(__xludf.DUMMYFUNCTION("GOOGLETRANSLATE(B298, ""en"", ""de"")"),"CPU - Heizungs-Apps")</f>
        <v>CPU - Heizungs-Apps</v>
      </c>
      <c r="P298" s="4" t="str">
        <f>IFERROR(__xludf.DUMMYFUNCTION("GOOGLETRANSLATE(B298, ""en"", ""he"")"),"CPU - חימום Apps")</f>
        <v>CPU - חימום Apps</v>
      </c>
      <c r="Q298" s="4" t="str">
        <f>IFERROR(__xludf.DUMMYFUNCTION("GOOGLETRANSLATE(B298, ""en"", ""cs"")"),"CPU - Topné aplikace")</f>
        <v>CPU - Topné aplikace</v>
      </c>
      <c r="R298" s="4" t="str">
        <f>IFERROR(__xludf.DUMMYFUNCTION("GOOGLETRANSLATE(B298, ""en"", ""it"")"),"CPU - App di riscaldamento")</f>
        <v>CPU - App di riscaldamento</v>
      </c>
      <c r="S298" s="4" t="str">
        <f>IFERROR(__xludf.DUMMYFUNCTION("GOOGLETRANSLATE(B298, ""en"", ""el"")"),"CPU - εφαρμογές θέρμανσης")</f>
        <v>CPU - εφαρμογές θέρμανσης</v>
      </c>
    </row>
    <row r="299" ht="15.75" customHeight="1">
      <c r="A299" s="4" t="s">
        <v>604</v>
      </c>
      <c r="B299" s="4" t="s">
        <v>605</v>
      </c>
      <c r="C299" s="4" t="str">
        <f>IFERROR(__xludf.DUMMYFUNCTION("GOOGLETRANSLATE(B299, ""en"", ""es"")"),"Usa el impulso del teléfono para liberar espacio.")</f>
        <v>Usa el impulso del teléfono para liberar espacio.</v>
      </c>
      <c r="D299" s="4" t="str">
        <f>IFERROR(__xludf.DUMMYFUNCTION("GOOGLETRANSLATE(B299, ""en"", ""pt"")"),"Use o impulso do telefone para liberar espaço")</f>
        <v>Use o impulso do telefone para liberar espaço</v>
      </c>
      <c r="E299" s="4" t="str">
        <f>IFERROR(__xludf.DUMMYFUNCTION("GOOGLETRANSLATE(B299, ""en"", ""ar"")"),"استخدم دفعة الهاتف لتحرير الفضاء")</f>
        <v>استخدم دفعة الهاتف لتحرير الفضاء</v>
      </c>
      <c r="F299" s="4" t="str">
        <f>IFERROR(__xludf.DUMMYFUNCTION("GOOGLETRANSLATE(B299, ""en"", ""km"")"),"ប្រើការជម្រុញទូរស័ព្ទដើម្បីដោះលែងកន្លែងទំនេរ")</f>
        <v>ប្រើការជម្រុញទូរស័ព្ទដើម្បីដោះលែងកន្លែងទំនេរ</v>
      </c>
      <c r="G299" s="4" t="str">
        <f>IFERROR(__xludf.DUMMYFUNCTION("GOOGLETRANSLATE(B299, ""en"", ""fr"")"),"Utilisez le boost de téléphone pour libérer de l'espace")</f>
        <v>Utilisez le boost de téléphone pour libérer de l'espace</v>
      </c>
      <c r="H299" s="4" t="str">
        <f>IFERROR(__xludf.DUMMYFUNCTION("GOOGLETRANSLATE(B299, ""en"", ""ro"")"),"Utilizați Boost Phone pentru a elibera spațiu")</f>
        <v>Utilizați Boost Phone pentru a elibera spațiu</v>
      </c>
      <c r="I299" s="4" t="str">
        <f>IFERROR(__xludf.DUMMYFUNCTION("GOOGLETRANSLATE(B299, ""en"", ""my"")"),"အာကာသကိုအခမဲ့ပေးရန်ဖုန်းကိုမြှင့်တင်ပါ")</f>
        <v>အာကာသကိုအခမဲ့ပေးရန်ဖုန်းကိုမြှင့်တင်ပါ</v>
      </c>
      <c r="J299" s="4" t="str">
        <f>IFERROR(__xludf.DUMMYFUNCTION("GOOGLETRANSLATE(B299, ""en"", ""sw"")"),"Tumia kuongeza simu ili kufungua nafasi")</f>
        <v>Tumia kuongeza simu ili kufungua nafasi</v>
      </c>
      <c r="K299" s="4" t="str">
        <f>IFERROR(__xludf.DUMMYFUNCTION("GOOGLETRANSLATE(B299, ""en"", ""th"")"),"ใช้โทรศัพท์ Boost เพื่อเพิ่มพื้นที่ว่าง")</f>
        <v>ใช้โทรศัพท์ Boost เพื่อเพิ่มพื้นที่ว่าง</v>
      </c>
      <c r="L299" s="4" t="str">
        <f>IFERROR(__xludf.DUMMYFUNCTION("GOOGLETRANSLATE(B299, ""en"", ""si"")"),"අවකාශය නිදහස් කිරීම සඳහා දුරකථන තල්ලුව භාවිතා කරන්න")</f>
        <v>අවකාශය නිදහස් කිරීම සඳහා දුරකථන තල්ලුව භාවිතා කරන්න</v>
      </c>
      <c r="M299" s="4" t="str">
        <f>IFERROR(__xludf.DUMMYFUNCTION("GOOGLETRANSLATE(B299, ""en"", ""vi"")"),"Sử dụng điện thoại Boost để giải phóng không gian")</f>
        <v>Sử dụng điện thoại Boost để giải phóng không gian</v>
      </c>
      <c r="N299" s="4" t="str">
        <f>IFERROR(__xludf.DUMMYFUNCTION("GOOGLETRANSLATE(B299, ""en"", ""ne"")"),"खाली ठाउँको लागि फोन बढावा प्रयोग गर्नुहोस्")</f>
        <v>खाली ठाउँको लागि फोन बढावा प्रयोग गर्नुहोस्</v>
      </c>
      <c r="O299" s="4" t="str">
        <f>IFERROR(__xludf.DUMMYFUNCTION("GOOGLETRANSLATE(B299, ""en"", ""de"")"),"Verwenden Sie den Telefonschub, um den Platz freizusetzen")</f>
        <v>Verwenden Sie den Telefonschub, um den Platz freizusetzen</v>
      </c>
      <c r="P299" s="4" t="str">
        <f>IFERROR(__xludf.DUMMYFUNCTION("GOOGLETRANSLATE(B299, ""en"", ""he"")"),"השתמש בד Boost כדי לפנות מקום")</f>
        <v>השתמש בד Boost כדי לפנות מקום</v>
      </c>
      <c r="Q299" s="4" t="str">
        <f>IFERROR(__xludf.DUMMYFUNCTION("GOOGLETRANSLATE(B299, ""en"", ""cs"")"),"Použijte telefon a uvolněte prostor")</f>
        <v>Použijte telefon a uvolněte prostor</v>
      </c>
      <c r="R299" s="4" t="str">
        <f>IFERROR(__xludf.DUMMYFUNCTION("GOOGLETRANSLATE(B299, ""en"", ""it"")"),"Usa il potenziamento del telefono per liberare spazio")</f>
        <v>Usa il potenziamento del telefono per liberare spazio</v>
      </c>
      <c r="S299" s="4" t="str">
        <f>IFERROR(__xludf.DUMMYFUNCTION("GOOGLETRANSLATE(B299, ""en"", ""el"")"),"Χρησιμοποιήστε την ώθηση του τηλεφώνου για να απελευθερώσετε χώρο")</f>
        <v>Χρησιμοποιήστε την ώθηση του τηλεφώνου για να απελευθερώσετε χώρο</v>
      </c>
    </row>
    <row r="300" ht="15.75" customHeight="1">
      <c r="A300" s="4" t="s">
        <v>606</v>
      </c>
      <c r="B300" s="4" t="s">
        <v>607</v>
      </c>
      <c r="C300" s="4" t="str">
        <f>IFERROR(__xludf.DUMMYFUNCTION("GOOGLETRANSLATE(B300, ""en"", ""es"")"),"¡Hecho! ¡Impulsado!")</f>
        <v>¡Hecho! ¡Impulsado!</v>
      </c>
      <c r="D300" s="4" t="str">
        <f>IFERROR(__xludf.DUMMYFUNCTION("GOOGLETRANSLATE(B300, ""en"", ""pt"")"),"Feito! Impulsionado!")</f>
        <v>Feito! Impulsionado!</v>
      </c>
      <c r="E300" s="4" t="str">
        <f>IFERROR(__xludf.DUMMYFUNCTION("GOOGLETRANSLATE(B300, ""en"", ""ar"")"),"منتهي! عزز!")</f>
        <v>منتهي! عزز!</v>
      </c>
      <c r="F300" s="4" t="str">
        <f>IFERROR(__xludf.DUMMYFUNCTION("GOOGLETRANSLATE(B300, ""en"", ""km"")"),"រួចរាល់ហើយ! ជំរុញ!")</f>
        <v>រួចរាល់ហើយ! ជំរុញ!</v>
      </c>
      <c r="G300" s="4" t="str">
        <f>IFERROR(__xludf.DUMMYFUNCTION("GOOGLETRANSLATE(B300, ""en"", ""fr"")"),"Terminé! Boosté!")</f>
        <v>Terminé! Boosté!</v>
      </c>
      <c r="H300" s="4" t="str">
        <f>IFERROR(__xludf.DUMMYFUNCTION("GOOGLETRANSLATE(B300, ""en"", ""ro"")"),"Terminat! Boosted!")</f>
        <v>Terminat! Boosted!</v>
      </c>
      <c r="I300" s="4" t="str">
        <f>IFERROR(__xludf.DUMMYFUNCTION("GOOGLETRANSLATE(B300, ""en"", ""my"")"),"ပြီးပြီ တိုးမြှင့်!")</f>
        <v>ပြီးပြီ တိုးမြှင့်!</v>
      </c>
      <c r="J300" s="4" t="str">
        <f>IFERROR(__xludf.DUMMYFUNCTION("GOOGLETRANSLATE(B300, ""en"", ""sw"")"),"Kufanyika! Imeongezeka!")</f>
        <v>Kufanyika! Imeongezeka!</v>
      </c>
      <c r="K300" s="4" t="str">
        <f>IFERROR(__xludf.DUMMYFUNCTION("GOOGLETRANSLATE(B300, ""en"", ""th"")"),"เสร็จแล้ว! กระตุ้น!")</f>
        <v>เสร็จแล้ว! กระตุ้น!</v>
      </c>
      <c r="L300" s="4" t="str">
        <f>IFERROR(__xludf.DUMMYFUNCTION("GOOGLETRANSLATE(B300, ""en"", ""si"")"),"කළා! ඉහළ නැංවීම!")</f>
        <v>කළා! ඉහළ නැංවීම!</v>
      </c>
      <c r="M300" s="4" t="str">
        <f>IFERROR(__xludf.DUMMYFUNCTION("GOOGLETRANSLATE(B300, ""en"", ""vi"")"),"Xong! Boosted!")</f>
        <v>Xong! Boosted!</v>
      </c>
      <c r="N300" s="4" t="str">
        <f>IFERROR(__xludf.DUMMYFUNCTION("GOOGLETRANSLATE(B300, ""en"", ""ne"")"),"पूरा भयो! बढाइएको!")</f>
        <v>पूरा भयो! बढाइएको!</v>
      </c>
      <c r="O300" s="4" t="str">
        <f>IFERROR(__xludf.DUMMYFUNCTION("GOOGLETRANSLATE(B300, ""en"", ""de"")"),"Fertig! Verstärkt!")</f>
        <v>Fertig! Verstärkt!</v>
      </c>
      <c r="P300" s="4" t="str">
        <f>IFERROR(__xludf.DUMMYFUNCTION("GOOGLETRANSLATE(B300, ""en"", ""he"")"),"בוצע! גיינד!")</f>
        <v>בוצע! גיינד!</v>
      </c>
      <c r="Q300" s="4" t="str">
        <f>IFERROR(__xludf.DUMMYFUNCTION("GOOGLETRANSLATE(B300, ""en"", ""cs"")"),"Hotovo! Boosted!")</f>
        <v>Hotovo! Boosted!</v>
      </c>
      <c r="R300" s="4" t="str">
        <f>IFERROR(__xludf.DUMMYFUNCTION("GOOGLETRANSLATE(B300, ""en"", ""it"")"),"Fatto! Aumentato!")</f>
        <v>Fatto! Aumentato!</v>
      </c>
      <c r="S300" s="4" t="str">
        <f>IFERROR(__xludf.DUMMYFUNCTION("GOOGLETRANSLATE(B300, ""en"", ""el"")"),"Εγινε! Ενισχύθηκε!")</f>
        <v>Εγινε! Ενισχύθηκε!</v>
      </c>
    </row>
    <row r="301" ht="15.75" customHeight="1">
      <c r="A301" s="4" t="s">
        <v>608</v>
      </c>
      <c r="B301" s="4" t="s">
        <v>609</v>
      </c>
      <c r="C301" s="4" t="str">
        <f>IFERROR(__xludf.DUMMYFUNCTION("GOOGLETRANSLATE(B301, ""en"", ""es"")"),"Nota")</f>
        <v>Nota</v>
      </c>
      <c r="D301" s="4" t="str">
        <f>IFERROR(__xludf.DUMMYFUNCTION("GOOGLETRANSLATE(B301, ""en"", ""pt"")"),"Observação")</f>
        <v>Observação</v>
      </c>
      <c r="E301" s="4" t="str">
        <f>IFERROR(__xludf.DUMMYFUNCTION("GOOGLETRANSLATE(B301, ""en"", ""ar"")"),"ملحوظة")</f>
        <v>ملحوظة</v>
      </c>
      <c r="F301" s="4" t="str">
        <f>IFERROR(__xludf.DUMMYFUNCTION("GOOGLETRANSLATE(B301, ""en"", ""km"")"),"វិក័យប័រត")</f>
        <v>វិក័យប័រត</v>
      </c>
      <c r="G301" s="4" t="str">
        <f>IFERROR(__xludf.DUMMYFUNCTION("GOOGLETRANSLATE(B301, ""en"", ""fr"")"),"Noter")</f>
        <v>Noter</v>
      </c>
      <c r="H301" s="4" t="str">
        <f>IFERROR(__xludf.DUMMYFUNCTION("GOOGLETRANSLATE(B301, ""en"", ""ro"")"),"Notă")</f>
        <v>Notă</v>
      </c>
      <c r="I301" s="4" t="str">
        <f>IFERROR(__xludf.DUMMYFUNCTION("GOOGLETRANSLATE(B301, ""en"", ""my"")"),"မှတ်ချက်")</f>
        <v>မှတ်ချက်</v>
      </c>
      <c r="J301" s="4" t="str">
        <f>IFERROR(__xludf.DUMMYFUNCTION("GOOGLETRANSLATE(B301, ""en"", ""sw"")"),"Kumbuka")</f>
        <v>Kumbuka</v>
      </c>
      <c r="K301" s="4" t="str">
        <f>IFERROR(__xludf.DUMMYFUNCTION("GOOGLETRANSLATE(B301, ""en"", ""th"")"),"บันทึก")</f>
        <v>บันทึก</v>
      </c>
      <c r="L301" s="4" t="str">
        <f>IFERROR(__xludf.DUMMYFUNCTION("GOOGLETRANSLATE(B301, ""en"", ""si"")"),"සටහන")</f>
        <v>සටහන</v>
      </c>
      <c r="M301" s="4" t="str">
        <f>IFERROR(__xludf.DUMMYFUNCTION("GOOGLETRANSLATE(B301, ""en"", ""vi"")"),"Ghi chú")</f>
        <v>Ghi chú</v>
      </c>
      <c r="N301" s="4" t="str">
        <f>IFERROR(__xludf.DUMMYFUNCTION("GOOGLETRANSLATE(B301, ""en"", ""ne"")"),"नोट")</f>
        <v>नोट</v>
      </c>
      <c r="O301" s="4" t="str">
        <f>IFERROR(__xludf.DUMMYFUNCTION("GOOGLETRANSLATE(B301, ""en"", ""de"")"),"Notiz")</f>
        <v>Notiz</v>
      </c>
      <c r="P301" s="4" t="str">
        <f>IFERROR(__xludf.DUMMYFUNCTION("GOOGLETRANSLATE(B301, ""en"", ""he"")"),"הערה")</f>
        <v>הערה</v>
      </c>
      <c r="Q301" s="4" t="str">
        <f>IFERROR(__xludf.DUMMYFUNCTION("GOOGLETRANSLATE(B301, ""en"", ""cs"")"),"Poznámka")</f>
        <v>Poznámka</v>
      </c>
      <c r="R301" s="4" t="str">
        <f>IFERROR(__xludf.DUMMYFUNCTION("GOOGLETRANSLATE(B301, ""en"", ""it"")"),"Nota")</f>
        <v>Nota</v>
      </c>
      <c r="S301" s="4" t="str">
        <f>IFERROR(__xludf.DUMMYFUNCTION("GOOGLETRANSLATE(B301, ""en"", ""el"")"),"Σημείωση")</f>
        <v>Σημείωση</v>
      </c>
    </row>
    <row r="302" ht="15.75" customHeight="1">
      <c r="A302" s="4" t="s">
        <v>610</v>
      </c>
      <c r="B302" s="4" t="s">
        <v>611</v>
      </c>
      <c r="C302" s="4" t="str">
        <f>IFERROR(__xludf.DUMMYFUNCTION("GOOGLETRANSLATE(B302, ""en"", ""es"")"),"Juego")</f>
        <v>Juego</v>
      </c>
      <c r="D302" s="4" t="str">
        <f>IFERROR(__xludf.DUMMYFUNCTION("GOOGLETRANSLATE(B302, ""en"", ""pt"")"),"Jogo")</f>
        <v>Jogo</v>
      </c>
      <c r="E302" s="4" t="str">
        <f>IFERROR(__xludf.DUMMYFUNCTION("GOOGLETRANSLATE(B302, ""en"", ""ar"")"),"لعبة")</f>
        <v>لعبة</v>
      </c>
      <c r="F302" s="4" t="str">
        <f>IFERROR(__xludf.DUMMYFUNCTION("GOOGLETRANSLATE(B302, ""en"", ""km"")"),"ល្បេង")</f>
        <v>ល្បេង</v>
      </c>
      <c r="G302" s="4" t="str">
        <f>IFERROR(__xludf.DUMMYFUNCTION("GOOGLETRANSLATE(B302, ""en"", ""fr"")"),"Jeu")</f>
        <v>Jeu</v>
      </c>
      <c r="H302" s="4" t="str">
        <f>IFERROR(__xludf.DUMMYFUNCTION("GOOGLETRANSLATE(B302, ""en"", ""ro"")"),"Joc")</f>
        <v>Joc</v>
      </c>
      <c r="I302" s="4" t="str">
        <f>IFERROR(__xludf.DUMMYFUNCTION("GOOGLETRANSLATE(B302, ""en"", ""my"")"),"ဂိမ်း")</f>
        <v>ဂိမ်း</v>
      </c>
      <c r="J302" s="4" t="str">
        <f>IFERROR(__xludf.DUMMYFUNCTION("GOOGLETRANSLATE(B302, ""en"", ""sw"")"),"Mchezo")</f>
        <v>Mchezo</v>
      </c>
      <c r="K302" s="4" t="str">
        <f>IFERROR(__xludf.DUMMYFUNCTION("GOOGLETRANSLATE(B302, ""en"", ""th"")"),"เกม")</f>
        <v>เกม</v>
      </c>
      <c r="L302" s="4" t="str">
        <f>IFERROR(__xludf.DUMMYFUNCTION("GOOGLETRANSLATE(B302, ""en"", ""si"")"),"ක්රීඩාව")</f>
        <v>ක්රීඩාව</v>
      </c>
      <c r="M302" s="4" t="str">
        <f>IFERROR(__xludf.DUMMYFUNCTION("GOOGLETRANSLATE(B302, ""en"", ""vi"")"),"Trò chơi")</f>
        <v>Trò chơi</v>
      </c>
      <c r="N302" s="4" t="str">
        <f>IFERROR(__xludf.DUMMYFUNCTION("GOOGLETRANSLATE(B302, ""en"", ""ne"")"),"शिकार")</f>
        <v>शिकार</v>
      </c>
      <c r="O302" s="4" t="str">
        <f>IFERROR(__xludf.DUMMYFUNCTION("GOOGLETRANSLATE(B302, ""en"", ""de"")"),"Spiel")</f>
        <v>Spiel</v>
      </c>
      <c r="P302" s="4" t="str">
        <f>IFERROR(__xludf.DUMMYFUNCTION("GOOGLETRANSLATE(B302, ""en"", ""he"")"),"מִשְׂחָק")</f>
        <v>מִשְׂחָק</v>
      </c>
      <c r="Q302" s="4" t="str">
        <f>IFERROR(__xludf.DUMMYFUNCTION("GOOGLETRANSLATE(B302, ""en"", ""cs"")"),"Hra")</f>
        <v>Hra</v>
      </c>
      <c r="R302" s="4" t="str">
        <f>IFERROR(__xludf.DUMMYFUNCTION("GOOGLETRANSLATE(B302, ""en"", ""it"")"),"Gioco")</f>
        <v>Gioco</v>
      </c>
      <c r="S302" s="4" t="str">
        <f>IFERROR(__xludf.DUMMYFUNCTION("GOOGLETRANSLATE(B302, ""en"", ""el"")"),"Παιχνίδι")</f>
        <v>Παιχνίδι</v>
      </c>
    </row>
    <row r="303" ht="15.75" customHeight="1">
      <c r="A303" s="4" t="s">
        <v>612</v>
      </c>
      <c r="B303" s="4" t="s">
        <v>613</v>
      </c>
      <c r="C303" s="4" t="str">
        <f>IFERROR(__xludf.DUMMYFUNCTION("GOOGLETRANSLATE(B303, ""en"", ""es"")"),"No se ha encontrado ningún archivo chatarra")</f>
        <v>No se ha encontrado ningún archivo chatarra</v>
      </c>
      <c r="D303" s="4" t="str">
        <f>IFERROR(__xludf.DUMMYFUNCTION("GOOGLETRANSLATE(B303, ""en"", ""pt"")"),"Nenhum arquivo lixo encontrado")</f>
        <v>Nenhum arquivo lixo encontrado</v>
      </c>
      <c r="E303" s="4" t="str">
        <f>IFERROR(__xludf.DUMMYFUNCTION("GOOGLETRANSLATE(B303, ""en"", ""ar"")"),"لم يتم العثور على ملف غير مرغوب فيه")</f>
        <v>لم يتم العثور على ملف غير مرغوب فيه</v>
      </c>
      <c r="F303" s="4" t="str">
        <f>IFERROR(__xludf.DUMMYFUNCTION("GOOGLETRANSLATE(B303, ""en"", ""km"")"),"រកមិនឃើញឯកសារឥតបានការទេ")</f>
        <v>រកមិនឃើញឯកសារឥតបានការទេ</v>
      </c>
      <c r="G303" s="4" t="str">
        <f>IFERROR(__xludf.DUMMYFUNCTION("GOOGLETRANSLATE(B303, ""en"", ""fr"")"),"Aucun fichier indésirable trouvé")</f>
        <v>Aucun fichier indésirable trouvé</v>
      </c>
      <c r="H303" s="4" t="str">
        <f>IFERROR(__xludf.DUMMYFUNCTION("GOOGLETRANSLATE(B303, ""en"", ""ro"")"),"Nu a fost găsit niciun fișier junk")</f>
        <v>Nu a fost găsit niciun fișier junk</v>
      </c>
      <c r="I303" s="4" t="str">
        <f>IFERROR(__xludf.DUMMYFUNCTION("GOOGLETRANSLATE(B303, ""en"", ""my"")"),"အဘယ်သူမျှမ junk file ကိုရှာတွေ့")</f>
        <v>အဘယ်သူမျှမ junk file ကိုရှာတွေ့</v>
      </c>
      <c r="J303" s="4" t="str">
        <f>IFERROR(__xludf.DUMMYFUNCTION("GOOGLETRANSLATE(B303, ""en"", ""sw"")"),"Hakuna faili ya junk iliyopatikana.")</f>
        <v>Hakuna faili ya junk iliyopatikana.</v>
      </c>
      <c r="K303" s="4" t="str">
        <f>IFERROR(__xludf.DUMMYFUNCTION("GOOGLETRANSLATE(B303, ""en"", ""th"")"),"ไม่พบไฟล์ขยะ")</f>
        <v>ไม่พบไฟล์ขยะ</v>
      </c>
      <c r="L303" s="4" t="str">
        <f>IFERROR(__xludf.DUMMYFUNCTION("GOOGLETRANSLATE(B303, ""en"", ""si"")"),"ජන්ක් ගොනුවක් හමු නොවීය")</f>
        <v>ජන්ක් ගොනුවක් හමු නොවීය</v>
      </c>
      <c r="M303" s="4" t="str">
        <f>IFERROR(__xludf.DUMMYFUNCTION("GOOGLETRANSLATE(B303, ""en"", ""vi"")"),"Không tìm thấy tệp rác")</f>
        <v>Không tìm thấy tệp rác</v>
      </c>
      <c r="N303" s="4" t="str">
        <f>IFERROR(__xludf.DUMMYFUNCTION("GOOGLETRANSLATE(B303, ""en"", ""ne"")"),"कुनै जंक फाईल भेटिएन")</f>
        <v>कुनै जंक फाईल भेटिएन</v>
      </c>
      <c r="O303" s="4" t="str">
        <f>IFERROR(__xludf.DUMMYFUNCTION("GOOGLETRANSLATE(B303, ""en"", ""de"")"),"Keine Junk-Datei gefunden")</f>
        <v>Keine Junk-Datei gefunden</v>
      </c>
      <c r="P303" s="4" t="str">
        <f>IFERROR(__xludf.DUMMYFUNCTION("GOOGLETRANSLATE(B303, ""en"", ""he"")"),"לא נמצא קובץ זבל")</f>
        <v>לא נמצא קובץ זבל</v>
      </c>
      <c r="Q303" s="4" t="str">
        <f>IFERROR(__xludf.DUMMYFUNCTION("GOOGLETRANSLATE(B303, ""en"", ""cs"")"),"Nebyl nalezen žádný nevyžádaný soubor")</f>
        <v>Nebyl nalezen žádný nevyžádaný soubor</v>
      </c>
      <c r="R303" s="4" t="str">
        <f>IFERROR(__xludf.DUMMYFUNCTION("GOOGLETRANSLATE(B303, ""en"", ""it"")"),"Nessun file spazzatura trovato")</f>
        <v>Nessun file spazzatura trovato</v>
      </c>
      <c r="S303" s="4" t="str">
        <f>IFERROR(__xludf.DUMMYFUNCTION("GOOGLETRANSLATE(B303, ""en"", ""el"")"),"Δεν βρέθηκε κανένα αρχείο junk")</f>
        <v>Δεν βρέθηκε κανένα αρχείο junk</v>
      </c>
    </row>
    <row r="304" ht="15.75" customHeight="1">
      <c r="A304" s="4" t="s">
        <v>614</v>
      </c>
      <c r="B304" s="4" t="s">
        <v>615</v>
      </c>
      <c r="C304" s="4" t="str">
        <f>IFERROR(__xludf.DUMMYFUNCTION("GOOGLETRANSLATE(B304, ""en"", ""es"")"),"Gerente de notificación")</f>
        <v>Gerente de notificación</v>
      </c>
      <c r="D304" s="4" t="str">
        <f>IFERROR(__xludf.DUMMYFUNCTION("GOOGLETRANSLATE(B304, ""en"", ""pt"")"),"Gerente de notificação")</f>
        <v>Gerente de notificação</v>
      </c>
      <c r="E304" s="4" t="str">
        <f>IFERROR(__xludf.DUMMYFUNCTION("GOOGLETRANSLATE(B304, ""en"", ""ar"")"),"مدير الإعلام")</f>
        <v>مدير الإعلام</v>
      </c>
      <c r="F304" s="4" t="str">
        <f>IFERROR(__xludf.DUMMYFUNCTION("GOOGLETRANSLATE(B304, ""en"", ""km"")"),"កម្មវិធីគ្រប់គ្រងការជូនដំណឹង")</f>
        <v>កម្មវិធីគ្រប់គ្រងការជូនដំណឹង</v>
      </c>
      <c r="G304" s="4" t="str">
        <f>IFERROR(__xludf.DUMMYFUNCTION("GOOGLETRANSLATE(B304, ""en"", ""fr"")"),"Gestionnaire de notification")</f>
        <v>Gestionnaire de notification</v>
      </c>
      <c r="H304" s="4" t="str">
        <f>IFERROR(__xludf.DUMMYFUNCTION("GOOGLETRANSLATE(B304, ""en"", ""ro"")"),"Manager de notificare")</f>
        <v>Manager de notificare</v>
      </c>
      <c r="I304" s="4" t="str">
        <f>IFERROR(__xludf.DUMMYFUNCTION("GOOGLETRANSLATE(B304, ""en"", ""my"")"),"အသိပေးချက်မန်နေဂျာ")</f>
        <v>အသိပေးချက်မန်နေဂျာ</v>
      </c>
      <c r="J304" s="4" t="str">
        <f>IFERROR(__xludf.DUMMYFUNCTION("GOOGLETRANSLATE(B304, ""en"", ""sw"")"),"Meneja wa Arifa.")</f>
        <v>Meneja wa Arifa.</v>
      </c>
      <c r="K304" s="4" t="str">
        <f>IFERROR(__xludf.DUMMYFUNCTION("GOOGLETRANSLATE(B304, ""en"", ""th"")"),"ผู้จัดการการแจ้งเตือน")</f>
        <v>ผู้จัดการการแจ้งเตือน</v>
      </c>
      <c r="L304" s="4" t="str">
        <f>IFERROR(__xludf.DUMMYFUNCTION("GOOGLETRANSLATE(B304, ""en"", ""si"")"),"දැනුම්දීම් කළමනාකරු")</f>
        <v>දැනුම්දීම් කළමනාකරු</v>
      </c>
      <c r="M304" s="4" t="str">
        <f>IFERROR(__xludf.DUMMYFUNCTION("GOOGLETRANSLATE(B304, ""en"", ""vi"")"),"Quản lý thông báo")</f>
        <v>Quản lý thông báo</v>
      </c>
      <c r="N304" s="4" t="str">
        <f>IFERROR(__xludf.DUMMYFUNCTION("GOOGLETRANSLATE(B304, ""en"", ""ne"")"),"सूचना प्रबन्धक")</f>
        <v>सूचना प्रबन्धक</v>
      </c>
      <c r="O304" s="4" t="str">
        <f>IFERROR(__xludf.DUMMYFUNCTION("GOOGLETRANSLATE(B304, ""en"", ""de"")"),"Benachrichtigungsmanager")</f>
        <v>Benachrichtigungsmanager</v>
      </c>
      <c r="P304" s="4" t="str">
        <f>IFERROR(__xludf.DUMMYFUNCTION("GOOGLETRANSLATE(B304, ""en"", ""he"")"),"מנהל ההודעות")</f>
        <v>מנהל ההודעות</v>
      </c>
      <c r="Q304" s="4" t="str">
        <f>IFERROR(__xludf.DUMMYFUNCTION("GOOGLETRANSLATE(B304, ""en"", ""cs"")"),"Správce oznámení")</f>
        <v>Správce oznámení</v>
      </c>
      <c r="R304" s="4" t="str">
        <f>IFERROR(__xludf.DUMMYFUNCTION("GOOGLETRANSLATE(B304, ""en"", ""it"")"),"Gestione notifiche")</f>
        <v>Gestione notifiche</v>
      </c>
      <c r="S304" s="4" t="str">
        <f>IFERROR(__xludf.DUMMYFUNCTION("GOOGLETRANSLATE(B304, ""en"", ""el"")"),"Διαχειριστής ειδοποιήσεων")</f>
        <v>Διαχειριστής ειδοποιήσεων</v>
      </c>
    </row>
    <row r="305" ht="15.75" customHeight="1">
      <c r="A305" s="4" t="s">
        <v>616</v>
      </c>
      <c r="B305" s="4" t="s">
        <v>617</v>
      </c>
      <c r="C305" s="4" t="str">
        <f>IFERROR(__xludf.DUMMYFUNCTION("GOOGLETRANSLATE(B305, ""en"", ""es"")"),"Apess inútiles")</f>
        <v>Apess inútiles</v>
      </c>
      <c r="D305" s="4" t="str">
        <f>IFERROR(__xludf.DUMMYFUNCTION("GOOGLETRANSLATE(B305, ""en"", ""pt"")"),"Apks inúteis.")</f>
        <v>Apks inúteis.</v>
      </c>
      <c r="E305" s="4" t="str">
        <f>IFERROR(__xludf.DUMMYFUNCTION("GOOGLETRANSLATE(B305, ""en"", ""ar"")"),"apks عديمة الفائدة")</f>
        <v>apks عديمة الفائدة</v>
      </c>
      <c r="F305" s="4" t="str">
        <f>IFERROR(__xludf.DUMMYFUNCTION("GOOGLETRANSLATE(B305, ""en"", ""km"")"),"apks ដែលគ្មានប្រយោជន៍")</f>
        <v>apks ដែលគ្មានប្រយោជន៍</v>
      </c>
      <c r="G305" s="4" t="str">
        <f>IFERROR(__xludf.DUMMYFUNCTION("GOOGLETRANSLATE(B305, ""en"", ""fr"")"),"Apks inutiles")</f>
        <v>Apks inutiles</v>
      </c>
      <c r="H305" s="4" t="str">
        <f>IFERROR(__xludf.DUMMYFUNCTION("GOOGLETRANSLATE(B305, ""en"", ""ro"")"),"Apks inutil")</f>
        <v>Apks inutil</v>
      </c>
      <c r="I305" s="4" t="str">
        <f>IFERROR(__xludf.DUMMYFUNCTION("GOOGLETRANSLATE(B305, ""en"", ""my"")"),"အသုံးမကျ apks")</f>
        <v>အသုံးမကျ apks</v>
      </c>
      <c r="J305" s="4" t="str">
        <f>IFERROR(__xludf.DUMMYFUNCTION("GOOGLETRANSLATE(B305, ""en"", ""sw"")"),"APKS zisizofaa")</f>
        <v>APKS zisizofaa</v>
      </c>
      <c r="K305" s="4" t="str">
        <f>IFERROR(__xludf.DUMMYFUNCTION("GOOGLETRANSLATE(B305, ""en"", ""th"")"),"apks ไร้ประโยชน์")</f>
        <v>apks ไร้ประโยชน์</v>
      </c>
      <c r="L305" s="4" t="str">
        <f>IFERROR(__xludf.DUMMYFUNCTION("GOOGLETRANSLATE(B305, ""en"", ""si"")"),"නිෂ් less ල apks")</f>
        <v>නිෂ් less ල apks</v>
      </c>
      <c r="M305" s="4" t="str">
        <f>IFERROR(__xludf.DUMMYFUNCTION("GOOGLETRANSLATE(B305, ""en"", ""vi"")"),"Apks vô dụng")</f>
        <v>Apks vô dụng</v>
      </c>
      <c r="N305" s="4" t="str">
        <f>IFERROR(__xludf.DUMMYFUNCTION("GOOGLETRANSLATE(B305, ""en"", ""ne"")"),"बेकार एपीक्स")</f>
        <v>बेकार एपीक्स</v>
      </c>
      <c r="O305" s="4" t="str">
        <f>IFERROR(__xludf.DUMMYFUNCTION("GOOGLETRANSLATE(B305, ""en"", ""de"")"),"Nutzlose apks.")</f>
        <v>Nutzlose apks.</v>
      </c>
      <c r="P305" s="4" t="str">
        <f>IFERROR(__xludf.DUMMYFUNCTION("GOOGLETRANSLATE(B305, ""en"", ""he"")"),"Apks חסר תועלת")</f>
        <v>Apks חסר תועלת</v>
      </c>
      <c r="Q305" s="4" t="str">
        <f>IFERROR(__xludf.DUMMYFUNCTION("GOOGLETRANSLATE(B305, ""en"", ""cs"")"),"Zbytečné apks.")</f>
        <v>Zbytečné apks.</v>
      </c>
      <c r="R305" s="4" t="str">
        <f>IFERROR(__xludf.DUMMYFUNCTION("GOOGLETRANSLATE(B305, ""en"", ""it"")"),"APK inutili")</f>
        <v>APK inutili</v>
      </c>
      <c r="S305" s="4" t="str">
        <f>IFERROR(__xludf.DUMMYFUNCTION("GOOGLETRANSLATE(B305, ""en"", ""el"")"),"Άχρηστοι apks")</f>
        <v>Άχρηστοι apks</v>
      </c>
    </row>
    <row r="306" ht="15.75" customHeight="1">
      <c r="A306" s="4" t="s">
        <v>618</v>
      </c>
      <c r="B306" s="4" t="s">
        <v>619</v>
      </c>
      <c r="C306" s="4" t="str">
        <f>IFERROR(__xludf.DUMMYFUNCTION("GOOGLETRANSLATE(B306, ""en"", ""es"")"),"La batería está llena")</f>
        <v>La batería está llena</v>
      </c>
      <c r="D306" s="4" t="str">
        <f>IFERROR(__xludf.DUMMYFUNCTION("GOOGLETRANSLATE(B306, ""en"", ""pt"")"),"A bateria está cheia")</f>
        <v>A bateria está cheia</v>
      </c>
      <c r="E306" s="4" t="str">
        <f>IFERROR(__xludf.DUMMYFUNCTION("GOOGLETRANSLATE(B306, ""en"", ""ar"")"),"البطارية ممتلئ")</f>
        <v>البطارية ممتلئ</v>
      </c>
      <c r="F306" s="4" t="str">
        <f>IFERROR(__xludf.DUMMYFUNCTION("GOOGLETRANSLATE(B306, ""en"", ""km"")"),"ថ្មពេញហើយ")</f>
        <v>ថ្មពេញហើយ</v>
      </c>
      <c r="G306" s="4" t="str">
        <f>IFERROR(__xludf.DUMMYFUNCTION("GOOGLETRANSLATE(B306, ""en"", ""fr"")"),"La batterie est pleine")</f>
        <v>La batterie est pleine</v>
      </c>
      <c r="H306" s="4" t="str">
        <f>IFERROR(__xludf.DUMMYFUNCTION("GOOGLETRANSLATE(B306, ""en"", ""ro"")"),"Bateria este plină")</f>
        <v>Bateria este plină</v>
      </c>
      <c r="I306" s="4" t="str">
        <f>IFERROR(__xludf.DUMMYFUNCTION("GOOGLETRANSLATE(B306, ""en"", ""my"")"),"ဘက်ထရီပြည့်နေတယ်")</f>
        <v>ဘက်ထရီပြည့်နေတယ်</v>
      </c>
      <c r="J306" s="4" t="str">
        <f>IFERROR(__xludf.DUMMYFUNCTION("GOOGLETRANSLATE(B306, ""en"", ""sw"")"),"Battery imejaa")</f>
        <v>Battery imejaa</v>
      </c>
      <c r="K306" s="4" t="str">
        <f>IFERROR(__xludf.DUMMYFUNCTION("GOOGLETRANSLATE(B306, ""en"", ""th"")"),"แบตเตอรี่เต็ม")</f>
        <v>แบตเตอรี่เต็ม</v>
      </c>
      <c r="L306" s="4" t="str">
        <f>IFERROR(__xludf.DUMMYFUNCTION("GOOGLETRANSLATE(B306, ""en"", ""si"")"),"බැටරිය පිරී ඇත")</f>
        <v>බැටරිය පිරී ඇත</v>
      </c>
      <c r="M306" s="4" t="str">
        <f>IFERROR(__xludf.DUMMYFUNCTION("GOOGLETRANSLATE(B306, ""en"", ""vi"")"),"Pin đã đầy")</f>
        <v>Pin đã đầy</v>
      </c>
      <c r="N306" s="4" t="str">
        <f>IFERROR(__xludf.DUMMYFUNCTION("GOOGLETRANSLATE(B306, ""en"", ""ne"")"),"ब्याट्री भरिएको छ")</f>
        <v>ब्याट्री भरिएको छ</v>
      </c>
      <c r="O306" s="4" t="str">
        <f>IFERROR(__xludf.DUMMYFUNCTION("GOOGLETRANSLATE(B306, ""en"", ""de"")"),"Batterie ist voll")</f>
        <v>Batterie ist voll</v>
      </c>
      <c r="P306" s="4" t="str">
        <f>IFERROR(__xludf.DUMMYFUNCTION("GOOGLETRANSLATE(B306, ""en"", ""he"")"),"הסוללה מלאה")</f>
        <v>הסוללה מלאה</v>
      </c>
      <c r="Q306" s="4" t="str">
        <f>IFERROR(__xludf.DUMMYFUNCTION("GOOGLETRANSLATE(B306, ""en"", ""cs"")"),"Baterie je plná")</f>
        <v>Baterie je plná</v>
      </c>
      <c r="R306" s="4" t="str">
        <f>IFERROR(__xludf.DUMMYFUNCTION("GOOGLETRANSLATE(B306, ""en"", ""it"")"),"La batteria è piena")</f>
        <v>La batteria è piena</v>
      </c>
      <c r="S306" s="4" t="str">
        <f>IFERROR(__xludf.DUMMYFUNCTION("GOOGLETRANSLATE(B306, ""en"", ""el"")"),"Η μπαταρία είναι γεμάτη")</f>
        <v>Η μπαταρία είναι γεμάτη</v>
      </c>
    </row>
    <row r="307" ht="15.75" customHeight="1">
      <c r="A307" s="4" t="s">
        <v>620</v>
      </c>
      <c r="B307" s="4" t="s">
        <v>621</v>
      </c>
      <c r="C307" s="4" t="str">
        <f>IFERROR(__xludf.DUMMYFUNCTION("GOOGLETRANSLATE(B307, ""en"", ""es"")"),"%")</f>
        <v>%</v>
      </c>
      <c r="D307" s="4" t="str">
        <f>IFERROR(__xludf.DUMMYFUNCTION("GOOGLETRANSLATE(B307, ""en"", ""pt"")"),"%")</f>
        <v>%</v>
      </c>
      <c r="E307" s="4" t="str">
        <f>IFERROR(__xludf.DUMMYFUNCTION("GOOGLETRANSLATE(B307, ""en"", ""ar"")"),"٪")</f>
        <v>٪</v>
      </c>
      <c r="F307" s="4" t="str">
        <f>IFERROR(__xludf.DUMMYFUNCTION("GOOGLETRANSLATE(B307, ""en"", ""km"")"),"%")</f>
        <v>%</v>
      </c>
      <c r="G307" s="4" t="str">
        <f>IFERROR(__xludf.DUMMYFUNCTION("GOOGLETRANSLATE(B307, ""en"", ""fr"")"),"%")</f>
        <v>%</v>
      </c>
      <c r="H307" s="4" t="str">
        <f>IFERROR(__xludf.DUMMYFUNCTION("GOOGLETRANSLATE(B307, ""en"", ""ro"")"),"Ondulație")</f>
        <v>Ondulație</v>
      </c>
      <c r="I307" s="4" t="str">
        <f>IFERROR(__xludf.DUMMYFUNCTION("GOOGLETRANSLATE(B307, ""en"", ""my"")"),"%")</f>
        <v>%</v>
      </c>
      <c r="J307" s="4" t="str">
        <f>IFERROR(__xludf.DUMMYFUNCTION("GOOGLETRANSLATE(B307, ""en"", ""sw"")"),"-")</f>
        <v>-</v>
      </c>
      <c r="K307" s="4" t="str">
        <f>IFERROR(__xludf.DUMMYFUNCTION("GOOGLETRANSLATE(B307, ""en"", ""th"")"),"%")</f>
        <v>%</v>
      </c>
      <c r="L307" s="4" t="str">
        <f>IFERROR(__xludf.DUMMYFUNCTION("GOOGLETRANSLATE(B307, ""en"", ""si"")"),"%")</f>
        <v>%</v>
      </c>
      <c r="M307" s="4" t="str">
        <f>IFERROR(__xludf.DUMMYFUNCTION("GOOGLETRANSLATE(B307, ""en"", ""vi"")"),"%")</f>
        <v>%</v>
      </c>
      <c r="N307" s="4" t="str">
        <f>IFERROR(__xludf.DUMMYFUNCTION("GOOGLETRANSLATE(B307, ""en"", ""ne"")"),"%")</f>
        <v>%</v>
      </c>
      <c r="O307" s="4" t="str">
        <f>IFERROR(__xludf.DUMMYFUNCTION("GOOGLETRANSLATE(B307, ""en"", ""de"")"),"%")</f>
        <v>%</v>
      </c>
      <c r="P307" s="4" t="str">
        <f>IFERROR(__xludf.DUMMYFUNCTION("GOOGLETRANSLATE(B307, ""en"", ""he"")"),"-")</f>
        <v>-</v>
      </c>
      <c r="Q307" s="4" t="str">
        <f>IFERROR(__xludf.DUMMYFUNCTION("GOOGLETRANSLATE(B307, ""en"", ""cs"")"),"%")</f>
        <v>%</v>
      </c>
      <c r="R307" s="4" t="str">
        <f>IFERROR(__xludf.DUMMYFUNCTION("GOOGLETRANSLATE(B307, ""en"", ""it"")"),"%")</f>
        <v>%</v>
      </c>
      <c r="S307" s="4" t="str">
        <f>IFERROR(__xludf.DUMMYFUNCTION("GOOGLETRANSLATE(B307, ""en"", ""el"")"),"%")</f>
        <v>%</v>
      </c>
    </row>
    <row r="308" ht="15.75" customHeight="1">
      <c r="A308" s="4" t="s">
        <v>622</v>
      </c>
      <c r="B308" s="4" t="s">
        <v>623</v>
      </c>
      <c r="C308" s="4" t="str">
        <f>IFERROR(__xludf.DUMMYFUNCTION("GOOGLETRANSLATE(B308, ""en"", ""es"")"),"ROM")</f>
        <v>ROM</v>
      </c>
      <c r="D308" s="4" t="str">
        <f>IFERROR(__xludf.DUMMYFUNCTION("GOOGLETRANSLATE(B308, ""en"", ""pt"")"),"ROM")</f>
        <v>ROM</v>
      </c>
      <c r="E308" s="4" t="str">
        <f>IFERROR(__xludf.DUMMYFUNCTION("GOOGLETRANSLATE(B308, ""en"", ""ar"")"),"ذاكرة للقراءة فقط")</f>
        <v>ذاكرة للقراءة فقط</v>
      </c>
      <c r="F308" s="4" t="str">
        <f>IFERROR(__xludf.DUMMYFUNCTION("GOOGLETRANSLATE(B308, ""en"", ""km"")"),"រ៉ូម")</f>
        <v>រ៉ូម</v>
      </c>
      <c r="G308" s="4" t="str">
        <f>IFERROR(__xludf.DUMMYFUNCTION("GOOGLETRANSLATE(B308, ""en"", ""fr"")"),"ROM")</f>
        <v>ROM</v>
      </c>
      <c r="H308" s="4" t="str">
        <f>IFERROR(__xludf.DUMMYFUNCTION("GOOGLETRANSLATE(B308, ""en"", ""ro"")"),"rom")</f>
        <v>rom</v>
      </c>
      <c r="I308" s="4" t="str">
        <f>IFERROR(__xludf.DUMMYFUNCTION("GOOGLETRANSLATE(B308, ""en"", ""my"")"),"ရွမ်")</f>
        <v>ရွမ်</v>
      </c>
      <c r="J308" s="4" t="str">
        <f>IFERROR(__xludf.DUMMYFUNCTION("GOOGLETRANSLATE(B308, ""en"", ""sw"")"),"Rom.")</f>
        <v>Rom.</v>
      </c>
      <c r="K308" s="4" t="str">
        <f>IFERROR(__xludf.DUMMYFUNCTION("GOOGLETRANSLATE(B308, ""en"", ""th"")"),"รอม")</f>
        <v>รอม</v>
      </c>
      <c r="L308" s="4" t="str">
        <f>IFERROR(__xludf.DUMMYFUNCTION("GOOGLETRANSLATE(B308, ""en"", ""si"")"),"ROM")</f>
        <v>ROM</v>
      </c>
      <c r="M308" s="4" t="str">
        <f>IFERROR(__xludf.DUMMYFUNCTION("GOOGLETRANSLATE(B308, ""en"", ""vi"")"),"Rom.")</f>
        <v>Rom.</v>
      </c>
      <c r="N308" s="4" t="str">
        <f>IFERROR(__xludf.DUMMYFUNCTION("GOOGLETRANSLATE(B308, ""en"", ""ne"")"),"रोम")</f>
        <v>रोम</v>
      </c>
      <c r="O308" s="4" t="str">
        <f>IFERROR(__xludf.DUMMYFUNCTION("GOOGLETRANSLATE(B308, ""en"", ""de"")"),"Rom")</f>
        <v>Rom</v>
      </c>
      <c r="P308" s="4" t="str">
        <f>IFERROR(__xludf.DUMMYFUNCTION("GOOGLETRANSLATE(B308, ""en"", ""he"")"),"רוּם")</f>
        <v>רוּם</v>
      </c>
      <c r="Q308" s="4" t="str">
        <f>IFERROR(__xludf.DUMMYFUNCTION("GOOGLETRANSLATE(B308, ""en"", ""cs"")"),"Rom")</f>
        <v>Rom</v>
      </c>
      <c r="R308" s="4" t="str">
        <f>IFERROR(__xludf.DUMMYFUNCTION("GOOGLETRANSLATE(B308, ""en"", ""it"")"),"rom")</f>
        <v>rom</v>
      </c>
      <c r="S308" s="4" t="str">
        <f>IFERROR(__xludf.DUMMYFUNCTION("GOOGLETRANSLATE(B308, ""en"", ""el"")"),"Rom")</f>
        <v>Rom</v>
      </c>
    </row>
    <row r="309" ht="15.75" customHeight="1">
      <c r="A309" s="4" t="s">
        <v>624</v>
      </c>
      <c r="B309" s="4" t="s">
        <v>625</v>
      </c>
      <c r="C309" s="4" t="str">
        <f>IFERROR(__xludf.DUMMYFUNCTION("GOOGLETRANSLATE(B309, ""en"", ""es"")"),"Asegurar la aplicación")</f>
        <v>Asegurar la aplicación</v>
      </c>
      <c r="D309" s="4" t="str">
        <f>IFERROR(__xludf.DUMMYFUNCTION("GOOGLETRANSLATE(B309, ""en"", ""pt"")"),"App seguro")</f>
        <v>App seguro</v>
      </c>
      <c r="E309" s="4" t="str">
        <f>IFERROR(__xludf.DUMMYFUNCTION("GOOGLETRANSLATE(B309, ""en"", ""ar"")"),"التطبيق آمن")</f>
        <v>التطبيق آمن</v>
      </c>
      <c r="F309" s="4" t="str">
        <f>IFERROR(__xludf.DUMMYFUNCTION("GOOGLETRANSLATE(B309, ""en"", ""km"")"),"កម្មវិធីមានសុវត្ថិភាព")</f>
        <v>កម្មវិធីមានសុវត្ថិភាព</v>
      </c>
      <c r="G309" s="4" t="str">
        <f>IFERROR(__xludf.DUMMYFUNCTION("GOOGLETRANSLATE(B309, ""en"", ""fr"")"),"App sécurité")</f>
        <v>App sécurité</v>
      </c>
      <c r="H309" s="4" t="str">
        <f>IFERROR(__xludf.DUMMYFUNCTION("GOOGLETRANSLATE(B309, ""en"", ""ro"")"),"App Secure")</f>
        <v>App Secure</v>
      </c>
      <c r="I309" s="4" t="str">
        <f>IFERROR(__xludf.DUMMYFUNCTION("GOOGLETRANSLATE(B309, ""en"", ""my"")"),"အက်ပလီကေးရှင်း")</f>
        <v>အက်ပလီကေးရှင်း</v>
      </c>
      <c r="J309" s="4" t="str">
        <f>IFERROR(__xludf.DUMMYFUNCTION("GOOGLETRANSLATE(B309, ""en"", ""sw"")"),"Programu salama.")</f>
        <v>Programu salama.</v>
      </c>
      <c r="K309" s="4" t="str">
        <f>IFERROR(__xludf.DUMMYFUNCTION("GOOGLETRANSLATE(B309, ""en"", ""th"")"),"แอพที่ปลอดภัย")</f>
        <v>แอพที่ปลอดภัย</v>
      </c>
      <c r="L309" s="4" t="str">
        <f>IFERROR(__xludf.DUMMYFUNCTION("GOOGLETRANSLATE(B309, ""en"", ""si"")"),"යෙදුම ආරක්ෂිතයි")</f>
        <v>යෙදුම ආරක්ෂිතයි</v>
      </c>
      <c r="M309" s="4" t="str">
        <f>IFERROR(__xludf.DUMMYFUNCTION("GOOGLETRANSLATE(B309, ""en"", ""vi"")"),"Ứng dụng an toàn")</f>
        <v>Ứng dụng an toàn</v>
      </c>
      <c r="N309" s="4" t="str">
        <f>IFERROR(__xludf.DUMMYFUNCTION("GOOGLETRANSLATE(B309, ""en"", ""ne"")"),"अनुप्रयोग सुरक्षित")</f>
        <v>अनुप्रयोग सुरक्षित</v>
      </c>
      <c r="O309" s="4" t="str">
        <f>IFERROR(__xludf.DUMMYFUNCTION("GOOGLETRANSLATE(B309, ""en"", ""de"")"),"App Secure.")</f>
        <v>App Secure.</v>
      </c>
      <c r="P309" s="4" t="str">
        <f>IFERROR(__xludf.DUMMYFUNCTION("GOOGLETRANSLATE(B309, ""en"", ""he"")"),"יישום מאובטח")</f>
        <v>יישום מאובטח</v>
      </c>
      <c r="Q309" s="4" t="str">
        <f>IFERROR(__xludf.DUMMYFUNCTION("GOOGLETRANSLATE(B309, ""en"", ""cs"")"),"Aplikace Secure.")</f>
        <v>Aplikace Secure.</v>
      </c>
      <c r="R309" s="4" t="str">
        <f>IFERROR(__xludf.DUMMYFUNCTION("GOOGLETRANSLATE(B309, ""en"", ""it"")"),"APP SECURE.")</f>
        <v>APP SECURE.</v>
      </c>
      <c r="S309" s="4" t="str">
        <f>IFERROR(__xludf.DUMMYFUNCTION("GOOGLETRANSLATE(B309, ""en"", ""el"")"),"Ασφαλής εφαρμογή")</f>
        <v>Ασφαλής εφαρμογή</v>
      </c>
    </row>
    <row r="310" ht="15.75" customHeight="1">
      <c r="A310" s="4" t="s">
        <v>626</v>
      </c>
      <c r="B310" s="4" t="s">
        <v>368</v>
      </c>
      <c r="C310" s="4" t="str">
        <f>IFERROR(__xludf.DUMMYFUNCTION("GOOGLETRANSLATE(B310, ""en"", ""es"")"),"¡Finalizado!")</f>
        <v>¡Finalizado!</v>
      </c>
      <c r="D310" s="4" t="str">
        <f>IFERROR(__xludf.DUMMYFUNCTION("GOOGLETRANSLATE(B310, ""en"", ""pt"")"),"Finalizado!")</f>
        <v>Finalizado!</v>
      </c>
      <c r="E310" s="4" t="str">
        <f>IFERROR(__xludf.DUMMYFUNCTION("GOOGLETRANSLATE(B310, ""en"", ""ar"")"),"تم الانتهاء من!")</f>
        <v>تم الانتهاء من!</v>
      </c>
      <c r="F310" s="4" t="str">
        <f>IFERROR(__xludf.DUMMYFUNCTION("GOOGLETRANSLATE(B310, ""en"", ""km"")"),"ចប់ហើយ!")</f>
        <v>ចប់ហើយ!</v>
      </c>
      <c r="G310" s="4" t="str">
        <f>IFERROR(__xludf.DUMMYFUNCTION("GOOGLETRANSLATE(B310, ""en"", ""fr"")"),"Fini!")</f>
        <v>Fini!</v>
      </c>
      <c r="H310" s="4" t="str">
        <f>IFERROR(__xludf.DUMMYFUNCTION("GOOGLETRANSLATE(B310, ""en"", ""ro"")"),"Terminat!")</f>
        <v>Terminat!</v>
      </c>
      <c r="I310" s="4" t="str">
        <f>IFERROR(__xludf.DUMMYFUNCTION("GOOGLETRANSLATE(B310, ""en"", ""my"")"),"ပြီးပြီ")</f>
        <v>ပြီးပြီ</v>
      </c>
      <c r="J310" s="4" t="str">
        <f>IFERROR(__xludf.DUMMYFUNCTION("GOOGLETRANSLATE(B310, ""en"", ""sw"")"),"Imekamilika!")</f>
        <v>Imekamilika!</v>
      </c>
      <c r="K310" s="4" t="str">
        <f>IFERROR(__xludf.DUMMYFUNCTION("GOOGLETRANSLATE(B310, ""en"", ""th"")"),"ที่เสร็จเรียบร้อย!")</f>
        <v>ที่เสร็จเรียบร้อย!</v>
      </c>
      <c r="L310" s="4" t="str">
        <f>IFERROR(__xludf.DUMMYFUNCTION("GOOGLETRANSLATE(B310, ""en"", ""si"")"),"අවසන්!")</f>
        <v>අවසන්!</v>
      </c>
      <c r="M310" s="4" t="str">
        <f>IFERROR(__xludf.DUMMYFUNCTION("GOOGLETRANSLATE(B310, ""en"", ""vi"")"),"Hoàn thành!")</f>
        <v>Hoàn thành!</v>
      </c>
      <c r="N310" s="4" t="str">
        <f>IFERROR(__xludf.DUMMYFUNCTION("GOOGLETRANSLATE(B310, ""en"", ""ne"")"),"समाप्त भयो!")</f>
        <v>समाप्त भयो!</v>
      </c>
      <c r="O310" s="4" t="str">
        <f>IFERROR(__xludf.DUMMYFUNCTION("GOOGLETRANSLATE(B310, ""en"", ""de"")"),"Fertig!")</f>
        <v>Fertig!</v>
      </c>
      <c r="P310" s="4" t="str">
        <f>IFERROR(__xludf.DUMMYFUNCTION("GOOGLETRANSLATE(B310, ""en"", ""he"")"),"גָמוּר!")</f>
        <v>גָמוּר!</v>
      </c>
      <c r="Q310" s="4" t="str">
        <f>IFERROR(__xludf.DUMMYFUNCTION("GOOGLETRANSLATE(B310, ""en"", ""cs"")"),"Dokončeno!")</f>
        <v>Dokončeno!</v>
      </c>
      <c r="R310" s="4" t="str">
        <f>IFERROR(__xludf.DUMMYFUNCTION("GOOGLETRANSLATE(B310, ""en"", ""it"")"),"Finito!")</f>
        <v>Finito!</v>
      </c>
      <c r="S310" s="4" t="str">
        <f>IFERROR(__xludf.DUMMYFUNCTION("GOOGLETRANSLATE(B310, ""en"", ""el"")"),"Πεπερασμένος!")</f>
        <v>Πεπερασμένος!</v>
      </c>
    </row>
    <row r="311" ht="15.75" customHeight="1">
      <c r="A311" s="4" t="s">
        <v>627</v>
      </c>
      <c r="B311" s="4" t="s">
        <v>628</v>
      </c>
      <c r="C311" s="4" t="str">
        <f>IFERROR(__xludf.DUMMYFUNCTION("GOOGLETRANSLATE(B311, ""en"", ""es"")"),"OK")</f>
        <v>OK</v>
      </c>
      <c r="D311" s="4" t="str">
        <f>IFERROR(__xludf.DUMMYFUNCTION("GOOGLETRANSLATE(B311, ""en"", ""pt"")"),"OK")</f>
        <v>OK</v>
      </c>
      <c r="E311" s="4" t="str">
        <f>IFERROR(__xludf.DUMMYFUNCTION("GOOGLETRANSLATE(B311, ""en"", ""ar"")"),"نعم")</f>
        <v>نعم</v>
      </c>
      <c r="F311" s="4" t="str">
        <f>IFERROR(__xludf.DUMMYFUNCTION("GOOGLETRANSLATE(B311, ""en"", ""km"")"),"យល់ព្រម")</f>
        <v>យល់ព្រម</v>
      </c>
      <c r="G311" s="4" t="str">
        <f>IFERROR(__xludf.DUMMYFUNCTION("GOOGLETRANSLATE(B311, ""en"", ""fr"")"),"d'accord")</f>
        <v>d'accord</v>
      </c>
      <c r="H311" s="4" t="str">
        <f>IFERROR(__xludf.DUMMYFUNCTION("GOOGLETRANSLATE(B311, ""en"", ""ro"")"),"Bine")</f>
        <v>Bine</v>
      </c>
      <c r="I311" s="4" t="str">
        <f>IFERROR(__xludf.DUMMYFUNCTION("GOOGLETRANSLATE(B311, ""en"", ""my"")"),"အိုကေ")</f>
        <v>အိုကေ</v>
      </c>
      <c r="J311" s="4" t="str">
        <f>IFERROR(__xludf.DUMMYFUNCTION("GOOGLETRANSLATE(B311, ""en"", ""sw"")"),"sawa")</f>
        <v>sawa</v>
      </c>
      <c r="K311" s="4" t="str">
        <f>IFERROR(__xludf.DUMMYFUNCTION("GOOGLETRANSLATE(B311, ""en"", ""th"")"),"ตกลง")</f>
        <v>ตกลง</v>
      </c>
      <c r="L311" s="4" t="str">
        <f>IFERROR(__xludf.DUMMYFUNCTION("GOOGLETRANSLATE(B311, ""en"", ""si"")"),"හරි")</f>
        <v>හරි</v>
      </c>
      <c r="M311" s="4" t="str">
        <f>IFERROR(__xludf.DUMMYFUNCTION("GOOGLETRANSLATE(B311, ""en"", ""vi"")"),"VÂNG")</f>
        <v>VÂNG</v>
      </c>
      <c r="N311" s="4" t="str">
        <f>IFERROR(__xludf.DUMMYFUNCTION("GOOGLETRANSLATE(B311, ""en"", ""ne"")"),"ठिक छ")</f>
        <v>ठिक छ</v>
      </c>
      <c r="O311" s="4" t="str">
        <f>IFERROR(__xludf.DUMMYFUNCTION("GOOGLETRANSLATE(B311, ""en"", ""de"")"),"OK")</f>
        <v>OK</v>
      </c>
      <c r="P311" s="4" t="str">
        <f>IFERROR(__xludf.DUMMYFUNCTION("GOOGLETRANSLATE(B311, ""en"", ""he"")"),"בסדר")</f>
        <v>בסדר</v>
      </c>
      <c r="Q311" s="4" t="str">
        <f>IFERROR(__xludf.DUMMYFUNCTION("GOOGLETRANSLATE(B311, ""en"", ""cs"")"),"OK")</f>
        <v>OK</v>
      </c>
      <c r="R311" s="4" t="str">
        <f>IFERROR(__xludf.DUMMYFUNCTION("GOOGLETRANSLATE(B311, ""en"", ""it"")"),"ok")</f>
        <v>ok</v>
      </c>
      <c r="S311" s="4" t="str">
        <f>IFERROR(__xludf.DUMMYFUNCTION("GOOGLETRANSLATE(B311, ""en"", ""el"")"),"Εντάξει")</f>
        <v>Εντάξει</v>
      </c>
    </row>
    <row r="312" ht="15.75" customHeight="1">
      <c r="A312" s="4" t="s">
        <v>629</v>
      </c>
      <c r="B312" s="4" t="s">
        <v>630</v>
      </c>
      <c r="C312" s="4" t="str">
        <f>IFERROR(__xludf.DUMMYFUNCTION("GOOGLETRANSLATE(B312, ""en"", ""es"")"),"Esta aplicación puede ver el número que se está marcando durante una llamada saliente con la opción de redirigir la llamada a un número diferente o abortar la llamada por completo. Esto puede agregar cargos al plan de datos y es un alto riesgo de privacid"&amp;"ad.")</f>
        <v>Esta aplicación puede ver el número que se está marcando durante una llamada saliente con la opción de redirigir la llamada a un número diferente o abortar la llamada por completo. Esto puede agregar cargos al plan de datos y es un alto riesgo de privacidad.</v>
      </c>
      <c r="D312" s="4" t="str">
        <f>IFERROR(__xludf.DUMMYFUNCTION("GOOGLETRANSLATE(B312, ""en"", ""pt"")"),"Este aplicativo pode ver o número sendo discado durante uma chamada de saída com a opção para redirecionar a chamada para um número diferente ou abortar a chamada completamente. Isso pode adicionar taxas ao plano de dados e é um alto risco de privacidade.")</f>
        <v>Este aplicativo pode ver o número sendo discado durante uma chamada de saída com a opção para redirecionar a chamada para um número diferente ou abortar a chamada completamente. Isso pode adicionar taxas ao plano de dados e é um alto risco de privacidade.</v>
      </c>
      <c r="E312" s="4" t="str">
        <f>IFERROR(__xludf.DUMMYFUNCTION("GOOGLETRANSLATE(B312, ""en"", ""ar"")"),"يمكن لهذا التطبيق رؤية الرقم الذي يتم طلبه أثناء مكالمة صادرة مع خيار إعادة توجيه المكالمة إلى رقم مختلف أو إحباط المكالمة تماما. هذا يمكن أن يضيف رسوم إلى خطة البيانات وهي مخاطر عالية الخصوصية.")</f>
        <v>يمكن لهذا التطبيق رؤية الرقم الذي يتم طلبه أثناء مكالمة صادرة مع خيار إعادة توجيه المكالمة إلى رقم مختلف أو إحباط المكالمة تماما. هذا يمكن أن يضيف رسوم إلى خطة البيانات وهي مخاطر عالية الخصوصية.</v>
      </c>
      <c r="F312" s="4" t="str">
        <f>IFERROR(__xludf.DUMMYFUNCTION("GOOGLETRANSLATE(B312, ""en"", ""km"")"),"កម្មវិធីនេះអាចមើលឃើញលេខដែលត្រូវបានចុចក្នុងអំឡុងពេលហៅចេញដោយមានជម្រើសប្តូរទិសការហៅទៅលេខផ្សេងឬបញ្ឈប់ការហៅទាំងអស់។ នេះអាចបន្ថែមការគិតថ្លៃលើផែនការទិន្នន័យនិងហានិភ័យនៃភាពឯកជនខ្ពស់។")</f>
        <v>កម្មវិធីនេះអាចមើលឃើញលេខដែលត្រូវបានចុចក្នុងអំឡុងពេលហៅចេញដោយមានជម្រើសប្តូរទិសការហៅទៅលេខផ្សេងឬបញ្ឈប់ការហៅទាំងអស់។ នេះអាចបន្ថែមការគិតថ្លៃលើផែនការទិន្នន័យនិងហានិភ័យនៃភាពឯកជនខ្ពស់។</v>
      </c>
      <c r="G312" s="4" t="str">
        <f>IFERROR(__xludf.DUMMYFUNCTION("GOOGLETRANSLATE(B312, ""en"", ""fr"")"),"Cette application peut voir que le nombre étant composé lors d'un appel sortant avec l'option de rediriger l'appel à un numéro différent ou d'abandonner complètement l'appel. Cela peut ajouter des frais au plan de données et constitue un risque de confide"&amp;"ntialité élevé.")</f>
        <v>Cette application peut voir que le nombre étant composé lors d'un appel sortant avec l'option de rediriger l'appel à un numéro différent ou d'abandonner complètement l'appel. Cela peut ajouter des frais au plan de données et constitue un risque de confidentialité élevé.</v>
      </c>
      <c r="H312" s="4" t="str">
        <f>IFERROR(__xludf.DUMMYFUNCTION("GOOGLETRANSLATE(B312, ""en"", ""ro"")"),"Această aplicație poate vedea că numărul este format în timpul unui apel de ieșire, cu opțiunea de a redirecționa apelul la un alt număr sau pentru a renunța la apelul complet. Acest lucru poate adăuga taxe la planul de date și este un risc ridicat de con"&amp;"fidențialitate.")</f>
        <v>Această aplicație poate vedea că numărul este format în timpul unui apel de ieșire, cu opțiunea de a redirecționa apelul la un alt număr sau pentru a renunța la apelul complet. Acest lucru poate adăuga taxe la planul de date și este un risc ridicat de confidențialitate.</v>
      </c>
      <c r="I312" s="4" t="str">
        <f>IFERROR(__xludf.DUMMYFUNCTION("GOOGLETRANSLATE(B312, ""en"", ""my"")"),"ဤအက်ပလီကေးရှင်းသည်ခေါ်ဆိုမှုတစ်ခုတွင်ခေါ်ဆိုမှုတစ်ခုအတွင်းခေါ်ဆိုမှုတစ်ခုတွင်ခေါ်ဆိုမှုတစ်ခုတွင်ခေါ်ဆိုမှုတစ်ခုတွင်ဖုန်းခေါ်ဆိုမှုကိုမတူညီသောနံပါတ်သို့ပြန်ပို့ရန်သို့မဟုတ်ခေါ်ဆိုမှုကိုလုံးလုံးလျားလျားဖယ်ရှားပေးသည်။ ၎င်းသည်ဒေတာအစီအစဉ်ကိုစွဲချက်တင်နိုင်ပြီး"&amp;"အလွန်အမင်း privacy ကိုအန္တရာယ်ရှိနိုင်သည်။")</f>
        <v>ဤအက်ပလီကေးရှင်းသည်ခေါ်ဆိုမှုတစ်ခုတွင်ခေါ်ဆိုမှုတစ်ခုအတွင်းခေါ်ဆိုမှုတစ်ခုတွင်ခေါ်ဆိုမှုတစ်ခုတွင်ခေါ်ဆိုမှုတစ်ခုတွင်ဖုန်းခေါ်ဆိုမှုကိုမတူညီသောနံပါတ်သို့ပြန်ပို့ရန်သို့မဟုတ်ခေါ်ဆိုမှုကိုလုံးလုံးလျားလျားဖယ်ရှားပေးသည်။ ၎င်းသည်ဒေတာအစီအစဉ်ကိုစွဲချက်တင်နိုင်ပြီးအလွန်အမင်း privacy ကိုအန္တရာယ်ရှိနိုင်သည်။</v>
      </c>
      <c r="J312" s="4" t="str">
        <f>IFERROR(__xludf.DUMMYFUNCTION("GOOGLETRANSLATE(B312, ""en"", ""sw"")"),"Programu hii inaweza kuona namba iliyopigwa wakati wa simu inayotoka na chaguo la kuelekeza wito kwa idadi tofauti au kufuta simu kabisa. Hii inaweza kuongeza mashtaka kwa mpango wa data na ni hatari ya faragha ya juu.")</f>
        <v>Programu hii inaweza kuona namba iliyopigwa wakati wa simu inayotoka na chaguo la kuelekeza wito kwa idadi tofauti au kufuta simu kabisa. Hii inaweza kuongeza mashtaka kwa mpango wa data na ni hatari ya faragha ya juu.</v>
      </c>
      <c r="K312" s="4" t="str">
        <f>IFERROR(__xludf.DUMMYFUNCTION("GOOGLETRANSLATE(B312, ""en"", ""th"")"),"แอพนี้สามารถดูหมายเลขที่โทรออกในระหว่างการโทรออกด้วยตัวเลือกในการเปลี่ยนเส้นทางการโทรไปยังหมายเลขอื่นหรือยกเลิกการโทรโดยสิ้นเชิง สิ่งนี้สามารถเพิ่มค่าใช้จ่ายในแผนข้อมูลและมีความเสี่ยงด้านความเป็นส่วนตัวสูง")</f>
        <v>แอพนี้สามารถดูหมายเลขที่โทรออกในระหว่างการโทรออกด้วยตัวเลือกในการเปลี่ยนเส้นทางการโทรไปยังหมายเลขอื่นหรือยกเลิกการโทรโดยสิ้นเชิง สิ่งนี้สามารถเพิ่มค่าใช้จ่ายในแผนข้อมูลและมีความเสี่ยงด้านความเป็นส่วนตัวสูง</v>
      </c>
      <c r="L312" s="4" t="str">
        <f>IFERROR(__xludf.DUMMYFUNCTION("GOOGLETRANSLATE(B312, ""en"", ""si"")"),"ඇමතුම වෙනත් අංකයකට හරවා යැවීමට හෝ ඇමතුම මුළුමනින්ම ගබ්සා කිරීම සඳහා වූ විකල්පය සමඟ පිටතට යන ඇමතුමකදී මෙම යෙදුමට ඩයාවල් කළ හැකිය. මෙය දත්ත සැලැස්මට ගාස්තු එකතු කළ හැකි අතර එය ඉහළ රහස්යතා අවදානමකි.")</f>
        <v>ඇමතුම වෙනත් අංකයකට හරවා යැවීමට හෝ ඇමතුම මුළුමනින්ම ගබ්සා කිරීම සඳහා වූ විකල්පය සමඟ පිටතට යන ඇමතුමකදී මෙම යෙදුමට ඩයාවල් කළ හැකිය. මෙය දත්ත සැලැස්මට ගාස්තු එකතු කළ හැකි අතර එය ඉහළ රහස්යතා අවදානමකි.</v>
      </c>
      <c r="M312" s="4" t="str">
        <f>IFERROR(__xludf.DUMMYFUNCTION("GOOGLETRANSLATE(B312, ""en"", ""vi"")"),"Ứng dụng này có thể thấy số được quay số trong một cuộc gọi gửi đi với tùy chọn để chuyển hướng cuộc gọi đến một số khác hoặc hủy bỏ cuộc gọi hoàn toàn. Điều này có thể thêm phí vào gói dữ liệu và là một rủi ro quyền riêng tư cao.")</f>
        <v>Ứng dụng này có thể thấy số được quay số trong một cuộc gọi gửi đi với tùy chọn để chuyển hướng cuộc gọi đến một số khác hoặc hủy bỏ cuộc gọi hoàn toàn. Điều này có thể thêm phí vào gói dữ liệu và là một rủi ro quyền riêng tư cao.</v>
      </c>
      <c r="N312" s="4" t="str">
        <f>IFERROR(__xludf.DUMMYFUNCTION("GOOGLETRANSLATE(B312, ""en"", ""ne"")"),"यस अनुप्रयोगले देख्न सक्दछ कि नम्बरहरू एक बहिर्गमन कलमा छुट्टिनु पर्ने विकल्पको साथ एक बहिर्गमन कलमा डायल गर्न सकिन्छ जुन एक फरक संख्यामा डायरेक्ट गर्नुहोस् वा कल पूर्ण रूपमा। यसले डाटा योजनामा ​​शुल्क थप्न सक्छ र एक उच्च गोपनीयता जोखिम हो।")</f>
        <v>यस अनुप्रयोगले देख्न सक्दछ कि नम्बरहरू एक बहिर्गमन कलमा छुट्टिनु पर्ने विकल्पको साथ एक बहिर्गमन कलमा डायल गर्न सकिन्छ जुन एक फरक संख्यामा डायरेक्ट गर्नुहोस् वा कल पूर्ण रूपमा। यसले डाटा योजनामा ​​शुल्क थप्न सक्छ र एक उच्च गोपनीयता जोखिम हो।</v>
      </c>
      <c r="O312" s="4" t="str">
        <f>IFERROR(__xludf.DUMMYFUNCTION("GOOGLETRANSLATE(B312, ""en"", ""de"")"),"Diese App kann die Anzahl, die während eines ausgehenden Anrufs gewählt wird, mit der Option, um den Anruf an eine andere Anzahl zu leiten oder den Anruf insgesamt umzuleiten oder abzubrechen. Dies kann Angelegenheiten für den Datenplan hinzufügen und ein"&amp;" hohes Datenschutzrisiko.")</f>
        <v>Diese App kann die Anzahl, die während eines ausgehenden Anrufs gewählt wird, mit der Option, um den Anruf an eine andere Anzahl zu leiten oder den Anruf insgesamt umzuleiten oder abzubrechen. Dies kann Angelegenheiten für den Datenplan hinzufügen und ein hohes Datenschutzrisiko.</v>
      </c>
      <c r="P312" s="4" t="str">
        <f>IFERROR(__xludf.DUMMYFUNCTION("GOOGLETRANSLATE(B312, ""en"", ""he"")"),"יישום זה יכול לראות את המספר שחייג במהלך שיחה יוצאת עם האפשרות כדי להפנות את השיחה למספר אחר או לבטל את השיחה לגמרי. זה יכול להוסיף חיובים לתוכנית נתונים והוא סיכון פרטיות גבוה.")</f>
        <v>יישום זה יכול לראות את המספר שחייג במהלך שיחה יוצאת עם האפשרות כדי להפנות את השיחה למספר אחר או לבטל את השיחה לגמרי. זה יכול להוסיף חיובים לתוכנית נתונים והוא סיכון פרטיות גבוה.</v>
      </c>
      <c r="Q312" s="4" t="str">
        <f>IFERROR(__xludf.DUMMYFUNCTION("GOOGLETRANSLATE(B312, ""en"", ""cs"")"),"Tato aplikace může zobrazit číslo, které jsou vytočeny během odchozího hovoru s možností přesměrovat volání na jiné číslo nebo hovor ukončit úplně. To může přidávat poplatky do plánu dat a je vysokým rizikem soukromí.")</f>
        <v>Tato aplikace může zobrazit číslo, které jsou vytočeny během odchozího hovoru s možností přesměrovat volání na jiné číslo nebo hovor ukončit úplně. To může přidávat poplatky do plánu dat a je vysokým rizikem soukromí.</v>
      </c>
      <c r="R312" s="4" t="str">
        <f>IFERROR(__xludf.DUMMYFUNCTION("GOOGLETRANSLATE(B312, ""en"", ""it"")"),"Questa app può vedere il numero selezionato durante una chiamata in uscita con l'opzione per reindirizzare la chiamata a un numero diverso o interrompere la chiamata del tutto. Questo può aggiungere addebiti al piano dati ed è un alto rischio di privacy.")</f>
        <v>Questa app può vedere il numero selezionato durante una chiamata in uscita con l'opzione per reindirizzare la chiamata a un numero diverso o interrompere la chiamata del tutto. Questo può aggiungere addebiti al piano dati ed è un alto rischio di privacy.</v>
      </c>
      <c r="S312" s="4" t="str">
        <f>IFERROR(__xludf.DUMMYFUNCTION("GOOGLETRANSLATE(B312, ""en"", ""el"")"),"Αυτή η εφαρμογή μπορεί να δει τον αριθμό που καλείται κατά τη διάρκεια μιας εξερχόμενης κλήσης με την επιλογή να ανακατευθύνει την κλήση σε διαφορετικό αριθμό ή να ακυρώσει την κλήση εντελώς. Αυτό μπορεί να προσθέσει χρεώσεις στο σχέδιο δεδομένων και είνα"&amp;"ι ένας υψηλός κίνδυνος απορρήτου.")</f>
        <v>Αυτή η εφαρμογή μπορεί να δει τον αριθμό που καλείται κατά τη διάρκεια μιας εξερχόμενης κλήσης με την επιλογή να ανακατευθύνει την κλήση σε διαφορετικό αριθμό ή να ακυρώσει την κλήση εντελώς. Αυτό μπορεί να προσθέσει χρεώσεις στο σχέδιο δεδομένων και είναι ένας υψηλός κίνδυνος απορρήτου.</v>
      </c>
    </row>
    <row r="313" ht="15.75" customHeight="1">
      <c r="A313" s="4" t="s">
        <v>631</v>
      </c>
      <c r="B313" s="4" t="s">
        <v>302</v>
      </c>
      <c r="C313" s="4" t="str">
        <f>IFERROR(__xludf.DUMMYFUNCTION("GOOGLETRANSLATE(B313, ""en"", ""es"")"),"Configuración segura de la aplicación")</f>
        <v>Configuración segura de la aplicación</v>
      </c>
      <c r="D313" s="4" t="str">
        <f>IFERROR(__xludf.DUMMYFUNCTION("GOOGLETRANSLATE(B313, ""en"", ""pt"")"),"Configurações seguras do aplicativo.")</f>
        <v>Configurações seguras do aplicativo.</v>
      </c>
      <c r="E313" s="4" t="str">
        <f>IFERROR(__xludf.DUMMYFUNCTION("GOOGLETRANSLATE(B313, ""en"", ""ar"")"),"إعدادات آمنة التطبيق")</f>
        <v>إعدادات آمنة التطبيق</v>
      </c>
      <c r="F313" s="4" t="str">
        <f>IFERROR(__xludf.DUMMYFUNCTION("GOOGLETRANSLATE(B313, ""en"", ""km"")"),"ការកំណត់សុវត្ថិភាពកម្មវិធី")</f>
        <v>ការកំណត់សុវត្ថិភាពកម្មវិធី</v>
      </c>
      <c r="G313" s="4" t="str">
        <f>IFERROR(__xludf.DUMMYFUNCTION("GOOGLETRANSLATE(B313, ""en"", ""fr"")"),"Application Paramètres sécurisés")</f>
        <v>Application Paramètres sécurisés</v>
      </c>
      <c r="H313" s="4" t="str">
        <f>IFERROR(__xludf.DUMMYFUNCTION("GOOGLETRANSLATE(B313, ""en"", ""ro"")"),"Setări securizate App")</f>
        <v>Setări securizate App</v>
      </c>
      <c r="I313" s="4" t="str">
        <f>IFERROR(__xludf.DUMMYFUNCTION("GOOGLETRANSLATE(B313, ""en"", ""my"")"),"App Secure Settings")</f>
        <v>App Secure Settings</v>
      </c>
      <c r="J313" s="4" t="str">
        <f>IFERROR(__xludf.DUMMYFUNCTION("GOOGLETRANSLATE(B313, ""en"", ""sw"")"),"Programu salama ya programu.")</f>
        <v>Programu salama ya programu.</v>
      </c>
      <c r="K313" s="4" t="str">
        <f>IFERROR(__xludf.DUMMYFUNCTION("GOOGLETRANSLATE(B313, ""en"", ""th"")"),"แอปการตั้งค่าที่ปลอดภัย")</f>
        <v>แอปการตั้งค่าที่ปลอดภัย</v>
      </c>
      <c r="L313" s="4" t="str">
        <f>IFERROR(__xludf.DUMMYFUNCTION("GOOGLETRANSLATE(B313, ""en"", ""si"")"),"යෙදුම් ආරක්ෂිත සැකසුම්")</f>
        <v>යෙදුම් ආරක්ෂිත සැකසුම්</v>
      </c>
      <c r="M313" s="4" t="str">
        <f>IFERROR(__xludf.DUMMYFUNCTION("GOOGLETRANSLATE(B313, ""en"", ""vi"")"),"Cài đặt bảo mật ứng dụng")</f>
        <v>Cài đặt bảo mật ứng dụng</v>
      </c>
      <c r="N313" s="4" t="str">
        <f>IFERROR(__xludf.DUMMYFUNCTION("GOOGLETRANSLATE(B313, ""en"", ""ne"")"),"अनुप्रयोग सुरक्षित सेटिंग्स")</f>
        <v>अनुप्रयोग सुरक्षित सेटिंग्स</v>
      </c>
      <c r="O313" s="4" t="str">
        <f>IFERROR(__xludf.DUMMYFUNCTION("GOOGLETRANSLATE(B313, ""en"", ""de"")"),"App sichere Einstellungen")</f>
        <v>App sichere Einstellungen</v>
      </c>
      <c r="P313" s="4" t="str">
        <f>IFERROR(__xludf.DUMMYFUNCTION("GOOGLETRANSLATE(B313, ""en"", ""he"")"),"הגדרות מאובטחות App.")</f>
        <v>הגדרות מאובטחות App.</v>
      </c>
      <c r="Q313" s="4" t="str">
        <f>IFERROR(__xludf.DUMMYFUNCTION("GOOGLETRANSLATE(B313, ""en"", ""cs"")"),"Aplikace Secure Settings.")</f>
        <v>Aplikace Secure Settings.</v>
      </c>
      <c r="R313" s="4" t="str">
        <f>IFERROR(__xludf.DUMMYFUNCTION("GOOGLETRANSLATE(B313, ""en"", ""it"")"),"App impostazioni sicure")</f>
        <v>App impostazioni sicure</v>
      </c>
      <c r="S313" s="4" t="str">
        <f>IFERROR(__xludf.DUMMYFUNCTION("GOOGLETRANSLATE(B313, ""en"", ""el"")"),"Ασφαλείς ρυθμίσεις εφαρμογής")</f>
        <v>Ασφαλείς ρυθμίσεις εφαρμογής</v>
      </c>
    </row>
    <row r="314" ht="15.75" customHeight="1">
      <c r="A314" s="4" t="s">
        <v>632</v>
      </c>
      <c r="B314" s="4" t="s">
        <v>633</v>
      </c>
      <c r="C314" s="4" t="str">
        <f>IFERROR(__xludf.DUMMYFUNCTION("GOOGLETRANSLATE(B314, ""en"", ""es"")"),"Sobre")</f>
        <v>Sobre</v>
      </c>
      <c r="D314" s="4" t="str">
        <f>IFERROR(__xludf.DUMMYFUNCTION("GOOGLETRANSLATE(B314, ""en"", ""pt"")"),"Sobre")</f>
        <v>Sobre</v>
      </c>
      <c r="E314" s="4" t="str">
        <f>IFERROR(__xludf.DUMMYFUNCTION("GOOGLETRANSLATE(B314, ""en"", ""ar"")"),"تشغيل")</f>
        <v>تشغيل</v>
      </c>
      <c r="F314" s="4" t="str">
        <f>IFERROR(__xludf.DUMMYFUNCTION("GOOGLETRANSLATE(B314, ""en"", ""km"")"),"លើ")</f>
        <v>លើ</v>
      </c>
      <c r="G314" s="4" t="str">
        <f>IFERROR(__xludf.DUMMYFUNCTION("GOOGLETRANSLATE(B314, ""en"", ""fr"")"),"Au")</f>
        <v>Au</v>
      </c>
      <c r="H314" s="4" t="str">
        <f>IFERROR(__xludf.DUMMYFUNCTION("GOOGLETRANSLATE(B314, ""en"", ""ro"")"),"Pe")</f>
        <v>Pe</v>
      </c>
      <c r="I314" s="4" t="str">
        <f>IFERROR(__xludf.DUMMYFUNCTION("GOOGLETRANSLATE(B314, ""en"", ""my"")"),"အပေါ်")</f>
        <v>အပေါ်</v>
      </c>
      <c r="J314" s="4" t="str">
        <f>IFERROR(__xludf.DUMMYFUNCTION("GOOGLETRANSLATE(B314, ""en"", ""sw"")"),"ON")</f>
        <v>ON</v>
      </c>
      <c r="K314" s="4" t="str">
        <f>IFERROR(__xludf.DUMMYFUNCTION("GOOGLETRANSLATE(B314, ""en"", ""th"")"),"บน")</f>
        <v>บน</v>
      </c>
      <c r="L314" s="4" t="str">
        <f>IFERROR(__xludf.DUMMYFUNCTION("GOOGLETRANSLATE(B314, ""en"", ""si"")"),"මත")</f>
        <v>මත</v>
      </c>
      <c r="M314" s="4" t="str">
        <f>IFERROR(__xludf.DUMMYFUNCTION("GOOGLETRANSLATE(B314, ""en"", ""vi"")"),"Trên")</f>
        <v>Trên</v>
      </c>
      <c r="N314" s="4" t="str">
        <f>IFERROR(__xludf.DUMMYFUNCTION("GOOGLETRANSLATE(B314, ""en"", ""ne"")"),"माथी")</f>
        <v>माथी</v>
      </c>
      <c r="O314" s="4" t="str">
        <f>IFERROR(__xludf.DUMMYFUNCTION("GOOGLETRANSLATE(B314, ""en"", ""de"")"),"Auf")</f>
        <v>Auf</v>
      </c>
      <c r="P314" s="4" t="str">
        <f>IFERROR(__xludf.DUMMYFUNCTION("GOOGLETRANSLATE(B314, ""en"", ""he"")"),"עַל")</f>
        <v>עַל</v>
      </c>
      <c r="Q314" s="4" t="str">
        <f>IFERROR(__xludf.DUMMYFUNCTION("GOOGLETRANSLATE(B314, ""en"", ""cs"")"),"Na")</f>
        <v>Na</v>
      </c>
      <c r="R314" s="4" t="str">
        <f>IFERROR(__xludf.DUMMYFUNCTION("GOOGLETRANSLATE(B314, ""en"", ""it"")"),"Sopra")</f>
        <v>Sopra</v>
      </c>
      <c r="S314" s="4" t="str">
        <f>IFERROR(__xludf.DUMMYFUNCTION("GOOGLETRANSLATE(B314, ""en"", ""el"")"),"Επί")</f>
        <v>Επί</v>
      </c>
    </row>
    <row r="315" ht="15.75" customHeight="1">
      <c r="A315" s="4" t="s">
        <v>634</v>
      </c>
      <c r="B315" s="4" t="s">
        <v>635</v>
      </c>
      <c r="C315" s="4" t="str">
        <f>IFERROR(__xludf.DUMMYFUNCTION("GOOGLETRANSLATE(B315, ""en"", ""es"")"),"Enviar comentarios")</f>
        <v>Enviar comentarios</v>
      </c>
      <c r="D315" s="4" t="str">
        <f>IFERROR(__xludf.DUMMYFUNCTION("GOOGLETRANSLATE(B315, ""en"", ""pt"")"),"Enviar comentários")</f>
        <v>Enviar comentários</v>
      </c>
      <c r="E315" s="4" t="str">
        <f>IFERROR(__xludf.DUMMYFUNCTION("GOOGLETRANSLATE(B315, ""en"", ""ar"")"),"إرسال ملاحظات")</f>
        <v>إرسال ملاحظات</v>
      </c>
      <c r="F315" s="4" t="str">
        <f>IFERROR(__xludf.DUMMYFUNCTION("GOOGLETRANSLATE(B315, ""en"", ""km"")"),"ដាក់ស្នើមតិប្រតិកម្ម")</f>
        <v>ដាក់ស្នើមតិប្រតិកម្ម</v>
      </c>
      <c r="G315" s="4" t="str">
        <f>IFERROR(__xludf.DUMMYFUNCTION("GOOGLETRANSLATE(B315, ""en"", ""fr"")"),"Soumettre des commentaires")</f>
        <v>Soumettre des commentaires</v>
      </c>
      <c r="H315" s="4" t="str">
        <f>IFERROR(__xludf.DUMMYFUNCTION("GOOGLETRANSLATE(B315, ""en"", ""ro"")"),"Trimite parerea ta")</f>
        <v>Trimite parerea ta</v>
      </c>
      <c r="I315" s="4" t="str">
        <f>IFERROR(__xludf.DUMMYFUNCTION("GOOGLETRANSLATE(B315, ""en"", ""my"")"),"တုံ့ပြန်ချက်ကိုတင်သွင်းပါ")</f>
        <v>တုံ့ပြန်ချက်ကိုတင်သွင်းပါ</v>
      </c>
      <c r="J315" s="4" t="str">
        <f>IFERROR(__xludf.DUMMYFUNCTION("GOOGLETRANSLATE(B315, ""en"", ""sw"")"),"Tuma maoni.")</f>
        <v>Tuma maoni.</v>
      </c>
      <c r="K315" s="4" t="str">
        <f>IFERROR(__xludf.DUMMYFUNCTION("GOOGLETRANSLATE(B315, ""en"", ""th"")"),"ส่งข้อเสนอแนะ")</f>
        <v>ส่งข้อเสนอแนะ</v>
      </c>
      <c r="L315" s="4" t="str">
        <f>IFERROR(__xludf.DUMMYFUNCTION("GOOGLETRANSLATE(B315, ""en"", ""si"")"),"ප්රතිපෝෂණය ඉදිරිපත් කරන්න")</f>
        <v>ප්රතිපෝෂණය ඉදිරිපත් කරන්න</v>
      </c>
      <c r="M315" s="4" t="str">
        <f>IFERROR(__xludf.DUMMYFUNCTION("GOOGLETRANSLATE(B315, ""en"", ""vi"")"),"Gửi phản hồi")</f>
        <v>Gửi phản hồi</v>
      </c>
      <c r="N315" s="4" t="str">
        <f>IFERROR(__xludf.DUMMYFUNCTION("GOOGLETRANSLATE(B315, ""en"", ""ne"")"),"प्रतिक्रिया बुझाउनुहोस्")</f>
        <v>प्रतिक्रिया बुझाउनुहोस्</v>
      </c>
      <c r="O315" s="4" t="str">
        <f>IFERROR(__xludf.DUMMYFUNCTION("GOOGLETRANSLATE(B315, ""en"", ""de"")"),"Feedback einreichen")</f>
        <v>Feedback einreichen</v>
      </c>
      <c r="P315" s="4" t="str">
        <f>IFERROR(__xludf.DUMMYFUNCTION("GOOGLETRANSLATE(B315, ""en"", ""he"")"),"שלח משוב")</f>
        <v>שלח משוב</v>
      </c>
      <c r="Q315" s="4" t="str">
        <f>IFERROR(__xludf.DUMMYFUNCTION("GOOGLETRANSLATE(B315, ""en"", ""cs"")"),"Odeslat zpětnou vazbu")</f>
        <v>Odeslat zpětnou vazbu</v>
      </c>
      <c r="R315" s="4" t="str">
        <f>IFERROR(__xludf.DUMMYFUNCTION("GOOGLETRANSLATE(B315, ""en"", ""it"")"),"Invia feedback.")</f>
        <v>Invia feedback.</v>
      </c>
      <c r="S315" s="4" t="str">
        <f>IFERROR(__xludf.DUMMYFUNCTION("GOOGLETRANSLATE(B315, ""en"", ""el"")"),"Υποβάλετε σχόλια")</f>
        <v>Υποβάλετε σχόλια</v>
      </c>
    </row>
    <row r="316" ht="15.75" customHeight="1">
      <c r="A316" s="4" t="s">
        <v>636</v>
      </c>
      <c r="B316" s="4" t="s">
        <v>637</v>
      </c>
      <c r="C316" s="4" t="str">
        <f>IFERROR(__xludf.DUMMYFUNCTION("GOOGLETRANSLATE(B316, ""en"", ""es"")"),"Limpieza...")</f>
        <v>Limpieza...</v>
      </c>
      <c r="D316" s="4" t="str">
        <f>IFERROR(__xludf.DUMMYFUNCTION("GOOGLETRANSLATE(B316, ""en"", ""pt"")"),"Limpeza...")</f>
        <v>Limpeza...</v>
      </c>
      <c r="E316" s="4" t="str">
        <f>IFERROR(__xludf.DUMMYFUNCTION("GOOGLETRANSLATE(B316, ""en"", ""ar"")"),"تنظيف...")</f>
        <v>تنظيف...</v>
      </c>
      <c r="F316" s="4" t="str">
        <f>IFERROR(__xludf.DUMMYFUNCTION("GOOGLETRANSLATE(B316, ""en"", ""km"")"),"ការសម្អាត ...")</f>
        <v>ការសម្អាត ...</v>
      </c>
      <c r="G316" s="4" t="str">
        <f>IFERROR(__xludf.DUMMYFUNCTION("GOOGLETRANSLATE(B316, ""en"", ""fr"")"),"Nettoyage...")</f>
        <v>Nettoyage...</v>
      </c>
      <c r="H316" s="4" t="str">
        <f>IFERROR(__xludf.DUMMYFUNCTION("GOOGLETRANSLATE(B316, ""en"", ""ro"")"),"Curățenie ...")</f>
        <v>Curățenie ...</v>
      </c>
      <c r="I316" s="4" t="str">
        <f>IFERROR(__xludf.DUMMYFUNCTION("GOOGLETRANSLATE(B316, ""en"", ""my"")"),"သန့်ရှင်းရေး ...")</f>
        <v>သန့်ရှင်းရေး ...</v>
      </c>
      <c r="J316" s="4" t="str">
        <f>IFERROR(__xludf.DUMMYFUNCTION("GOOGLETRANSLATE(B316, ""en"", ""sw"")"),"Kusafisha ...")</f>
        <v>Kusafisha ...</v>
      </c>
      <c r="K316" s="4" t="str">
        <f>IFERROR(__xludf.DUMMYFUNCTION("GOOGLETRANSLATE(B316, ""en"", ""th"")"),"ทำความสะอาด ...")</f>
        <v>ทำความสะอาด ...</v>
      </c>
      <c r="L316" s="4" t="str">
        <f>IFERROR(__xludf.DUMMYFUNCTION("GOOGLETRANSLATE(B316, ""en"", ""si"")"),"පිරිසිදු කිරීම ...")</f>
        <v>පිරිසිදු කිරීම ...</v>
      </c>
      <c r="M316" s="4" t="str">
        <f>IFERROR(__xludf.DUMMYFUNCTION("GOOGLETRANSLATE(B316, ""en"", ""vi"")"),"Làm sạch...")</f>
        <v>Làm sạch...</v>
      </c>
      <c r="N316" s="4" t="str">
        <f>IFERROR(__xludf.DUMMYFUNCTION("GOOGLETRANSLATE(B316, ""en"", ""ne"")"),"सफा ...")</f>
        <v>सफा ...</v>
      </c>
      <c r="O316" s="4" t="str">
        <f>IFERROR(__xludf.DUMMYFUNCTION("GOOGLETRANSLATE(B316, ""en"", ""de"")"),"Reinigung...")</f>
        <v>Reinigung...</v>
      </c>
      <c r="P316" s="4" t="str">
        <f>IFERROR(__xludf.DUMMYFUNCTION("GOOGLETRANSLATE(B316, ""en"", ""he"")"),"ניקוי ...")</f>
        <v>ניקוי ...</v>
      </c>
      <c r="Q316" s="4" t="str">
        <f>IFERROR(__xludf.DUMMYFUNCTION("GOOGLETRANSLATE(B316, ""en"", ""cs"")"),"Čištění...")</f>
        <v>Čištění...</v>
      </c>
      <c r="R316" s="4" t="str">
        <f>IFERROR(__xludf.DUMMYFUNCTION("GOOGLETRANSLATE(B316, ""en"", ""it"")"),"Pulizia...")</f>
        <v>Pulizia...</v>
      </c>
      <c r="S316" s="4" t="str">
        <f>IFERROR(__xludf.DUMMYFUNCTION("GOOGLETRANSLATE(B316, ""en"", ""el"")"),"Καθάρισμα...")</f>
        <v>Καθάρισμα...</v>
      </c>
    </row>
    <row r="317" ht="15.75" customHeight="1">
      <c r="A317" s="4" t="s">
        <v>638</v>
      </c>
      <c r="B317" s="4" t="s">
        <v>639</v>
      </c>
      <c r="C317" s="4" t="str">
        <f>IFERROR(__xludf.DUMMYFUNCTION("GOOGLETRANSLATE(B317, ""en"", ""es"")"),"Ingrese su respuesta")</f>
        <v>Ingrese su respuesta</v>
      </c>
      <c r="D317" s="4" t="str">
        <f>IFERROR(__xludf.DUMMYFUNCTION("GOOGLETRANSLATE(B317, ""en"", ""pt"")"),"Insira sua resposta")</f>
        <v>Insira sua resposta</v>
      </c>
      <c r="E317" s="4" t="str">
        <f>IFERROR(__xludf.DUMMYFUNCTION("GOOGLETRANSLATE(B317, ""en"", ""ar"")"),"أدخل إجابتك")</f>
        <v>أدخل إجابتك</v>
      </c>
      <c r="F317" s="4" t="str">
        <f>IFERROR(__xludf.DUMMYFUNCTION("GOOGLETRANSLATE(B317, ""en"", ""km"")"),"បញ្ចូលចម្លើយរបស់អ្នក")</f>
        <v>បញ្ចូលចម្លើយរបស់អ្នក</v>
      </c>
      <c r="G317" s="4" t="str">
        <f>IFERROR(__xludf.DUMMYFUNCTION("GOOGLETRANSLATE(B317, ""en"", ""fr"")"),"Entrez votre réponse")</f>
        <v>Entrez votre réponse</v>
      </c>
      <c r="H317" s="4" t="str">
        <f>IFERROR(__xludf.DUMMYFUNCTION("GOOGLETRANSLATE(B317, ""en"", ""ro"")"),"Introduceți răspunsul dvs.")</f>
        <v>Introduceți răspunsul dvs.</v>
      </c>
      <c r="I317" s="4" t="str">
        <f>IFERROR(__xludf.DUMMYFUNCTION("GOOGLETRANSLATE(B317, ""en"", ""my"")"),"သင်၏အဖြေကိုထည့်ပါ")</f>
        <v>သင်၏အဖြေကိုထည့်ပါ</v>
      </c>
      <c r="J317" s="4" t="str">
        <f>IFERROR(__xludf.DUMMYFUNCTION("GOOGLETRANSLATE(B317, ""en"", ""sw"")"),"Ingiza jibu lako")</f>
        <v>Ingiza jibu lako</v>
      </c>
      <c r="K317" s="4" t="str">
        <f>IFERROR(__xludf.DUMMYFUNCTION("GOOGLETRANSLATE(B317, ""en"", ""th"")"),"ป้อนคำตอบของคุณ")</f>
        <v>ป้อนคำตอบของคุณ</v>
      </c>
      <c r="L317" s="4" t="str">
        <f>IFERROR(__xludf.DUMMYFUNCTION("GOOGLETRANSLATE(B317, ""en"", ""si"")"),"ඔබේ පිළිතුර ඇතුළත් කරන්න")</f>
        <v>ඔබේ පිළිතුර ඇතුළත් කරන්න</v>
      </c>
      <c r="M317" s="4" t="str">
        <f>IFERROR(__xludf.DUMMYFUNCTION("GOOGLETRANSLATE(B317, ""en"", ""vi"")"),"Nhập câu trả lời của bạn")</f>
        <v>Nhập câu trả lời của bạn</v>
      </c>
      <c r="N317" s="4" t="str">
        <f>IFERROR(__xludf.DUMMYFUNCTION("GOOGLETRANSLATE(B317, ""en"", ""ne"")"),"तपाईंको उत्तर इनपुट गर्नुहोस्")</f>
        <v>तपाईंको उत्तर इनपुट गर्नुहोस्</v>
      </c>
      <c r="O317" s="4" t="str">
        <f>IFERROR(__xludf.DUMMYFUNCTION("GOOGLETRANSLATE(B317, ""en"", ""de"")"),"Geben Sie Ihre Antwort ein")</f>
        <v>Geben Sie Ihre Antwort ein</v>
      </c>
      <c r="P317" s="4" t="str">
        <f>IFERROR(__xludf.DUMMYFUNCTION("GOOGLETRANSLATE(B317, ""en"", ""he"")"),"קלט את התשובה שלך")</f>
        <v>קלט את התשובה שלך</v>
      </c>
      <c r="Q317" s="4" t="str">
        <f>IFERROR(__xludf.DUMMYFUNCTION("GOOGLETRANSLATE(B317, ""en"", ""cs"")"),"Zadejte odpověď")</f>
        <v>Zadejte odpověď</v>
      </c>
      <c r="R317" s="4" t="str">
        <f>IFERROR(__xludf.DUMMYFUNCTION("GOOGLETRANSLATE(B317, ""en"", ""it"")"),"Inserisci la tua risposta")</f>
        <v>Inserisci la tua risposta</v>
      </c>
      <c r="S317" s="4" t="str">
        <f>IFERROR(__xludf.DUMMYFUNCTION("GOOGLETRANSLATE(B317, ""en"", ""el"")"),"Εισάγετε την απάντησή σας")</f>
        <v>Εισάγετε την απάντησή σας</v>
      </c>
    </row>
    <row r="318" ht="15.75" customHeight="1">
      <c r="A318" s="4" t="s">
        <v>640</v>
      </c>
      <c r="B318" s="4" t="s">
        <v>284</v>
      </c>
      <c r="C318" s="4" t="str">
        <f>IFERROR(__xludf.DUMMYFUNCTION("GOOGLETRANSLATE(B318, ""en"", ""es"")"),"Suscribir")</f>
        <v>Suscribir</v>
      </c>
      <c r="D318" s="4" t="str">
        <f>IFERROR(__xludf.DUMMYFUNCTION("GOOGLETRANSLATE(B318, ""en"", ""pt"")"),"Se inscrever")</f>
        <v>Se inscrever</v>
      </c>
      <c r="E318" s="4" t="str">
        <f>IFERROR(__xludf.DUMMYFUNCTION("GOOGLETRANSLATE(B318, ""en"", ""ar"")"),"الإشتراك")</f>
        <v>الإشتراك</v>
      </c>
      <c r="F318" s="4" t="str">
        <f>IFERROR(__xludf.DUMMYFUNCTION("GOOGLETRANSLATE(B318, ""en"", ""km"")"),"ជាវ")</f>
        <v>ជាវ</v>
      </c>
      <c r="G318" s="4" t="str">
        <f>IFERROR(__xludf.DUMMYFUNCTION("GOOGLETRANSLATE(B318, ""en"", ""fr"")"),"S'abonner")</f>
        <v>S'abonner</v>
      </c>
      <c r="H318" s="4" t="str">
        <f>IFERROR(__xludf.DUMMYFUNCTION("GOOGLETRANSLATE(B318, ""en"", ""ro"")"),"Abonati-va")</f>
        <v>Abonati-va</v>
      </c>
      <c r="I318" s="4" t="str">
        <f>IFERROR(__xludf.DUMMYFUNCTION("GOOGLETRANSLATE(B318, ""en"", ""my"")"),"စာရင်းသွင်းပါ")</f>
        <v>စာရင်းသွင်းပါ</v>
      </c>
      <c r="J318" s="4" t="str">
        <f>IFERROR(__xludf.DUMMYFUNCTION("GOOGLETRANSLATE(B318, ""en"", ""sw"")"),"Jisajili")</f>
        <v>Jisajili</v>
      </c>
      <c r="K318" s="4" t="str">
        <f>IFERROR(__xludf.DUMMYFUNCTION("GOOGLETRANSLATE(B318, ""en"", ""th"")"),"ติดตาม")</f>
        <v>ติดตาม</v>
      </c>
      <c r="L318" s="4" t="str">
        <f>IFERROR(__xludf.DUMMYFUNCTION("GOOGLETRANSLATE(B318, ""en"", ""si"")"),"දායක වන්න")</f>
        <v>දායක වන්න</v>
      </c>
      <c r="M318" s="4" t="str">
        <f>IFERROR(__xludf.DUMMYFUNCTION("GOOGLETRANSLATE(B318, ""en"", ""vi"")"),"Đặt mua")</f>
        <v>Đặt mua</v>
      </c>
      <c r="N318" s="4" t="str">
        <f>IFERROR(__xludf.DUMMYFUNCTION("GOOGLETRANSLATE(B318, ""en"", ""ne"")"),"सदस्यता लिनुहोस्")</f>
        <v>सदस्यता लिनुहोस्</v>
      </c>
      <c r="O318" s="4" t="str">
        <f>IFERROR(__xludf.DUMMYFUNCTION("GOOGLETRANSLATE(B318, ""en"", ""de"")"),"Abonnieren")</f>
        <v>Abonnieren</v>
      </c>
      <c r="P318" s="4" t="str">
        <f>IFERROR(__xludf.DUMMYFUNCTION("GOOGLETRANSLATE(B318, ""en"", ""he"")"),"תירגעו")</f>
        <v>תירגעו</v>
      </c>
      <c r="Q318" s="4" t="str">
        <f>IFERROR(__xludf.DUMMYFUNCTION("GOOGLETRANSLATE(B318, ""en"", ""cs"")"),"předplatit")</f>
        <v>předplatit</v>
      </c>
      <c r="R318" s="4" t="str">
        <f>IFERROR(__xludf.DUMMYFUNCTION("GOOGLETRANSLATE(B318, ""en"", ""it"")"),"sottoscrivi")</f>
        <v>sottoscrivi</v>
      </c>
      <c r="S318" s="4" t="str">
        <f>IFERROR(__xludf.DUMMYFUNCTION("GOOGLETRANSLATE(B318, ""en"", ""el"")"),"Εγγραφείτε")</f>
        <v>Εγγραφείτε</v>
      </c>
    </row>
    <row r="319" ht="15.75" customHeight="1">
      <c r="A319" s="4" t="s">
        <v>641</v>
      </c>
      <c r="B319" s="4" t="s">
        <v>642</v>
      </c>
      <c r="C319" s="4" t="str">
        <f>IFERROR(__xludf.DUMMYFUNCTION("GOOGLETRANSLATE(B319, ""en"", ""es"")"),"Escaneo de seguridad")</f>
        <v>Escaneo de seguridad</v>
      </c>
      <c r="D319" s="4" t="str">
        <f>IFERROR(__xludf.DUMMYFUNCTION("GOOGLETRANSLATE(B319, ""en"", ""pt"")"),"Digitalização de segurança")</f>
        <v>Digitalização de segurança</v>
      </c>
      <c r="E319" s="4" t="str">
        <f>IFERROR(__xludf.DUMMYFUNCTION("GOOGLETRANSLATE(B319, ""en"", ""ar"")"),"مسح السلامة")</f>
        <v>مسح السلامة</v>
      </c>
      <c r="F319" s="4" t="str">
        <f>IFERROR(__xludf.DUMMYFUNCTION("GOOGLETRANSLATE(B319, ""en"", ""km"")"),"ការស្កែនសុវត្ថិភាព")</f>
        <v>ការស្កែនសុវត្ថិភាព</v>
      </c>
      <c r="G319" s="4" t="str">
        <f>IFERROR(__xludf.DUMMYFUNCTION("GOOGLETRANSLATE(B319, ""en"", ""fr"")"),"Numérisation de la sécurité")</f>
        <v>Numérisation de la sécurité</v>
      </c>
      <c r="H319" s="4" t="str">
        <f>IFERROR(__xludf.DUMMYFUNCTION("GOOGLETRANSLATE(B319, ""en"", ""ro"")"),"Scanare de siguranță")</f>
        <v>Scanare de siguranță</v>
      </c>
      <c r="I319" s="4" t="str">
        <f>IFERROR(__xludf.DUMMYFUNCTION("GOOGLETRANSLATE(B319, ""en"", ""my"")"),"ဘေးကင်းလုံခြုံရေး Scanning")</f>
        <v>ဘေးကင်းလုံခြုံရေး Scanning</v>
      </c>
      <c r="J319" s="4" t="str">
        <f>IFERROR(__xludf.DUMMYFUNCTION("GOOGLETRANSLATE(B319, ""en"", ""sw"")"),"Skanning ya Usalama")</f>
        <v>Skanning ya Usalama</v>
      </c>
      <c r="K319" s="4" t="str">
        <f>IFERROR(__xludf.DUMMYFUNCTION("GOOGLETRANSLATE(B319, ""en"", ""th"")"),"สแกนความปลอดภัย")</f>
        <v>สแกนความปลอดภัย</v>
      </c>
      <c r="L319" s="4" t="str">
        <f>IFERROR(__xludf.DUMMYFUNCTION("GOOGLETRANSLATE(B319, ""en"", ""si"")"),"ආරක්ෂිත පරිලෝකනය")</f>
        <v>ආරක්ෂිත පරිලෝකනය</v>
      </c>
      <c r="M319" s="4" t="str">
        <f>IFERROR(__xludf.DUMMYFUNCTION("GOOGLETRANSLATE(B319, ""en"", ""vi"")"),"Quét an toàn")</f>
        <v>Quét an toàn</v>
      </c>
      <c r="N319" s="4" t="str">
        <f>IFERROR(__xludf.DUMMYFUNCTION("GOOGLETRANSLATE(B319, ""en"", ""ne"")"),"सुरक्षा स्क्यान गर्दै")</f>
        <v>सुरक्षा स्क्यान गर्दै</v>
      </c>
      <c r="O319" s="4" t="str">
        <f>IFERROR(__xludf.DUMMYFUNCTION("GOOGLETRANSLATE(B319, ""en"", ""de"")"),"Sicherheitsscanning.")</f>
        <v>Sicherheitsscanning.</v>
      </c>
      <c r="P319" s="4" t="str">
        <f>IFERROR(__xludf.DUMMYFUNCTION("GOOGLETRANSLATE(B319, ""en"", ""he"")"),"סריקת בטיחות")</f>
        <v>סריקת בטיחות</v>
      </c>
      <c r="Q319" s="4" t="str">
        <f>IFERROR(__xludf.DUMMYFUNCTION("GOOGLETRANSLATE(B319, ""en"", ""cs"")"),"Bezpečnostní skenování")</f>
        <v>Bezpečnostní skenování</v>
      </c>
      <c r="R319" s="4" t="str">
        <f>IFERROR(__xludf.DUMMYFUNCTION("GOOGLETRANSLATE(B319, ""en"", ""it"")"),"Scansione di sicurezza")</f>
        <v>Scansione di sicurezza</v>
      </c>
      <c r="S319" s="4" t="str">
        <f>IFERROR(__xludf.DUMMYFUNCTION("GOOGLETRANSLATE(B319, ""en"", ""el"")"),"Σάρωση ασφαλείας")</f>
        <v>Σάρωση ασφαλείας</v>
      </c>
    </row>
    <row r="320" ht="15.75" customHeight="1">
      <c r="A320" s="4" t="s">
        <v>643</v>
      </c>
      <c r="B320" s="4" t="s">
        <v>644</v>
      </c>
      <c r="C320" s="4" t="str">
        <f>IFERROR(__xludf.DUMMYFUNCTION("GOOGLETRANSLATE(B320, ""en"", ""es"")"),"Escuchar permiso de notificación")</f>
        <v>Escuchar permiso de notificación</v>
      </c>
      <c r="D320" s="4" t="str">
        <f>IFERROR(__xludf.DUMMYFUNCTION("GOOGLETRANSLATE(B320, ""en"", ""pt"")"),"Ouvir permissão de notificação")</f>
        <v>Ouvir permissão de notificação</v>
      </c>
      <c r="E320" s="4" t="str">
        <f>IFERROR(__xludf.DUMMYFUNCTION("GOOGLETRANSLATE(B320, ""en"", ""ar"")"),"الاستماع إذن الإعلام")</f>
        <v>الاستماع إذن الإعلام</v>
      </c>
      <c r="F320" s="4" t="str">
        <f>IFERROR(__xludf.DUMMYFUNCTION("GOOGLETRANSLATE(B320, ""en"", ""km"")"),"ស្តាប់ការអនុញ្ញាតជូនដំណឹង")</f>
        <v>ស្តាប់ការអនុញ្ញាតជូនដំណឹង</v>
      </c>
      <c r="G320" s="4" t="str">
        <f>IFERROR(__xludf.DUMMYFUNCTION("GOOGLETRANSLATE(B320, ""en"", ""fr"")"),"Écoutez la permission de notification")</f>
        <v>Écoutez la permission de notification</v>
      </c>
      <c r="H320" s="4" t="str">
        <f>IFERROR(__xludf.DUMMYFUNCTION("GOOGLETRANSLATE(B320, ""en"", ""ro"")"),"Ascultați permisiunea de notificare")</f>
        <v>Ascultați permisiunea de notificare</v>
      </c>
      <c r="I320" s="4" t="str">
        <f>IFERROR(__xludf.DUMMYFUNCTION("GOOGLETRANSLATE(B320, ""en"", ""my"")"),"နားထောင်ပါ")</f>
        <v>နားထောင်ပါ</v>
      </c>
      <c r="J320" s="4" t="str">
        <f>IFERROR(__xludf.DUMMYFUNCTION("GOOGLETRANSLATE(B320, ""en"", ""sw"")"),"Kusikiliza idhini ya Arifa.")</f>
        <v>Kusikiliza idhini ya Arifa.</v>
      </c>
      <c r="K320" s="4" t="str">
        <f>IFERROR(__xludf.DUMMYFUNCTION("GOOGLETRANSLATE(B320, ""en"", ""th"")"),"การอนุญาตการแจ้งเตือน")</f>
        <v>การอนุญาตการแจ้งเตือน</v>
      </c>
      <c r="L320" s="4" t="str">
        <f>IFERROR(__xludf.DUMMYFUNCTION("GOOGLETRANSLATE(B320, ""en"", ""si"")"),"සවන් දෙන්න දැනුම්දීම් අවසරය")</f>
        <v>සවන් දෙන්න දැනුම්දීම් අවසරය</v>
      </c>
      <c r="M320" s="4" t="str">
        <f>IFERROR(__xludf.DUMMYFUNCTION("GOOGLETRANSLATE(B320, ""en"", ""vi"")"),"Nghe thông báo cho phép")</f>
        <v>Nghe thông báo cho phép</v>
      </c>
      <c r="N320" s="4" t="str">
        <f>IFERROR(__xludf.DUMMYFUNCTION("GOOGLETRANSLATE(B320, ""en"", ""ne"")"),"नोट सब्मिटमेन्ट अनुमति सुन्नुहोस्")</f>
        <v>नोट सब्मिटमेन्ट अनुमति सुन्नुहोस्</v>
      </c>
      <c r="O320" s="4" t="str">
        <f>IFERROR(__xludf.DUMMYFUNCTION("GOOGLETRANSLATE(B320, ""en"", ""de"")"),"Hören Sie die Benachrichtigungsberechtigung an")</f>
        <v>Hören Sie die Benachrichtigungsberechtigung an</v>
      </c>
      <c r="P320" s="4" t="str">
        <f>IFERROR(__xludf.DUMMYFUNCTION("GOOGLETRANSLATE(B320, ""en"", ""he"")"),"תקשיב הרשאת הודעה")</f>
        <v>תקשיב הרשאת הודעה</v>
      </c>
      <c r="Q320" s="4" t="str">
        <f>IFERROR(__xludf.DUMMYFUNCTION("GOOGLETRANSLATE(B320, ""en"", ""cs"")"),"Poslouchejte oznámení o povolení")</f>
        <v>Poslouchejte oznámení o povolení</v>
      </c>
      <c r="R320" s="4" t="str">
        <f>IFERROR(__xludf.DUMMYFUNCTION("GOOGLETRANSLATE(B320, ""en"", ""it"")"),"Ascolta il permesso di notifica")</f>
        <v>Ascolta il permesso di notifica</v>
      </c>
      <c r="S320" s="4" t="str">
        <f>IFERROR(__xludf.DUMMYFUNCTION("GOOGLETRANSLATE(B320, ""en"", ""el"")"),"Ακούστε την άδεια ειδοποίησης")</f>
        <v>Ακούστε την άδεια ειδοποίησης</v>
      </c>
    </row>
    <row r="321" ht="15.75" customHeight="1">
      <c r="A321" s="4" t="s">
        <v>645</v>
      </c>
      <c r="B321" s="4" t="s">
        <v>646</v>
      </c>
      <c r="C321" s="4" t="str">
        <f>IFERROR(__xludf.DUMMYFUNCTION("GOOGLETRANSLATE(B321, ""en"", ""es"")"),"Notificación SPAM:")</f>
        <v>Notificación SPAM:</v>
      </c>
      <c r="D321" s="4" t="str">
        <f>IFERROR(__xludf.DUMMYFUNCTION("GOOGLETRANSLATE(B321, ""en"", ""pt"")"),"SPAM de notificação:")</f>
        <v>SPAM de notificação:</v>
      </c>
      <c r="E321" s="4" t="str">
        <f>IFERROR(__xludf.DUMMYFUNCTION("GOOGLETRANSLATE(B321, ""en"", ""ar"")"),"البريد المزعج للإخطار:")</f>
        <v>البريد المزعج للإخطار:</v>
      </c>
      <c r="F321" s="4" t="str">
        <f>IFERROR(__xludf.DUMMYFUNCTION("GOOGLETRANSLATE(B321, ""en"", ""km"")"),"ការជូនដំណឹង SPAM:")</f>
        <v>ការជូនដំណឹង SPAM:</v>
      </c>
      <c r="G321" s="4" t="str">
        <f>IFERROR(__xludf.DUMMYFUNCTION("GOOGLETRANSLATE(B321, ""en"", ""fr"")"),"Spam de notification:")</f>
        <v>Spam de notification:</v>
      </c>
      <c r="H321" s="4" t="str">
        <f>IFERROR(__xludf.DUMMYFUNCTION("GOOGLETRANSLATE(B321, ""en"", ""ro"")"),"SPAM de notificare:")</f>
        <v>SPAM de notificare:</v>
      </c>
      <c r="I321" s="4" t="str">
        <f>IFERROR(__xludf.DUMMYFUNCTION("GOOGLETRANSLATE(B321, ""en"", ""my"")"),"အသိပေးချက် spam:")</f>
        <v>အသိပေးချက် spam:</v>
      </c>
      <c r="J321" s="4" t="str">
        <f>IFERROR(__xludf.DUMMYFUNCTION("GOOGLETRANSLATE(B321, ""en"", ""sw"")"),"Spam ya Arifa:")</f>
        <v>Spam ya Arifa:</v>
      </c>
      <c r="K321" s="4" t="str">
        <f>IFERROR(__xludf.DUMMYFUNCTION("GOOGLETRANSLATE(B321, ""en"", ""th"")"),"สแปมแจ้งเตือน:")</f>
        <v>สแปมแจ้งเตือน:</v>
      </c>
      <c r="L321" s="4" t="str">
        <f>IFERROR(__xludf.DUMMYFUNCTION("GOOGLETRANSLATE(B321, ""en"", ""si"")"),"දැනුම්දීම් අයාචිත තැපැල්:")</f>
        <v>දැනුම්දීම් අයාචිත තැපැල්:</v>
      </c>
      <c r="M321" s="4" t="str">
        <f>IFERROR(__xludf.DUMMYFUNCTION("GOOGLETRANSLATE(B321, ""en"", ""vi"")"),"THÔNG BÁO SPAM:")</f>
        <v>THÔNG BÁO SPAM:</v>
      </c>
      <c r="N321" s="4" t="str">
        <f>IFERROR(__xludf.DUMMYFUNCTION("GOOGLETRANSLATE(B321, ""en"", ""ne"")"),"सूचना स्पाम:")</f>
        <v>सूचना स्पाम:</v>
      </c>
      <c r="O321" s="4" t="str">
        <f>IFERROR(__xludf.DUMMYFUNCTION("GOOGLETRANSLATE(B321, ""en"", ""de"")"),"Benachrichtigung Spam:")</f>
        <v>Benachrichtigung Spam:</v>
      </c>
      <c r="P321" s="4" t="str">
        <f>IFERROR(__xludf.DUMMYFUNCTION("GOOGLETRANSLATE(B321, ""en"", ""he"")"),"הודעת דואר זבל:")</f>
        <v>הודעת דואר זבל:</v>
      </c>
      <c r="Q321" s="4" t="str">
        <f>IFERROR(__xludf.DUMMYFUNCTION("GOOGLETRANSLATE(B321, ""en"", ""cs"")"),"Oznámení spam:")</f>
        <v>Oznámení spam:</v>
      </c>
      <c r="R321" s="4" t="str">
        <f>IFERROR(__xludf.DUMMYFUNCTION("GOOGLETRANSLATE(B321, ""en"", ""it"")"),"Spam di notifica:")</f>
        <v>Spam di notifica:</v>
      </c>
      <c r="S321" s="4" t="str">
        <f>IFERROR(__xludf.DUMMYFUNCTION("GOOGLETRANSLATE(B321, ""en"", ""el"")"),"Ειδοποίηση SPAM:")</f>
        <v>Ειδοποίηση SPAM:</v>
      </c>
    </row>
    <row r="322" ht="15.75" customHeight="1">
      <c r="A322" s="4" t="s">
        <v>647</v>
      </c>
      <c r="B322" s="4" t="s">
        <v>648</v>
      </c>
      <c r="C322" s="4" t="str">
        <f>IFERROR(__xludf.DUMMYFUNCTION("GOOGLETRANSLATE(B322, ""en"", ""es"")"),"Limpio")</f>
        <v>Limpio</v>
      </c>
      <c r="D322" s="4" t="str">
        <f>IFERROR(__xludf.DUMMYFUNCTION("GOOGLETRANSLATE(B322, ""en"", ""pt"")"),"Limpar")</f>
        <v>Limpar</v>
      </c>
      <c r="E322" s="4" t="str">
        <f>IFERROR(__xludf.DUMMYFUNCTION("GOOGLETRANSLATE(B322, ""en"", ""ar"")"),"ينظف")</f>
        <v>ينظف</v>
      </c>
      <c r="F322" s="4" t="str">
        <f>IFERROR(__xludf.DUMMYFUNCTION("GOOGLETRANSLATE(B322, ""en"", ""km"")"),"សមអាត")</f>
        <v>សមអាត</v>
      </c>
      <c r="G322" s="4" t="str">
        <f>IFERROR(__xludf.DUMMYFUNCTION("GOOGLETRANSLATE(B322, ""en"", ""fr"")"),"Nettoyer")</f>
        <v>Nettoyer</v>
      </c>
      <c r="H322" s="4" t="str">
        <f>IFERROR(__xludf.DUMMYFUNCTION("GOOGLETRANSLATE(B322, ""en"", ""ro"")"),"Curat")</f>
        <v>Curat</v>
      </c>
      <c r="I322" s="4" t="str">
        <f>IFERROR(__xludf.DUMMYFUNCTION("GOOGLETRANSLATE(B322, ""en"", ""my"")"),"ဆေးကေြာ")</f>
        <v>ဆေးကေြာ</v>
      </c>
      <c r="J322" s="4" t="str">
        <f>IFERROR(__xludf.DUMMYFUNCTION("GOOGLETRANSLATE(B322, ""en"", ""sw"")"),"Safi.")</f>
        <v>Safi.</v>
      </c>
      <c r="K322" s="4" t="str">
        <f>IFERROR(__xludf.DUMMYFUNCTION("GOOGLETRANSLATE(B322, ""en"", ""th"")"),"ทำความสะอาด")</f>
        <v>ทำความสะอาด</v>
      </c>
      <c r="L322" s="4" t="str">
        <f>IFERROR(__xludf.DUMMYFUNCTION("GOOGLETRANSLATE(B322, ""en"", ""si"")"),"පිරිසිදු")</f>
        <v>පිරිසිදු</v>
      </c>
      <c r="M322" s="4" t="str">
        <f>IFERROR(__xludf.DUMMYFUNCTION("GOOGLETRANSLATE(B322, ""en"", ""vi"")"),"Dọn dẹp")</f>
        <v>Dọn dẹp</v>
      </c>
      <c r="N322" s="4" t="str">
        <f>IFERROR(__xludf.DUMMYFUNCTION("GOOGLETRANSLATE(B322, ""en"", ""ne"")"),"सफा हुनु")</f>
        <v>सफा हुनु</v>
      </c>
      <c r="O322" s="4" t="str">
        <f>IFERROR(__xludf.DUMMYFUNCTION("GOOGLETRANSLATE(B322, ""en"", ""de"")"),"Sauber")</f>
        <v>Sauber</v>
      </c>
      <c r="P322" s="4" t="str">
        <f>IFERROR(__xludf.DUMMYFUNCTION("GOOGLETRANSLATE(B322, ""en"", ""he"")"),"לְנַקוֹת")</f>
        <v>לְנַקוֹת</v>
      </c>
      <c r="Q322" s="4" t="str">
        <f>IFERROR(__xludf.DUMMYFUNCTION("GOOGLETRANSLATE(B322, ""en"", ""cs"")"),"Čistý")</f>
        <v>Čistý</v>
      </c>
      <c r="R322" s="4" t="str">
        <f>IFERROR(__xludf.DUMMYFUNCTION("GOOGLETRANSLATE(B322, ""en"", ""it"")"),"Pulire")</f>
        <v>Pulire</v>
      </c>
      <c r="S322" s="4" t="str">
        <f>IFERROR(__xludf.DUMMYFUNCTION("GOOGLETRANSLATE(B322, ""en"", ""el"")"),"ΚΑΘΑΡΗ")</f>
        <v>ΚΑΘΑΡΗ</v>
      </c>
    </row>
    <row r="323" ht="15.75" customHeight="1">
      <c r="A323" s="4" t="s">
        <v>649</v>
      </c>
      <c r="B323" s="4" t="s">
        <v>650</v>
      </c>
      <c r="C323" s="4" t="str">
        <f>IFERROR(__xludf.DUMMYFUNCTION("GOOGLETRANSLATE(B323, ""en"", ""es"")"),"Configuración de bloqueo")</f>
        <v>Configuración de bloqueo</v>
      </c>
      <c r="D323" s="4" t="str">
        <f>IFERROR(__xludf.DUMMYFUNCTION("GOOGLETRANSLATE(B323, ""en"", ""pt"")"),"Configurações de bloqueio")</f>
        <v>Configurações de bloqueio</v>
      </c>
      <c r="E323" s="4" t="str">
        <f>IFERROR(__xludf.DUMMYFUNCTION("GOOGLETRANSLATE(B323, ""en"", ""ar"")"),"إعدادات القفل")</f>
        <v>إعدادات القفل</v>
      </c>
      <c r="F323" s="4" t="str">
        <f>IFERROR(__xludf.DUMMYFUNCTION("GOOGLETRANSLATE(B323, ""en"", ""km"")"),"ការកំណត់ចាក់សោ")</f>
        <v>ការកំណត់ចាក់សោ</v>
      </c>
      <c r="G323" s="4" t="str">
        <f>IFERROR(__xludf.DUMMYFUNCTION("GOOGLETRANSLATE(B323, ""en"", ""fr"")"),"Paramètres de verrouillage")</f>
        <v>Paramètres de verrouillage</v>
      </c>
      <c r="H323" s="4" t="str">
        <f>IFERROR(__xludf.DUMMYFUNCTION("GOOGLETRANSLATE(B323, ""en"", ""ro"")"),"Blocați setările")</f>
        <v>Blocați setările</v>
      </c>
      <c r="I323" s="4" t="str">
        <f>IFERROR(__xludf.DUMMYFUNCTION("GOOGLETRANSLATE(B323, ""en"", ""my"")"),"settings ကိုသော့ခတ်")</f>
        <v>settings ကိုသော့ခတ်</v>
      </c>
      <c r="J323" s="4" t="str">
        <f>IFERROR(__xludf.DUMMYFUNCTION("GOOGLETRANSLATE(B323, ""en"", ""sw"")"),"Weka mipangilio")</f>
        <v>Weka mipangilio</v>
      </c>
      <c r="K323" s="4" t="str">
        <f>IFERROR(__xludf.DUMMYFUNCTION("GOOGLETRANSLATE(B323, ""en"", ""th"")"),"การตั้งค่าล็อค")</f>
        <v>การตั้งค่าล็อค</v>
      </c>
      <c r="L323" s="4" t="str">
        <f>IFERROR(__xludf.DUMMYFUNCTION("GOOGLETRANSLATE(B323, ""en"", ""si"")"),"සැකසුම් අගුළු දමන්න")</f>
        <v>සැකසුම් අගුළු දමන්න</v>
      </c>
      <c r="M323" s="4" t="str">
        <f>IFERROR(__xludf.DUMMYFUNCTION("GOOGLETRANSLATE(B323, ""en"", ""vi"")"),"Khóa cài đặt")</f>
        <v>Khóa cài đặt</v>
      </c>
      <c r="N323" s="4" t="str">
        <f>IFERROR(__xludf.DUMMYFUNCTION("GOOGLETRANSLATE(B323, ""en"", ""ne"")"),"सेटिंग्स लक गर्नुहोस्")</f>
        <v>सेटिंग्स लक गर्नुहोस्</v>
      </c>
      <c r="O323" s="4" t="str">
        <f>IFERROR(__xludf.DUMMYFUNCTION("GOOGLETRANSLATE(B323, ""en"", ""de"")"),"Einstellungen sperren")</f>
        <v>Einstellungen sperren</v>
      </c>
      <c r="P323" s="4" t="str">
        <f>IFERROR(__xludf.DUMMYFUNCTION("GOOGLETRANSLATE(B323, ""en"", ""he"")"),"הגדרות נעל")</f>
        <v>הגדרות נעל</v>
      </c>
      <c r="Q323" s="4" t="str">
        <f>IFERROR(__xludf.DUMMYFUNCTION("GOOGLETRANSLATE(B323, ""en"", ""cs"")"),"Nastavení zámku")</f>
        <v>Nastavení zámku</v>
      </c>
      <c r="R323" s="4" t="str">
        <f>IFERROR(__xludf.DUMMYFUNCTION("GOOGLETRANSLATE(B323, ""en"", ""it"")"),"Bloccare le impostazioni")</f>
        <v>Bloccare le impostazioni</v>
      </c>
      <c r="S323" s="4" t="str">
        <f>IFERROR(__xludf.DUMMYFUNCTION("GOOGLETRANSLATE(B323, ""en"", ""el"")"),"Ρυθμίσεις κλειδώματος")</f>
        <v>Ρυθμίσεις κλειδώματος</v>
      </c>
    </row>
    <row r="324" ht="15.75" customHeight="1">
      <c r="A324" s="4" t="s">
        <v>651</v>
      </c>
      <c r="B324" s="4" t="s">
        <v>652</v>
      </c>
      <c r="C324" s="4" t="str">
        <f>IFERROR(__xludf.DUMMYFUNCTION("GOOGLETRANSLATE(B324, ""en"", ""es"")"),"Recordatorio Cooler CPU")</f>
        <v>Recordatorio Cooler CPU</v>
      </c>
      <c r="D324" s="4" t="str">
        <f>IFERROR(__xludf.DUMMYFUNCTION("GOOGLETRANSLATE(B324, ""en"", ""pt"")"),"Lembrete do cooler da CPU.")</f>
        <v>Lembrete do cooler da CPU.</v>
      </c>
      <c r="E324" s="4" t="str">
        <f>IFERROR(__xludf.DUMMYFUNCTION("GOOGLETRANSLATE(B324, ""en"", ""ar"")"),"تذكير وحدة المعالجة المركزية برودة")</f>
        <v>تذكير وحدة المعالجة المركزية برودة</v>
      </c>
      <c r="F324" s="4" t="str">
        <f>IFERROR(__xludf.DUMMYFUNCTION("GOOGLETRANSLATE(B324, ""en"", ""km"")"),"ការរំលឹកស៊ីភីយូស៊ីភីយូ")</f>
        <v>ការរំលឹកស៊ីភីយូស៊ីភីយូ</v>
      </c>
      <c r="G324" s="4" t="str">
        <f>IFERROR(__xludf.DUMMYFUNCTION("GOOGLETRANSLATE(B324, ""en"", ""fr"")"),"Rappel de cpu refroidisseur")</f>
        <v>Rappel de cpu refroidisseur</v>
      </c>
      <c r="H324" s="4" t="str">
        <f>IFERROR(__xludf.DUMMYFUNCTION("GOOGLETRANSLATE(B324, ""en"", ""ro"")"),"CPU Cooler Memento")</f>
        <v>CPU Cooler Memento</v>
      </c>
      <c r="I324" s="4" t="str">
        <f>IFERROR(__xludf.DUMMYFUNCTION("GOOGLETRANSLATE(B324, ""en"", ""my"")"),"CPU အေးသတိပေးချက်")</f>
        <v>CPU အေးသတိပေးချက်</v>
      </c>
      <c r="J324" s="4" t="str">
        <f>IFERROR(__xludf.DUMMYFUNCTION("GOOGLETRANSLATE(B324, ""en"", ""sw"")"),"CPU ya kukumbusha Cooler.")</f>
        <v>CPU ya kukumbusha Cooler.</v>
      </c>
      <c r="K324" s="4" t="str">
        <f>IFERROR(__xludf.DUMMYFUNCTION("GOOGLETRANSLATE(B324, ""en"", ""th"")"),"เครื่องเตือนความร้อน CPU Cooler")</f>
        <v>เครื่องเตือนความร้อน CPU Cooler</v>
      </c>
      <c r="L324" s="4" t="str">
        <f>IFERROR(__xludf.DUMMYFUNCTION("GOOGLETRANSLATE(B324, ""en"", ""si"")"),"CPU සිසිලන මතක් කිරීම")</f>
        <v>CPU සිසිලන මතක් කිරීම</v>
      </c>
      <c r="M324" s="4" t="str">
        <f>IFERROR(__xludf.DUMMYFUNCTION("GOOGLETRANSLATE(B324, ""en"", ""vi"")"),"Nhắc nhở làm mát cpu")</f>
        <v>Nhắc nhở làm mát cpu</v>
      </c>
      <c r="N324" s="4" t="str">
        <f>IFERROR(__xludf.DUMMYFUNCTION("GOOGLETRANSLATE(B324, ""en"", ""ne"")"),"CPU कूलर रिमाइन्डर")</f>
        <v>CPU कूलर रिमाइन्डर</v>
      </c>
      <c r="O324" s="4" t="str">
        <f>IFERROR(__xludf.DUMMYFUNCTION("GOOGLETRANSLATE(B324, ""en"", ""de"")"),"CPU-Kühlerinnerkeit.")</f>
        <v>CPU-Kühlerinnerkeit.</v>
      </c>
      <c r="P324" s="4" t="str">
        <f>IFERROR(__xludf.DUMMYFUNCTION("GOOGLETRANSLATE(B324, ""en"", ""he"")"),"CPU Cooler תזכורת")</f>
        <v>CPU Cooler תזכורת</v>
      </c>
      <c r="Q324" s="4" t="str">
        <f>IFERROR(__xludf.DUMMYFUNCTION("GOOGLETRANSLATE(B324, ""en"", ""cs"")"),"Připomenutí chladiče CPU")</f>
        <v>Připomenutí chladiče CPU</v>
      </c>
      <c r="R324" s="4" t="str">
        <f>IFERROR(__xludf.DUMMYFUNCTION("GOOGLETRANSLATE(B324, ""en"", ""it"")"),"Promemoria del dispositivo di raffreddamento della CPU")</f>
        <v>Promemoria del dispositivo di raffreddamento della CPU</v>
      </c>
      <c r="S324" s="4" t="str">
        <f>IFERROR(__xludf.DUMMYFUNCTION("GOOGLETRANSLATE(B324, ""en"", ""el"")"),"CPU COUPER REMINDER")</f>
        <v>CPU COUPER REMINDER</v>
      </c>
    </row>
    <row r="325" ht="15.75" customHeight="1">
      <c r="A325" s="4" t="s">
        <v>653</v>
      </c>
      <c r="B325" s="4" t="s">
        <v>654</v>
      </c>
      <c r="C325" s="4" t="str">
        <f>IFERROR(__xludf.DUMMYFUNCTION("GOOGLETRANSLATE(B325, ""en"", ""es"")"),"Caché del sistema")</f>
        <v>Caché del sistema</v>
      </c>
      <c r="D325" s="4" t="str">
        <f>IFERROR(__xludf.DUMMYFUNCTION("GOOGLETRANSLATE(B325, ""en"", ""pt"")"),"Cache do sistema")</f>
        <v>Cache do sistema</v>
      </c>
      <c r="E325" s="4" t="str">
        <f>IFERROR(__xludf.DUMMYFUNCTION("GOOGLETRANSLATE(B325, ""en"", ""ar"")"),"ذاكرة التخزين المؤقت للنظام")</f>
        <v>ذاكرة التخزين المؤقت للنظام</v>
      </c>
      <c r="F325" s="4" t="str">
        <f>IFERROR(__xludf.DUMMYFUNCTION("GOOGLETRANSLATE(B325, ""en"", ""km"")"),"ឃ្លាំងសម្ងាត់ប្រព័ន្ធ")</f>
        <v>ឃ្លាំងសម្ងាត់ប្រព័ន្ធ</v>
      </c>
      <c r="G325" s="4" t="str">
        <f>IFERROR(__xludf.DUMMYFUNCTION("GOOGLETRANSLATE(B325, ""en"", ""fr"")"),"Cache du système")</f>
        <v>Cache du système</v>
      </c>
      <c r="H325" s="4" t="str">
        <f>IFERROR(__xludf.DUMMYFUNCTION("GOOGLETRANSLATE(B325, ""en"", ""ro"")"),"Cache de sistem.")</f>
        <v>Cache de sistem.</v>
      </c>
      <c r="I325" s="4" t="str">
        <f>IFERROR(__xludf.DUMMYFUNCTION("GOOGLETRANSLATE(B325, ""en"", ""my"")"),"စနစ် cache ကို")</f>
        <v>စနစ် cache ကို</v>
      </c>
      <c r="J325" s="4" t="str">
        <f>IFERROR(__xludf.DUMMYFUNCTION("GOOGLETRANSLATE(B325, ""en"", ""sw"")"),"Cache ya mfumo.")</f>
        <v>Cache ya mfumo.</v>
      </c>
      <c r="K325" s="4" t="str">
        <f>IFERROR(__xludf.DUMMYFUNCTION("GOOGLETRANSLATE(B325, ""en"", ""th"")"),"แคชระบบ")</f>
        <v>แคชระบบ</v>
      </c>
      <c r="L325" s="4" t="str">
        <f>IFERROR(__xludf.DUMMYFUNCTION("GOOGLETRANSLATE(B325, ""en"", ""si"")"),"පද්ධති හැඹිලිය")</f>
        <v>පද්ධති හැඹිලිය</v>
      </c>
      <c r="M325" s="4" t="str">
        <f>IFERROR(__xludf.DUMMYFUNCTION("GOOGLETRANSLATE(B325, ""en"", ""vi"")"),"Hệ thống cache.")</f>
        <v>Hệ thống cache.</v>
      </c>
      <c r="N325" s="4" t="str">
        <f>IFERROR(__xludf.DUMMYFUNCTION("GOOGLETRANSLATE(B325, ""en"", ""ne"")"),"प्रणाली क्यास")</f>
        <v>प्रणाली क्यास</v>
      </c>
      <c r="O325" s="4" t="str">
        <f>IFERROR(__xludf.DUMMYFUNCTION("GOOGLETRANSLATE(B325, ""en"", ""de"")"),"Systemcache.")</f>
        <v>Systemcache.</v>
      </c>
      <c r="P325" s="4" t="str">
        <f>IFERROR(__xludf.DUMMYFUNCTION("GOOGLETRANSLATE(B325, ""en"", ""he"")"),"מטמון מערכת")</f>
        <v>מטמון מערכת</v>
      </c>
      <c r="Q325" s="4" t="str">
        <f>IFERROR(__xludf.DUMMYFUNCTION("GOOGLETRANSLATE(B325, ""en"", ""cs"")"),"Systémová mezipaměť")</f>
        <v>Systémová mezipaměť</v>
      </c>
      <c r="R325" s="4" t="str">
        <f>IFERROR(__xludf.DUMMYFUNCTION("GOOGLETRANSLATE(B325, ""en"", ""it"")"),"Cache del sistema")</f>
        <v>Cache del sistema</v>
      </c>
      <c r="S325" s="4" t="str">
        <f>IFERROR(__xludf.DUMMYFUNCTION("GOOGLETRANSLATE(B325, ""en"", ""el"")"),"Προσωρινή μνήμη συστήματος")</f>
        <v>Προσωρινή μνήμη συστήματος</v>
      </c>
    </row>
    <row r="326" ht="15.75" customHeight="1">
      <c r="A326" s="4" t="s">
        <v>655</v>
      </c>
      <c r="B326" s="4" t="s">
        <v>656</v>
      </c>
      <c r="C326" s="4" t="str">
        <f>IFERROR(__xludf.DUMMYFUNCTION("GOOGLETRANSLATE(B326, ""en"", ""es"")"),"Se han establecido la pregunta y la respuesta de seguridad.")</f>
        <v>Se han establecido la pregunta y la respuesta de seguridad.</v>
      </c>
      <c r="D326" s="4" t="str">
        <f>IFERROR(__xludf.DUMMYFUNCTION("GOOGLETRANSLATE(B326, ""en"", ""pt"")"),"Pergunta de segurança e resposta foram definidas.")</f>
        <v>Pergunta de segurança e resposta foram definidas.</v>
      </c>
      <c r="E326" s="4" t="str">
        <f>IFERROR(__xludf.DUMMYFUNCTION("GOOGLETRANSLATE(B326, ""en"", ""ar"")"),"تم تعيين سؤال الأمان والإجابة.")</f>
        <v>تم تعيين سؤال الأمان والإجابة.</v>
      </c>
      <c r="F326" s="4" t="str">
        <f>IFERROR(__xludf.DUMMYFUNCTION("GOOGLETRANSLATE(B326, ""en"", ""km"")"),"សំណួរសុវត្ថិភាពនិងចម្លើយត្រូវបានកំណត់។")</f>
        <v>សំណួរសុវត្ថិភាពនិងចម្លើយត្រូវបានកំណត់។</v>
      </c>
      <c r="G326" s="4" t="str">
        <f>IFERROR(__xludf.DUMMYFUNCTION("GOOGLETRANSLATE(B326, ""en"", ""fr"")"),"La question de la sécurité et la réponse ont été définies.")</f>
        <v>La question de la sécurité et la réponse ont été définies.</v>
      </c>
      <c r="H326" s="4" t="str">
        <f>IFERROR(__xludf.DUMMYFUNCTION("GOOGLETRANSLATE(B326, ""en"", ""ro"")"),"Întrebarea și răspunsul de securitate au fost stabilite.")</f>
        <v>Întrebarea și răspunsul de securitate au fost stabilite.</v>
      </c>
      <c r="I326" s="4" t="str">
        <f>IFERROR(__xludf.DUMMYFUNCTION("GOOGLETRANSLATE(B326, ""en"", ""my"")"),"လုံခြုံရေးမေးခွန်းနှင့်အဖြေကိုသတ်မှတ်ထားသည်။")</f>
        <v>လုံခြုံရေးမေးခွန်းနှင့်အဖြေကိုသတ်မှတ်ထားသည်။</v>
      </c>
      <c r="J326" s="4" t="str">
        <f>IFERROR(__xludf.DUMMYFUNCTION("GOOGLETRANSLATE(B326, ""en"", ""sw"")"),"Swali la usalama na jibu limewekwa.")</f>
        <v>Swali la usalama na jibu limewekwa.</v>
      </c>
      <c r="K326" s="4" t="str">
        <f>IFERROR(__xludf.DUMMYFUNCTION("GOOGLETRANSLATE(B326, ""en"", ""th"")"),"ตั้งคำถามและคำตอบความปลอดภัยแล้ว")</f>
        <v>ตั้งคำถามและคำตอบความปลอดภัยแล้ว</v>
      </c>
      <c r="L326" s="4" t="str">
        <f>IFERROR(__xludf.DUMMYFUNCTION("GOOGLETRANSLATE(B326, ""en"", ""si"")"),"ආරක්ෂක ප්රශ්නය සහ පිළිතුර සකසා ඇත.")</f>
        <v>ආරක්ෂක ප්රශ්නය සහ පිළිතුර සකසා ඇත.</v>
      </c>
      <c r="M326" s="4" t="str">
        <f>IFERROR(__xludf.DUMMYFUNCTION("GOOGLETRANSLATE(B326, ""en"", ""vi"")"),"Câu hỏi và câu trả lời bảo mật đã được đặt.")</f>
        <v>Câu hỏi và câu trả lời bảo mật đã được đặt.</v>
      </c>
      <c r="N326" s="4" t="str">
        <f>IFERROR(__xludf.DUMMYFUNCTION("GOOGLETRANSLATE(B326, ""en"", ""ne"")"),"सुरक्षा प्रश्न र उत्तर सेट गरिएको छ।")</f>
        <v>सुरक्षा प्रश्न र उत्तर सेट गरिएको छ।</v>
      </c>
      <c r="O326" s="4" t="str">
        <f>IFERROR(__xludf.DUMMYFUNCTION("GOOGLETRANSLATE(B326, ""en"", ""de"")"),"Sicherheitsfrage und Antwort wurden festgelegt.")</f>
        <v>Sicherheitsfrage und Antwort wurden festgelegt.</v>
      </c>
      <c r="P326" s="4" t="str">
        <f>IFERROR(__xludf.DUMMYFUNCTION("GOOGLETRANSLATE(B326, ""en"", ""he"")"),"שאלת אבטחה ותשובה נקבעו.")</f>
        <v>שאלת אבטחה ותשובה נקבעו.</v>
      </c>
      <c r="Q326" s="4" t="str">
        <f>IFERROR(__xludf.DUMMYFUNCTION("GOOGLETRANSLATE(B326, ""en"", ""cs"")"),"Bezpečnostní otázka a odpověď byla nastavena.")</f>
        <v>Bezpečnostní otázka a odpověď byla nastavena.</v>
      </c>
      <c r="R326" s="4" t="str">
        <f>IFERROR(__xludf.DUMMYFUNCTION("GOOGLETRANSLATE(B326, ""en"", ""it"")"),"Domanda di sicurezza e risposta sono state impostate.")</f>
        <v>Domanda di sicurezza e risposta sono state impostate.</v>
      </c>
      <c r="S326" s="4" t="str">
        <f>IFERROR(__xludf.DUMMYFUNCTION("GOOGLETRANSLATE(B326, ""en"", ""el"")"),"Έχουν οριστεί ερώτηση και η απάντηση.")</f>
        <v>Έχουν οριστεί ερώτηση και η απάντηση.</v>
      </c>
    </row>
    <row r="327" ht="15.75" customHeight="1">
      <c r="A327" s="4" t="s">
        <v>657</v>
      </c>
      <c r="B327" s="4" t="s">
        <v>658</v>
      </c>
      <c r="C327" s="4" t="str">
        <f>IFERROR(__xludf.DUMMYFUNCTION("GOOGLETRANSLATE(B327, ""en"", ""es"")"),"Bluetooth")</f>
        <v>Bluetooth</v>
      </c>
      <c r="D327" s="4" t="str">
        <f>IFERROR(__xludf.DUMMYFUNCTION("GOOGLETRANSLATE(B327, ""en"", ""pt"")"),"Bluetooth")</f>
        <v>Bluetooth</v>
      </c>
      <c r="E327" s="4" t="str">
        <f>IFERROR(__xludf.DUMMYFUNCTION("GOOGLETRANSLATE(B327, ""en"", ""ar"")"),"بلوتوث")</f>
        <v>بلوتوث</v>
      </c>
      <c r="F327" s="4" t="str">
        <f>IFERROR(__xludf.DUMMYFUNCTION("GOOGLETRANSLATE(B327, ""en"", ""km"")"),"ប៊្លូធូស")</f>
        <v>ប៊្លូធូស</v>
      </c>
      <c r="G327" s="4" t="str">
        <f>IFERROR(__xludf.DUMMYFUNCTION("GOOGLETRANSLATE(B327, ""en"", ""fr"")"),"Bluetooth")</f>
        <v>Bluetooth</v>
      </c>
      <c r="H327" s="4" t="str">
        <f>IFERROR(__xludf.DUMMYFUNCTION("GOOGLETRANSLATE(B327, ""en"", ""ro"")"),"Bluetooth")</f>
        <v>Bluetooth</v>
      </c>
      <c r="I327" s="4" t="str">
        <f>IFERROR(__xludf.DUMMYFUNCTION("GOOGLETRANSLATE(B327, ""en"", ""my"")"),"ဘလူးတုသ်")</f>
        <v>ဘလူးတုသ်</v>
      </c>
      <c r="J327" s="4" t="str">
        <f>IFERROR(__xludf.DUMMYFUNCTION("GOOGLETRANSLATE(B327, ""en"", ""sw"")"),"Bluetooth")</f>
        <v>Bluetooth</v>
      </c>
      <c r="K327" s="4" t="str">
        <f>IFERROR(__xludf.DUMMYFUNCTION("GOOGLETRANSLATE(B327, ""en"", ""th"")"),"บลูทู ธ")</f>
        <v>บลูทู ธ</v>
      </c>
      <c r="L327" s="4" t="str">
        <f>IFERROR(__xludf.DUMMYFUNCTION("GOOGLETRANSLATE(B327, ""en"", ""si"")"),"බ්ලූටූත්")</f>
        <v>බ්ලූටූත්</v>
      </c>
      <c r="M327" s="4" t="str">
        <f>IFERROR(__xludf.DUMMYFUNCTION("GOOGLETRANSLATE(B327, ""en"", ""vi"")"),"Bluetooth")</f>
        <v>Bluetooth</v>
      </c>
      <c r="N327" s="4" t="str">
        <f>IFERROR(__xludf.DUMMYFUNCTION("GOOGLETRANSLATE(B327, ""en"", ""ne"")"),"ब्लुटुथ")</f>
        <v>ब्लुटुथ</v>
      </c>
      <c r="O327" s="4" t="str">
        <f>IFERROR(__xludf.DUMMYFUNCTION("GOOGLETRANSLATE(B327, ""en"", ""de"")"),"Bluetooth")</f>
        <v>Bluetooth</v>
      </c>
      <c r="P327" s="4" t="str">
        <f>IFERROR(__xludf.DUMMYFUNCTION("GOOGLETRANSLATE(B327, ""en"", ""he"")"),"בלוטות")</f>
        <v>בלוטות</v>
      </c>
      <c r="Q327" s="4" t="str">
        <f>IFERROR(__xludf.DUMMYFUNCTION("GOOGLETRANSLATE(B327, ""en"", ""cs"")"),"Bluetooth.")</f>
        <v>Bluetooth.</v>
      </c>
      <c r="R327" s="4" t="str">
        <f>IFERROR(__xludf.DUMMYFUNCTION("GOOGLETRANSLATE(B327, ""en"", ""it"")"),"Bluetooth")</f>
        <v>Bluetooth</v>
      </c>
      <c r="S327" s="4" t="str">
        <f>IFERROR(__xludf.DUMMYFUNCTION("GOOGLETRANSLATE(B327, ""en"", ""el"")"),"Bluetooth")</f>
        <v>Bluetooth</v>
      </c>
    </row>
    <row r="328" ht="15.75" customHeight="1">
      <c r="A328" s="4" t="s">
        <v>659</v>
      </c>
      <c r="B328" s="4" t="s">
        <v>660</v>
      </c>
      <c r="C328" s="4" t="str">
        <f>IFERROR(__xludf.DUMMYFUNCTION("GOOGLETRANSLATE(B328, ""en"", ""es"")"),"Ahorro de batería")</f>
        <v>Ahorro de batería</v>
      </c>
      <c r="D328" s="4" t="str">
        <f>IFERROR(__xludf.DUMMYFUNCTION("GOOGLETRANSLATE(B328, ""en"", ""pt"")"),"Economizador de bateria")</f>
        <v>Economizador de bateria</v>
      </c>
      <c r="E328" s="4" t="str">
        <f>IFERROR(__xludf.DUMMYFUNCTION("GOOGLETRANSLATE(B328, ""en"", ""ar"")"),"حافظ البطارية")</f>
        <v>حافظ البطارية</v>
      </c>
      <c r="F328" s="4" t="str">
        <f>IFERROR(__xludf.DUMMYFUNCTION("GOOGLETRANSLATE(B328, ""en"", ""km"")"),"ឧបករណ៍សន្សំថ្ម")</f>
        <v>ឧបករណ៍សន្សំថ្ម</v>
      </c>
      <c r="G328" s="4" t="str">
        <f>IFERROR(__xludf.DUMMYFUNCTION("GOOGLETRANSLATE(B328, ""en"", ""fr"")"),"Économiseur de batterie")</f>
        <v>Économiseur de batterie</v>
      </c>
      <c r="H328" s="4" t="str">
        <f>IFERROR(__xludf.DUMMYFUNCTION("GOOGLETRANSLATE(B328, ""en"", ""ro"")"),"Saver de baterie")</f>
        <v>Saver de baterie</v>
      </c>
      <c r="I328" s="4" t="str">
        <f>IFERROR(__xludf.DUMMYFUNCTION("GOOGLETRANSLATE(B328, ""en"", ""my"")"),"ဘက်ထရီချွေတာ")</f>
        <v>ဘက်ထရီချွေတာ</v>
      </c>
      <c r="J328" s="4" t="str">
        <f>IFERROR(__xludf.DUMMYFUNCTION("GOOGLETRANSLATE(B328, ""en"", ""sw"")"),"Msaidizi wa Battery.")</f>
        <v>Msaidizi wa Battery.</v>
      </c>
      <c r="K328" s="4" t="str">
        <f>IFERROR(__xludf.DUMMYFUNCTION("GOOGLETRANSLATE(B328, ""en"", ""th"")"),"ประหยัดแบตเตอรี่")</f>
        <v>ประหยัดแบตเตอรี่</v>
      </c>
      <c r="L328" s="4" t="str">
        <f>IFERROR(__xludf.DUMMYFUNCTION("GOOGLETRANSLATE(B328, ""en"", ""si"")"),"බැටරි සේවර්")</f>
        <v>බැටරි සේවර්</v>
      </c>
      <c r="M328" s="4" t="str">
        <f>IFERROR(__xludf.DUMMYFUNCTION("GOOGLETRANSLATE(B328, ""en"", ""vi"")"),"Tiết kiệm pin")</f>
        <v>Tiết kiệm pin</v>
      </c>
      <c r="N328" s="4" t="str">
        <f>IFERROR(__xludf.DUMMYFUNCTION("GOOGLETRANSLATE(B328, ""en"", ""ne"")"),"ब्याट्री बचत")</f>
        <v>ब्याट्री बचत</v>
      </c>
      <c r="O328" s="4" t="str">
        <f>IFERROR(__xludf.DUMMYFUNCTION("GOOGLETRANSLATE(B328, ""en"", ""de"")"),"Batteriesparer.")</f>
        <v>Batteriesparer.</v>
      </c>
      <c r="P328" s="4" t="str">
        <f>IFERROR(__xludf.DUMMYFUNCTION("GOOGLETRANSLATE(B328, ""en"", ""he"")"),"שומר סוללה")</f>
        <v>שומר סוללה</v>
      </c>
      <c r="Q328" s="4" t="str">
        <f>IFERROR(__xludf.DUMMYFUNCTION("GOOGLETRANSLATE(B328, ""en"", ""cs"")"),"Šetřič baterie")</f>
        <v>Šetřič baterie</v>
      </c>
      <c r="R328" s="4" t="str">
        <f>IFERROR(__xludf.DUMMYFUNCTION("GOOGLETRANSLATE(B328, ""en"", ""it"")"),"Batteria Saver.")</f>
        <v>Batteria Saver.</v>
      </c>
      <c r="S328" s="4" t="str">
        <f>IFERROR(__xludf.DUMMYFUNCTION("GOOGLETRANSLATE(B328, ""en"", ""el"")"),"Εξοικονόμηση μπαταρίας")</f>
        <v>Εξοικονόμηση μπαταρίας</v>
      </c>
    </row>
    <row r="329" ht="15.75" customHeight="1">
      <c r="A329" s="4" t="s">
        <v>661</v>
      </c>
      <c r="B329" s="4" t="s">
        <v>511</v>
      </c>
      <c r="C329" s="4" t="str">
        <f>IFERROR(__xludf.DUMMYFUNCTION("GOOGLETRANSLATE(B329, ""en"", ""es"")"),"Frecuencia de recordatorio de basura")</f>
        <v>Frecuencia de recordatorio de basura</v>
      </c>
      <c r="D329" s="4" t="str">
        <f>IFERROR(__xludf.DUMMYFUNCTION("GOOGLETRANSLATE(B329, ""en"", ""pt"")"),"Freqüência de lembrete lixo")</f>
        <v>Freqüência de lembrete lixo</v>
      </c>
      <c r="E329" s="4" t="str">
        <f>IFERROR(__xludf.DUMMYFUNCTION("GOOGLETRANSLATE(B329, ""en"", ""ar"")"),"تردد تذكير غير المرغوب فيه")</f>
        <v>تردد تذكير غير المرغوب فيه</v>
      </c>
      <c r="F329" s="4" t="str">
        <f>IFERROR(__xludf.DUMMYFUNCTION("GOOGLETRANSLATE(B329, ""en"", ""km"")"),"ភាពញឹកញាប់នៃការរំ remind ក")</f>
        <v>ភាពញឹកញាប់នៃការរំ remind ក</v>
      </c>
      <c r="G329" s="4" t="str">
        <f>IFERROR(__xludf.DUMMYFUNCTION("GOOGLETRANSLATE(B329, ""en"", ""fr"")"),"Fréquence de rappel de déchets")</f>
        <v>Fréquence de rappel de déchets</v>
      </c>
      <c r="H329" s="4" t="str">
        <f>IFERROR(__xludf.DUMMYFUNCTION("GOOGLETRANSLATE(B329, ""en"", ""ro"")"),"Junk memento frecvență.")</f>
        <v>Junk memento frecvență.</v>
      </c>
      <c r="I329" s="4" t="str">
        <f>IFERROR(__xludf.DUMMYFUNCTION("GOOGLETRANSLATE(B329, ""en"", ""my"")"),"Junk သတိပေးဆီသို့")</f>
        <v>Junk သတိပေးဆီသို့</v>
      </c>
      <c r="J329" s="4" t="str">
        <f>IFERROR(__xludf.DUMMYFUNCTION("GOOGLETRANSLATE(B329, ""en"", ""sw"")"),"Mzunguko wa kukumbusha wa Junk.")</f>
        <v>Mzunguko wa kukumbusha wa Junk.</v>
      </c>
      <c r="K329" s="4" t="str">
        <f>IFERROR(__xludf.DUMMYFUNCTION("GOOGLETRANSLATE(B329, ""en"", ""th"")"),"ความถี่เตือนความจำขยะ")</f>
        <v>ความถี่เตือนความจำขยะ</v>
      </c>
      <c r="L329" s="4" t="str">
        <f>IFERROR(__xludf.DUMMYFUNCTION("GOOGLETRANSLATE(B329, ""en"", ""si"")"),"කුණු චේතන සංඛ්යාතය")</f>
        <v>කුණු චේතන සංඛ්යාතය</v>
      </c>
      <c r="M329" s="4" t="str">
        <f>IFERROR(__xludf.DUMMYFUNCTION("GOOGLETRANSLATE(B329, ""en"", ""vi"")"),"Tần số nhắc nhở rác")</f>
        <v>Tần số nhắc nhở rác</v>
      </c>
      <c r="N329" s="4" t="str">
        <f>IFERROR(__xludf.DUMMYFUNCTION("GOOGLETRANSLATE(B329, ""en"", ""ne"")"),"जंक रिमाइन्डर फ्रिक्वेन्सी")</f>
        <v>जंक रिमाइन्डर फ्रिक्वेन्सी</v>
      </c>
      <c r="O329" s="4" t="str">
        <f>IFERROR(__xludf.DUMMYFUNCTION("GOOGLETRANSLATE(B329, ""en"", ""de"")"),"Junk-Erinnerungsfrequenz.")</f>
        <v>Junk-Erinnerungsfrequenz.</v>
      </c>
      <c r="P329" s="4" t="str">
        <f>IFERROR(__xludf.DUMMYFUNCTION("GOOGLETRANSLATE(B329, ""en"", ""he"")"),"תדירות זבל תזכורת")</f>
        <v>תדירות זבל תזכורת</v>
      </c>
      <c r="Q329" s="4" t="str">
        <f>IFERROR(__xludf.DUMMYFUNCTION("GOOGLETRANSLATE(B329, ""en"", ""cs"")"),"Frekvence vyrovnávací paměti")</f>
        <v>Frekvence vyrovnávací paměti</v>
      </c>
      <c r="R329" s="4" t="str">
        <f>IFERROR(__xludf.DUMMYFUNCTION("GOOGLETRANSLATE(B329, ""en"", ""it"")"),"Frequenza di promemoria spazzatura")</f>
        <v>Frequenza di promemoria spazzatura</v>
      </c>
      <c r="S329" s="4" t="str">
        <f>IFERROR(__xludf.DUMMYFUNCTION("GOOGLETRANSLATE(B329, ""en"", ""el"")"),"Συχνότητα υπενθύμισης ανεπιθύμητης υπενθύμισης")</f>
        <v>Συχνότητα υπενθύμισης ανεπιθύμητης υπενθύμισης</v>
      </c>
    </row>
    <row r="330" ht="15.75" customHeight="1">
      <c r="A330" s="4" t="s">
        <v>662</v>
      </c>
      <c r="B330" s="4" t="s">
        <v>663</v>
      </c>
      <c r="C330" s="4" t="str">
        <f>IFERROR(__xludf.DUMMYFUNCTION("GOOGLETRANSLATE(B330, ""en"", ""es"")"),"Lista de juegos")</f>
        <v>Lista de juegos</v>
      </c>
      <c r="D330" s="4" t="str">
        <f>IFERROR(__xludf.DUMMYFUNCTION("GOOGLETRANSLATE(B330, ""en"", ""pt"")"),"Lista de jogos.")</f>
        <v>Lista de jogos.</v>
      </c>
      <c r="E330" s="4" t="str">
        <f>IFERROR(__xludf.DUMMYFUNCTION("GOOGLETRANSLATE(B330, ""en"", ""ar"")"),"قائمة اللعبة")</f>
        <v>قائمة اللعبة</v>
      </c>
      <c r="F330" s="4" t="str">
        <f>IFERROR(__xludf.DUMMYFUNCTION("GOOGLETRANSLATE(B330, ""en"", ""km"")"),"បញ្ជីហ្គេម")</f>
        <v>បញ្ជីហ្គេម</v>
      </c>
      <c r="G330" s="4" t="str">
        <f>IFERROR(__xludf.DUMMYFUNCTION("GOOGLETRANSLATE(B330, ""en"", ""fr"")"),"Liste de jeux")</f>
        <v>Liste de jeux</v>
      </c>
      <c r="H330" s="4" t="str">
        <f>IFERROR(__xludf.DUMMYFUNCTION("GOOGLETRANSLATE(B330, ""en"", ""ro"")"),"Lista de jocuri")</f>
        <v>Lista de jocuri</v>
      </c>
      <c r="I330" s="4" t="str">
        <f>IFERROR(__xludf.DUMMYFUNCTION("GOOGLETRANSLATE(B330, ""en"", ""my"")"),"ဂိမ်းစာရင်း")</f>
        <v>ဂိမ်းစာရင်း</v>
      </c>
      <c r="J330" s="4" t="str">
        <f>IFERROR(__xludf.DUMMYFUNCTION("GOOGLETRANSLATE(B330, ""en"", ""sw"")"),"Orodha ya mchezo")</f>
        <v>Orodha ya mchezo</v>
      </c>
      <c r="K330" s="4" t="str">
        <f>IFERROR(__xludf.DUMMYFUNCTION("GOOGLETRANSLATE(B330, ""en"", ""th"")"),"รายการเกม")</f>
        <v>รายการเกม</v>
      </c>
      <c r="L330" s="4" t="str">
        <f>IFERROR(__xludf.DUMMYFUNCTION("GOOGLETRANSLATE(B330, ""en"", ""si"")"),"ක්රීඩා ලැයිස්තුව")</f>
        <v>ක්රීඩා ලැයිස්තුව</v>
      </c>
      <c r="M330" s="4" t="str">
        <f>IFERROR(__xludf.DUMMYFUNCTION("GOOGLETRANSLATE(B330, ""en"", ""vi"")"),"Danh sách trò chơi")</f>
        <v>Danh sách trò chơi</v>
      </c>
      <c r="N330" s="4" t="str">
        <f>IFERROR(__xludf.DUMMYFUNCTION("GOOGLETRANSLATE(B330, ""en"", ""ne"")"),"खेल सूची")</f>
        <v>खेल सूची</v>
      </c>
      <c r="O330" s="4" t="str">
        <f>IFERROR(__xludf.DUMMYFUNCTION("GOOGLETRANSLATE(B330, ""en"", ""de"")"),"Spielliste")</f>
        <v>Spielliste</v>
      </c>
      <c r="P330" s="4" t="str">
        <f>IFERROR(__xludf.DUMMYFUNCTION("GOOGLETRANSLATE(B330, ""en"", ""he"")"),"רשימת משחקים")</f>
        <v>רשימת משחקים</v>
      </c>
      <c r="Q330" s="4" t="str">
        <f>IFERROR(__xludf.DUMMYFUNCTION("GOOGLETRANSLATE(B330, ""en"", ""cs"")"),"Seznam her")</f>
        <v>Seznam her</v>
      </c>
      <c r="R330" s="4" t="str">
        <f>IFERROR(__xludf.DUMMYFUNCTION("GOOGLETRANSLATE(B330, ""en"", ""it"")"),"Elenco dei giochi")</f>
        <v>Elenco dei giochi</v>
      </c>
      <c r="S330" s="4" t="str">
        <f>IFERROR(__xludf.DUMMYFUNCTION("GOOGLETRANSLATE(B330, ""en"", ""el"")"),"Λίστα παιχνιδιών")</f>
        <v>Λίστα παιχνιδιών</v>
      </c>
    </row>
    <row r="331" ht="15.75" customHeight="1">
      <c r="A331" s="4" t="s">
        <v>664</v>
      </c>
      <c r="B331" s="4" t="s">
        <v>665</v>
      </c>
      <c r="C331" s="4" t="str">
        <f>IFERROR(__xludf.DUMMYFUNCTION("GOOGLETRANSLATE(B331, ""en"", ""es"")"),"Intruso selfie")</f>
        <v>Intruso selfie</v>
      </c>
      <c r="D331" s="4" t="str">
        <f>IFERROR(__xludf.DUMMYFUNCTION("GOOGLETRANSLATE(B331, ""en"", ""pt"")"),"Selfie intruso")</f>
        <v>Selfie intruso</v>
      </c>
      <c r="E331" s="4" t="str">
        <f>IFERROR(__xludf.DUMMYFUNCTION("GOOGLETRANSLATE(B331, ""en"", ""ar"")"),"الدخيل صورة شخصية")</f>
        <v>الدخيل صورة شخصية</v>
      </c>
      <c r="F331" s="4" t="str">
        <f>IFERROR(__xludf.DUMMYFUNCTION("GOOGLETRANSLATE(B331, ""en"", ""km"")"),"អ្នកលួចបន្លំខ្លួនឯង")</f>
        <v>អ្នកលួចបន្លំខ្លួនឯង</v>
      </c>
      <c r="G331" s="4" t="str">
        <f>IFERROR(__xludf.DUMMYFUNCTION("GOOGLETRANSLATE(B331, ""en"", ""fr"")"),"Intrus selfie")</f>
        <v>Intrus selfie</v>
      </c>
      <c r="H331" s="4" t="str">
        <f>IFERROR(__xludf.DUMMYFUNCTION("GOOGLETRANSLATE(B331, ""en"", ""ro"")"),"Intrusul auto")</f>
        <v>Intrusul auto</v>
      </c>
      <c r="I331" s="4" t="str">
        <f>IFERROR(__xludf.DUMMYFUNCTION("GOOGLETRANSLATE(B331, ""en"", ""my"")"),"ကျူးကျော် selfie")</f>
        <v>ကျူးကျော် selfie</v>
      </c>
      <c r="J331" s="4" t="str">
        <f>IFERROR(__xludf.DUMMYFUNCTION("GOOGLETRANSLATE(B331, ""en"", ""sw"")"),"Selfie ya intruder.")</f>
        <v>Selfie ya intruder.</v>
      </c>
      <c r="K331" s="4" t="str">
        <f>IFERROR(__xludf.DUMMYFUNCTION("GOOGLETRANSLATE(B331, ""en"", ""th"")"),"เซลฟี่ผู้บุกรุก")</f>
        <v>เซลฟี่ผู้บุกรุก</v>
      </c>
      <c r="L331" s="4" t="str">
        <f>IFERROR(__xludf.DUMMYFUNCTION("GOOGLETRANSLATE(B331, ""en"", ""si"")"),"ආක්රමණශීලී සෙල්ෆි")</f>
        <v>ආක්රමණශීලී සෙල්ෆි</v>
      </c>
      <c r="M331" s="4" t="str">
        <f>IFERROR(__xludf.DUMMYFUNCTION("GOOGLETRANSLATE(B331, ""en"", ""vi"")"),"Intruder Selfie.")</f>
        <v>Intruder Selfie.</v>
      </c>
      <c r="N331" s="4" t="str">
        <f>IFERROR(__xludf.DUMMYFUNCTION("GOOGLETRANSLATE(B331, ""en"", ""ne"")"),"घुसपैठ गर्ने स्वार्थी")</f>
        <v>घुसपैठ गर्ने स्वार्थी</v>
      </c>
      <c r="O331" s="4" t="str">
        <f>IFERROR(__xludf.DUMMYFUNCTION("GOOGLETRANSLATE(B331, ""en"", ""de"")"),"Intruder Selfie.")</f>
        <v>Intruder Selfie.</v>
      </c>
      <c r="P331" s="4" t="str">
        <f>IFERROR(__xludf.DUMMYFUNCTION("GOOGLETRANSLATE(B331, ""en"", ""he"")"),"פולש selfie.")</f>
        <v>פולש selfie.</v>
      </c>
      <c r="Q331" s="4" t="str">
        <f>IFERROR(__xludf.DUMMYFUNCTION("GOOGLETRANSLATE(B331, ""en"", ""cs"")"),"Vetřelec selfie")</f>
        <v>Vetřelec selfie</v>
      </c>
      <c r="R331" s="4" t="str">
        <f>IFERROR(__xludf.DUMMYFUNCTION("GOOGLETRANSLATE(B331, ""en"", ""it"")"),"Selfie intruso")</f>
        <v>Selfie intruso</v>
      </c>
      <c r="S331" s="4" t="str">
        <f>IFERROR(__xludf.DUMMYFUNCTION("GOOGLETRANSLATE(B331, ""en"", ""el"")"),"INTRUDER Selfie")</f>
        <v>INTRUDER Selfie</v>
      </c>
    </row>
    <row r="332" ht="15.75" customHeight="1">
      <c r="A332" s="4" t="s">
        <v>666</v>
      </c>
      <c r="B332" s="4" t="s">
        <v>667</v>
      </c>
      <c r="C332" s="4" t="str">
        <f>IFERROR(__xludf.DUMMYFUNCTION("GOOGLETRANSLATE(B332, ""en"", ""es"")"),"Recordar cuando la memoria se sobresale")</f>
        <v>Recordar cuando la memoria se sobresale</v>
      </c>
      <c r="D332" s="4" t="str">
        <f>IFERROR(__xludf.DUMMYFUNCTION("GOOGLETRANSLATE(B332, ""en"", ""pt"")"),"Lembre quando a sobrecarga de memória")</f>
        <v>Lembre quando a sobrecarga de memória</v>
      </c>
      <c r="E332" s="4" t="str">
        <f>IFERROR(__xludf.DUMMYFUNCTION("GOOGLETRANSLATE(B332, ""en"", ""ar"")"),"تذكير عند زيادة الذاكرة")</f>
        <v>تذكير عند زيادة الذاكرة</v>
      </c>
      <c r="F332" s="4" t="str">
        <f>IFERROR(__xludf.DUMMYFUNCTION("GOOGLETRANSLATE(B332, ""en"", ""km"")"),"រំ at កនៅពេលដែលការចងចាំប្រើក្នុងការចងចាំ")</f>
        <v>រំ at កនៅពេលដែលការចងចាំប្រើក្នុងការចងចាំ</v>
      </c>
      <c r="G332" s="4" t="str">
        <f>IFERROR(__xludf.DUMMYFUNCTION("GOOGLETRANSLATE(B332, ""en"", ""fr"")"),"Rappelez-vous quand la mémoire dépassant")</f>
        <v>Rappelez-vous quand la mémoire dépassant</v>
      </c>
      <c r="H332" s="4" t="str">
        <f>IFERROR(__xludf.DUMMYFUNCTION("GOOGLETRANSLATE(B332, ""en"", ""ro"")"),"Amintesc când memoria depășește")</f>
        <v>Amintesc când memoria depășește</v>
      </c>
      <c r="I332" s="4" t="str">
        <f>IFERROR(__xludf.DUMMYFUNCTION("GOOGLETRANSLATE(B332, ""en"", ""my"")"),"မှတ်ဥာဏ် overusing အခါသတိပေး")</f>
        <v>မှတ်ဥာဏ် overusing အခါသတိပေး</v>
      </c>
      <c r="J332" s="4" t="str">
        <f>IFERROR(__xludf.DUMMYFUNCTION("GOOGLETRANSLATE(B332, ""en"", ""sw"")"),"Kumbuka wakati kumbukumbu ya kupungua")</f>
        <v>Kumbuka wakati kumbukumbu ya kupungua</v>
      </c>
      <c r="K332" s="4" t="str">
        <f>IFERROR(__xludf.DUMMYFUNCTION("GOOGLETRANSLATE(B332, ""en"", ""th"")"),"เตือนเมื่อหน่วยความจำเกินไป")</f>
        <v>เตือนเมื่อหน่วยความจำเกินไป</v>
      </c>
      <c r="L332" s="4" t="str">
        <f>IFERROR(__xludf.DUMMYFUNCTION("GOOGLETRANSLATE(B332, ""en"", ""si"")"),"මතකය අධික ලෙස මතක් කර දෙන විට මතක් කරන්න")</f>
        <v>මතකය අධික ලෙස මතක් කර දෙන විට මතක් කරන්න</v>
      </c>
      <c r="M332" s="4" t="str">
        <f>IFERROR(__xludf.DUMMYFUNCTION("GOOGLETRANSLATE(B332, ""en"", ""vi"")"),"Nhắc nhở khi bộ nhớ lạm dụng")</f>
        <v>Nhắc nhở khi bộ nhớ lạm dụng</v>
      </c>
      <c r="N332" s="4" t="str">
        <f>IFERROR(__xludf.DUMMYFUNCTION("GOOGLETRANSLATE(B332, ""en"", ""ne"")"),"मेमोरीलाई ओभरराइज गर्दा सम्झाउनुहोस्")</f>
        <v>मेमोरीलाई ओभरराइज गर्दा सम्झाउनुहोस्</v>
      </c>
      <c r="O332" s="4" t="str">
        <f>IFERROR(__xludf.DUMMYFUNCTION("GOOGLETRANSLATE(B332, ""en"", ""de"")"),"Erinnern, wenn erinnerungsübergeht")</f>
        <v>Erinnern, wenn erinnerungsübergeht</v>
      </c>
      <c r="P332" s="4" t="str">
        <f>IFERROR(__xludf.DUMMYFUNCTION("GOOGLETRANSLATE(B332, ""en"", ""he"")"),"להזכיר כאשר זיכרון יתפתן")</f>
        <v>להזכיר כאשר זיכרון יתפתן</v>
      </c>
      <c r="Q332" s="4" t="str">
        <f>IFERROR(__xludf.DUMMYFUNCTION("GOOGLETRANSLATE(B332, ""en"", ""cs"")"),"Připomeňte, když je nepoužívaná paměť")</f>
        <v>Připomeňte, když je nepoužívaná paměť</v>
      </c>
      <c r="R332" s="4" t="str">
        <f>IFERROR(__xludf.DUMMYFUNCTION("GOOGLETRANSLATE(B332, ""en"", ""it"")"),"Ricorda quando la memoria che sovrasta")</f>
        <v>Ricorda quando la memoria che sovrasta</v>
      </c>
      <c r="S332" s="4" t="str">
        <f>IFERROR(__xludf.DUMMYFUNCTION("GOOGLETRANSLATE(B332, ""en"", ""el"")"),"Υπενθύμιση κατά την υπερβολική μνήμη")</f>
        <v>Υπενθύμιση κατά την υπερβολική μνήμη</v>
      </c>
    </row>
    <row r="333" ht="15.75" customHeight="1">
      <c r="A333" s="4" t="s">
        <v>668</v>
      </c>
      <c r="B333" s="4" t="s">
        <v>669</v>
      </c>
      <c r="C333" s="4" t="str">
        <f>IFERROR(__xludf.DUMMYFUNCTION("GOOGLETRANSLATE(B333, ""en"", ""es"")"),"Aplicación de bloqueo inmediatamente")</f>
        <v>Aplicación de bloqueo inmediatamente</v>
      </c>
      <c r="D333" s="4" t="str">
        <f>IFERROR(__xludf.DUMMYFUNCTION("GOOGLETRANSLATE(B333, ""en"", ""pt"")"),"Bloqueio do aplicativo imediatamente")</f>
        <v>Bloqueio do aplicativo imediatamente</v>
      </c>
      <c r="E333" s="4" t="str">
        <f>IFERROR(__xludf.DUMMYFUNCTION("GOOGLETRANSLATE(B333, ""en"", ""ar"")"),"قفل التطبيق على الفور")</f>
        <v>قفل التطبيق على الفور</v>
      </c>
      <c r="F333" s="4" t="str">
        <f>IFERROR(__xludf.DUMMYFUNCTION("GOOGLETRANSLATE(B333, ""en"", ""km"")"),"ចាក់សោកម្មវិធីភ្លាមៗ")</f>
        <v>ចាក់សោកម្មវិធីភ្លាមៗ</v>
      </c>
      <c r="G333" s="4" t="str">
        <f>IFERROR(__xludf.DUMMYFUNCTION("GOOGLETRANSLATE(B333, ""en"", ""fr"")"),"Verrouiller l'application immédiatement")</f>
        <v>Verrouiller l'application immédiatement</v>
      </c>
      <c r="H333" s="4" t="str">
        <f>IFERROR(__xludf.DUMMYFUNCTION("GOOGLETRANSLATE(B333, ""en"", ""ro"")"),"Blocați aplicația imediat")</f>
        <v>Blocați aplicația imediat</v>
      </c>
      <c r="I333" s="4" t="str">
        <f>IFERROR(__xludf.DUMMYFUNCTION("GOOGLETRANSLATE(B333, ""en"", ""my"")"),"ချက်ချင်း Lock App ကိုနှိပ်ပါ")</f>
        <v>ချက်ချင်း Lock App ကိုနှိပ်ပါ</v>
      </c>
      <c r="J333" s="4" t="str">
        <f>IFERROR(__xludf.DUMMYFUNCTION("GOOGLETRANSLATE(B333, ""en"", ""sw"")"),"Funika programu mara moja")</f>
        <v>Funika programu mara moja</v>
      </c>
      <c r="K333" s="4" t="str">
        <f>IFERROR(__xludf.DUMMYFUNCTION("GOOGLETRANSLATE(B333, ""en"", ""th"")"),"ล็อคแอปทันที")</f>
        <v>ล็อคแอปทันที</v>
      </c>
      <c r="L333" s="4" t="str">
        <f>IFERROR(__xludf.DUMMYFUNCTION("GOOGLETRANSLATE(B333, ""en"", ""si"")"),"අගුළු ඇප් වහාම")</f>
        <v>අගුළු ඇප් වහාම</v>
      </c>
      <c r="M333" s="4" t="str">
        <f>IFERROR(__xludf.DUMMYFUNCTION("GOOGLETRANSLATE(B333, ""en"", ""vi"")"),"Khóa ứng dụng ngay lập tức")</f>
        <v>Khóa ứng dụng ngay lập tức</v>
      </c>
      <c r="N333" s="4" t="str">
        <f>IFERROR(__xludf.DUMMYFUNCTION("GOOGLETRANSLATE(B333, ""en"", ""ne"")"),"तुरुन्त अनुप्रयोग लक गर्नुहोस्")</f>
        <v>तुरुन्त अनुप्रयोग लक गर्नुहोस्</v>
      </c>
      <c r="O333" s="4" t="str">
        <f>IFERROR(__xludf.DUMMYFUNCTION("GOOGLETRANSLATE(B333, ""en"", ""de"")"),"App sofort sperren")</f>
        <v>App sofort sperren</v>
      </c>
      <c r="P333" s="4" t="str">
        <f>IFERROR(__xludf.DUMMYFUNCTION("GOOGLETRANSLATE(B333, ""en"", ""he"")"),"מנעול אפליקציה מיד")</f>
        <v>מנעול אפליקציה מיד</v>
      </c>
      <c r="Q333" s="4" t="str">
        <f>IFERROR(__xludf.DUMMYFUNCTION("GOOGLETRANSLATE(B333, ""en"", ""cs"")"),"Zamknout aplikaci Ihned")</f>
        <v>Zamknout aplikaci Ihned</v>
      </c>
      <c r="R333" s="4" t="str">
        <f>IFERROR(__xludf.DUMMYFUNCTION("GOOGLETRANSLATE(B333, ""en"", ""it"")"),"Blocca immediatamente app")</f>
        <v>Blocca immediatamente app</v>
      </c>
      <c r="S333" s="4" t="str">
        <f>IFERROR(__xludf.DUMMYFUNCTION("GOOGLETRANSLATE(B333, ""en"", ""el"")"),"Αμέσως κλειδώματος")</f>
        <v>Αμέσως κλειδώματος</v>
      </c>
    </row>
    <row r="334" ht="15.75" customHeight="1">
      <c r="A334" s="4" t="s">
        <v>670</v>
      </c>
      <c r="B334" s="4" t="s">
        <v>671</v>
      </c>
      <c r="C334" s="4" t="str">
        <f>IFERROR(__xludf.DUMMYFUNCTION("GOOGLETRANSLATE(B334, ""en"", ""es"")"),"Solicitud de permiso")</f>
        <v>Solicitud de permiso</v>
      </c>
      <c r="D334" s="4" t="str">
        <f>IFERROR(__xludf.DUMMYFUNCTION("GOOGLETRANSLATE(B334, ""en"", ""pt"")"),"Solicitação de permissão")</f>
        <v>Solicitação de permissão</v>
      </c>
      <c r="E334" s="4" t="str">
        <f>IFERROR(__xludf.DUMMYFUNCTION("GOOGLETRANSLATE(B334, ""en"", ""ar"")"),"طلب اذن")</f>
        <v>طلب اذن</v>
      </c>
      <c r="F334" s="4" t="str">
        <f>IFERROR(__xludf.DUMMYFUNCTION("GOOGLETRANSLATE(B334, ""en"", ""km"")"),"ការស្នើសុំការអនុញ្ញាត")</f>
        <v>ការស្នើសុំការអនុញ្ញាត</v>
      </c>
      <c r="G334" s="4" t="str">
        <f>IFERROR(__xludf.DUMMYFUNCTION("GOOGLETRANSLATE(B334, ""en"", ""fr"")"),"Demande d'autorisation")</f>
        <v>Demande d'autorisation</v>
      </c>
      <c r="H334" s="4" t="str">
        <f>IFERROR(__xludf.DUMMYFUNCTION("GOOGLETRANSLATE(B334, ""en"", ""ro"")"),"Cerere de permisiune")</f>
        <v>Cerere de permisiune</v>
      </c>
      <c r="I334" s="4" t="str">
        <f>IFERROR(__xludf.DUMMYFUNCTION("GOOGLETRANSLATE(B334, ""en"", ""my"")"),"ခွင့်ပြုချက်တောင်းခံခြင်း")</f>
        <v>ခွင့်ပြုချက်တောင်းခံခြင်း</v>
      </c>
      <c r="J334" s="4" t="str">
        <f>IFERROR(__xludf.DUMMYFUNCTION("GOOGLETRANSLATE(B334, ""en"", ""sw"")"),"Ombi la Ruhusa")</f>
        <v>Ombi la Ruhusa</v>
      </c>
      <c r="K334" s="4" t="str">
        <f>IFERROR(__xludf.DUMMYFUNCTION("GOOGLETRANSLATE(B334, ""en"", ""th"")"),"คำขออนุญาต")</f>
        <v>คำขออนุญาต</v>
      </c>
      <c r="L334" s="4" t="str">
        <f>IFERROR(__xludf.DUMMYFUNCTION("GOOGLETRANSLATE(B334, ""en"", ""si"")"),"අවසර ඉල්ලීම")</f>
        <v>අවසර ඉල්ලීම</v>
      </c>
      <c r="M334" s="4" t="str">
        <f>IFERROR(__xludf.DUMMYFUNCTION("GOOGLETRANSLATE(B334, ""en"", ""vi"")"),"Yêu cầu sự cho phép")</f>
        <v>Yêu cầu sự cho phép</v>
      </c>
      <c r="N334" s="4" t="str">
        <f>IFERROR(__xludf.DUMMYFUNCTION("GOOGLETRANSLATE(B334, ""en"", ""ne"")"),"अनुमति अनुरोध")</f>
        <v>अनुमति अनुरोध</v>
      </c>
      <c r="O334" s="4" t="str">
        <f>IFERROR(__xludf.DUMMYFUNCTION("GOOGLETRANSLATE(B334, ""en"", ""de"")"),"Erlaubnisanfrage")</f>
        <v>Erlaubnisanfrage</v>
      </c>
      <c r="P334" s="4" t="str">
        <f>IFERROR(__xludf.DUMMYFUNCTION("GOOGLETRANSLATE(B334, ""en"", ""he"")"),"בקשת רשות")</f>
        <v>בקשת רשות</v>
      </c>
      <c r="Q334" s="4" t="str">
        <f>IFERROR(__xludf.DUMMYFUNCTION("GOOGLETRANSLATE(B334, ""en"", ""cs"")"),"Žádost o povolení")</f>
        <v>Žádost o povolení</v>
      </c>
      <c r="R334" s="4" t="str">
        <f>IFERROR(__xludf.DUMMYFUNCTION("GOOGLETRANSLATE(B334, ""en"", ""it"")"),"Richiesta di permesso")</f>
        <v>Richiesta di permesso</v>
      </c>
      <c r="S334" s="4" t="str">
        <f>IFERROR(__xludf.DUMMYFUNCTION("GOOGLETRANSLATE(B334, ""en"", ""el"")"),"Αίτηση άδειας")</f>
        <v>Αίτηση άδειας</v>
      </c>
    </row>
    <row r="335" ht="15.75" customHeight="1">
      <c r="A335" s="4" t="s">
        <v>672</v>
      </c>
      <c r="B335" s="4" t="s">
        <v>673</v>
      </c>
      <c r="C335" s="4" t="str">
        <f>IFERROR(__xludf.DUMMYFUNCTION("GOOGLETRANSLATE(B335, ""en"", ""es"")"),"Protección en tiempo real")</f>
        <v>Protección en tiempo real</v>
      </c>
      <c r="D335" s="4" t="str">
        <f>IFERROR(__xludf.DUMMYFUNCTION("GOOGLETRANSLATE(B335, ""en"", ""pt"")"),"Proteção em tempo real")</f>
        <v>Proteção em tempo real</v>
      </c>
      <c r="E335" s="4" t="str">
        <f>IFERROR(__xludf.DUMMYFUNCTION("GOOGLETRANSLATE(B335, ""en"", ""ar"")"),"الحماية في الوقت الحقيقي")</f>
        <v>الحماية في الوقت الحقيقي</v>
      </c>
      <c r="F335" s="4" t="str">
        <f>IFERROR(__xludf.DUMMYFUNCTION("GOOGLETRANSLATE(B335, ""en"", ""km"")"),"ការការពារពេលវេលាពិតប្រាកដ")</f>
        <v>ការការពារពេលវេលាពិតប្រាកដ</v>
      </c>
      <c r="G335" s="4" t="str">
        <f>IFERROR(__xludf.DUMMYFUNCTION("GOOGLETRANSLATE(B335, ""en"", ""fr"")"),"Protection en temps réel")</f>
        <v>Protection en temps réel</v>
      </c>
      <c r="H335" s="4" t="str">
        <f>IFERROR(__xludf.DUMMYFUNCTION("GOOGLETRANSLATE(B335, ""en"", ""ro"")"),"Protectie in timp real")</f>
        <v>Protectie in timp real</v>
      </c>
      <c r="I335" s="4" t="str">
        <f>IFERROR(__xludf.DUMMYFUNCTION("GOOGLETRANSLATE(B335, ""en"", ""my"")"),"အချိန်နှင့်တပြေးညီကာကွယ်မှု")</f>
        <v>အချိန်နှင့်တပြေးညီကာကွယ်မှု</v>
      </c>
      <c r="J335" s="4" t="str">
        <f>IFERROR(__xludf.DUMMYFUNCTION("GOOGLETRANSLATE(B335, ""en"", ""sw"")"),"Ulinzi wa muda halisi")</f>
        <v>Ulinzi wa muda halisi</v>
      </c>
      <c r="K335" s="4" t="str">
        <f>IFERROR(__xludf.DUMMYFUNCTION("GOOGLETRANSLATE(B335, ""en"", ""th"")"),"การป้องกันแบบเรียลไทม์")</f>
        <v>การป้องกันแบบเรียลไทม์</v>
      </c>
      <c r="L335" s="4" t="str">
        <f>IFERROR(__xludf.DUMMYFUNCTION("GOOGLETRANSLATE(B335, ""en"", ""si"")"),"තථ්ය කාලීන ආරක්ෂාව")</f>
        <v>තථ්ය කාලීන ආරක්ෂාව</v>
      </c>
      <c r="M335" s="4" t="str">
        <f>IFERROR(__xludf.DUMMYFUNCTION("GOOGLETRANSLATE(B335, ""en"", ""vi"")"),"Bảo vệ thời gian thực")</f>
        <v>Bảo vệ thời gian thực</v>
      </c>
      <c r="N335" s="4" t="str">
        <f>IFERROR(__xludf.DUMMYFUNCTION("GOOGLETRANSLATE(B335, ""en"", ""ne"")"),"वास्तविक-समय सुरक्षा")</f>
        <v>वास्तविक-समय सुरक्षा</v>
      </c>
      <c r="O335" s="4" t="str">
        <f>IFERROR(__xludf.DUMMYFUNCTION("GOOGLETRANSLATE(B335, ""en"", ""de"")"),"Echtzeitschutz")</f>
        <v>Echtzeitschutz</v>
      </c>
      <c r="P335" s="4" t="str">
        <f>IFERROR(__xludf.DUMMYFUNCTION("GOOGLETRANSLATE(B335, ""en"", ""he"")"),"הגנה בזמן אמת")</f>
        <v>הגנה בזמן אמת</v>
      </c>
      <c r="Q335" s="4" t="str">
        <f>IFERROR(__xludf.DUMMYFUNCTION("GOOGLETRANSLATE(B335, ""en"", ""cs"")"),"Ochrana v reálném čase")</f>
        <v>Ochrana v reálném čase</v>
      </c>
      <c r="R335" s="4" t="str">
        <f>IFERROR(__xludf.DUMMYFUNCTION("GOOGLETRANSLATE(B335, ""en"", ""it"")"),"Protezione in tempo reale")</f>
        <v>Protezione in tempo reale</v>
      </c>
      <c r="S335" s="4" t="str">
        <f>IFERROR(__xludf.DUMMYFUNCTION("GOOGLETRANSLATE(B335, ""en"", ""el"")"),"Προστασία σε πραγματικό χρόνο")</f>
        <v>Προστασία σε πραγματικό χρόνο</v>
      </c>
    </row>
    <row r="336" ht="15.75" customHeight="1">
      <c r="A336" s="4" t="s">
        <v>674</v>
      </c>
      <c r="B336" s="4" t="s">
        <v>675</v>
      </c>
      <c r="C336" s="4" t="str">
        <f>IFERROR(__xludf.DUMMYFUNCTION("GOOGLETRANSLATE(B336, ""en"", ""es"")"),"Cargando terminado")</f>
        <v>Cargando terminado</v>
      </c>
      <c r="D336" s="4" t="str">
        <f>IFERROR(__xludf.DUMMYFUNCTION("GOOGLETRANSLATE(B336, ""en"", ""pt"")"),"Carregando terminado")</f>
        <v>Carregando terminado</v>
      </c>
      <c r="E336" s="4" t="str">
        <f>IFERROR(__xludf.DUMMYFUNCTION("GOOGLETRANSLATE(B336, ""en"", ""ar"")"),"الشحن النهائي")</f>
        <v>الشحن النهائي</v>
      </c>
      <c r="F336" s="4" t="str">
        <f>IFERROR(__xludf.DUMMYFUNCTION("GOOGLETRANSLATE(B336, ""en"", ""km"")"),"ការគិតថ្លៃបានបញ្ចប់")</f>
        <v>ការគិតថ្លៃបានបញ្ចប់</v>
      </c>
      <c r="G336" s="4" t="str">
        <f>IFERROR(__xludf.DUMMYFUNCTION("GOOGLETRANSLATE(B336, ""en"", ""fr"")"),"Chargement fini")</f>
        <v>Chargement fini</v>
      </c>
      <c r="H336" s="4" t="str">
        <f>IFERROR(__xludf.DUMMYFUNCTION("GOOGLETRANSLATE(B336, ""en"", ""ro"")"),"Încărcarea finalizată")</f>
        <v>Încărcarea finalizată</v>
      </c>
      <c r="I336" s="4" t="str">
        <f>IFERROR(__xludf.DUMMYFUNCTION("GOOGLETRANSLATE(B336, ""en"", ""my"")"),"အားသွင်းပြီးပြီ")</f>
        <v>အားသွင်းပြီးပြီ</v>
      </c>
      <c r="J336" s="4" t="str">
        <f>IFERROR(__xludf.DUMMYFUNCTION("GOOGLETRANSLATE(B336, ""en"", ""sw"")"),"Kulipa kumaliza")</f>
        <v>Kulipa kumaliza</v>
      </c>
      <c r="K336" s="4" t="str">
        <f>IFERROR(__xludf.DUMMYFUNCTION("GOOGLETRANSLATE(B336, ""en"", ""th"")"),"การชาร์จเสร็จแล้ว")</f>
        <v>การชาร์จเสร็จแล้ว</v>
      </c>
      <c r="L336" s="4" t="str">
        <f>IFERROR(__xludf.DUMMYFUNCTION("GOOGLETRANSLATE(B336, ""en"", ""si"")"),"ආරෝපණය අවසන්")</f>
        <v>ආරෝපණය අවසන්</v>
      </c>
      <c r="M336" s="4" t="str">
        <f>IFERROR(__xludf.DUMMYFUNCTION("GOOGLETRANSLATE(B336, ""en"", ""vi"")"),"Sạc kết thúc")</f>
        <v>Sạc kết thúc</v>
      </c>
      <c r="N336" s="4" t="str">
        <f>IFERROR(__xludf.DUMMYFUNCTION("GOOGLETRANSLATE(B336, ""en"", ""ne"")"),"चार्ज समाप्त भयो")</f>
        <v>चार्ज समाप्त भयो</v>
      </c>
      <c r="O336" s="4" t="str">
        <f>IFERROR(__xludf.DUMMYFUNCTION("GOOGLETRANSLATE(B336, ""en"", ""de"")"),"Aufladung fertig")</f>
        <v>Aufladung fertig</v>
      </c>
      <c r="P336" s="4" t="str">
        <f>IFERROR(__xludf.DUMMYFUNCTION("GOOGLETRANSLATE(B336, ""en"", ""he"")"),"טעינה סיים")</f>
        <v>טעינה סיים</v>
      </c>
      <c r="Q336" s="4" t="str">
        <f>IFERROR(__xludf.DUMMYFUNCTION("GOOGLETRANSLATE(B336, ""en"", ""cs"")"),"Nabíjení skončil")</f>
        <v>Nabíjení skončil</v>
      </c>
      <c r="R336" s="4" t="str">
        <f>IFERROR(__xludf.DUMMYFUNCTION("GOOGLETRANSLATE(B336, ""en"", ""it"")"),"Ricarica finito")</f>
        <v>Ricarica finito</v>
      </c>
      <c r="S336" s="4" t="str">
        <f>IFERROR(__xludf.DUMMYFUNCTION("GOOGLETRANSLATE(B336, ""en"", ""el"")"),"Φόρτιση τελείωσε")</f>
        <v>Φόρτιση τελείωσε</v>
      </c>
    </row>
    <row r="337" ht="15.75" customHeight="1">
      <c r="A337" s="4" t="s">
        <v>676</v>
      </c>
      <c r="B337" s="4" t="s">
        <v>677</v>
      </c>
      <c r="C337" s="4" t="str">
        <f>IFERROR(__xludf.DUMMYFUNCTION("GOOGLETRANSLATE(B337, ""en"", ""es"")")," 888 / año")</f>
        <v> 888 / año</v>
      </c>
      <c r="D337" s="4" t="str">
        <f>IFERROR(__xludf.DUMMYFUNCTION("GOOGLETRANSLATE(B337, ""en"", ""pt"")")," 888 / ano")</f>
        <v> 888 / ano</v>
      </c>
      <c r="E337" s="4" t="str">
        <f>IFERROR(__xludf.DUMMYFUNCTION("GOOGLETRANSLATE(B337, ""en"", ""ar"")")," 888 / سنة")</f>
        <v> 888 / سنة</v>
      </c>
      <c r="F337" s="4" t="str">
        <f>IFERROR(__xludf.DUMMYFUNCTION("GOOGLETRANSLATE(B337, ""en"", ""km"")")," 888 / ឆ្នាំ")</f>
        <v> 888 / ឆ្នាំ</v>
      </c>
      <c r="G337" s="4" t="str">
        <f>IFERROR(__xludf.DUMMYFUNCTION("GOOGLETRANSLATE(B337, ""en"", ""fr"")")," 888 / an")</f>
        <v> 888 / an</v>
      </c>
      <c r="H337" s="4" t="str">
        <f>IFERROR(__xludf.DUMMYFUNCTION("GOOGLETRANSLATE(B337, ""en"", ""ro"")")," 888 / an.")</f>
        <v> 888 / an.</v>
      </c>
      <c r="I337" s="4" t="str">
        <f>IFERROR(__xludf.DUMMYFUNCTION("GOOGLETRANSLATE(B337, ""en"", ""my"")")," 888 / နှစ်")</f>
        <v> 888 / နှစ်</v>
      </c>
      <c r="J337" s="4" t="str">
        <f>IFERROR(__xludf.DUMMYFUNCTION("GOOGLETRANSLATE(B337, ""en"", ""sw"")")," 888 / mwaka.")</f>
        <v> 888 / mwaka.</v>
      </c>
      <c r="K337" s="4" t="str">
        <f>IFERROR(__xludf.DUMMYFUNCTION("GOOGLETRANSLATE(B337, ""en"", ""th"")")," 888 / ปี")</f>
        <v> 888 / ปี</v>
      </c>
      <c r="L337" s="4" t="str">
        <f>IFERROR(__xludf.DUMMYFUNCTION("GOOGLETRANSLATE(B337, ""en"", ""si"")")," අවුරුදු 888 /")</f>
        <v> අවුරුදු 888 /</v>
      </c>
      <c r="M337" s="4" t="str">
        <f>IFERROR(__xludf.DUMMYFUNCTION("GOOGLETRANSLATE(B337, ""en"", ""vi"")")," 888 / năm")</f>
        <v> 888 / năm</v>
      </c>
      <c r="N337" s="4" t="str">
        <f>IFERROR(__xludf.DUMMYFUNCTION("GOOGLETRANSLATE(B337, ""en"", ""ne"")")," 8 888 / / वर्ष")</f>
        <v> 8 888 / / वर्ष</v>
      </c>
      <c r="O337" s="4" t="str">
        <f>IFERROR(__xludf.DUMMYFUNCTION("GOOGLETRANSLATE(B337, ""en"", ""de"")")," 888 / Jahr.")</f>
        <v> 888 / Jahr.</v>
      </c>
      <c r="P337" s="4" t="str">
        <f>IFERROR(__xludf.DUMMYFUNCTION("GOOGLETRANSLATE(B337, ""en"", ""he"")")," 888 / year.")</f>
        <v> 888 / year.</v>
      </c>
      <c r="Q337" s="4" t="str">
        <f>IFERROR(__xludf.DUMMYFUNCTION("GOOGLETRANSLATE(B337, ""en"", ""cs"")")," 888 / rok")</f>
        <v> 888 / rok</v>
      </c>
      <c r="R337" s="4" t="str">
        <f>IFERROR(__xludf.DUMMYFUNCTION("GOOGLETRANSLATE(B337, ""en"", ""it"")")," 888 / anno")</f>
        <v> 888 / anno</v>
      </c>
      <c r="S337" s="4" t="str">
        <f>IFERROR(__xludf.DUMMYFUNCTION("GOOGLETRANSLATE(B337, ""en"", ""el"")")," 888 / έτος")</f>
        <v> 888 / έτος</v>
      </c>
    </row>
    <row r="338" ht="15.75" customHeight="1">
      <c r="A338" s="4" t="s">
        <v>678</v>
      </c>
      <c r="B338" s="4" t="s">
        <v>679</v>
      </c>
      <c r="C338" s="4" t="str">
        <f>IFERROR(__xludf.DUMMYFUNCTION("GOOGLETRANSLATE(B338, ""en"", ""es"")"),"Compruebe las aplicaciones en su dispositivo para amenazas y elimínelas con seguridad")</f>
        <v>Compruebe las aplicaciones en su dispositivo para amenazas y elimínelas con seguridad</v>
      </c>
      <c r="D338" s="4" t="str">
        <f>IFERROR(__xludf.DUMMYFUNCTION("GOOGLETRANSLATE(B338, ""en"", ""pt"")"),"Verifique os aplicativos no seu dispositivo para ameaças e eliminá-los com segurança")</f>
        <v>Verifique os aplicativos no seu dispositivo para ameaças e eliminá-los com segurança</v>
      </c>
      <c r="E338" s="4" t="str">
        <f>IFERROR(__xludf.DUMMYFUNCTION("GOOGLETRANSLATE(B338, ""en"", ""ar"")"),"تحقق من التطبيقات على جهازك للتهديدات والقضاء عليها بأمان")</f>
        <v>تحقق من التطبيقات على جهازك للتهديدات والقضاء عليها بأمان</v>
      </c>
      <c r="F338" s="4" t="str">
        <f>IFERROR(__xludf.DUMMYFUNCTION("GOOGLETRANSLATE(B338, ""en"", ""km"")"),"ពិនិត្យកម្មវិធីនៅលើឧបករណ៍របស់អ្នកសម្រាប់ការគំរាមកំហែងនិងលុបបំបាត់ពួកគេដោយសុវត្ថិភាព")</f>
        <v>ពិនិត្យកម្មវិធីនៅលើឧបករណ៍របស់អ្នកសម្រាប់ការគំរាមកំហែងនិងលុបបំបាត់ពួកគេដោយសុវត្ថិភាព</v>
      </c>
      <c r="G338" s="4" t="str">
        <f>IFERROR(__xludf.DUMMYFUNCTION("GOOGLETRANSLATE(B338, ""en"", ""fr"")"),"Vérifiez les applications sur votre appareil pour les menaces et éliminez-les en toute sécurité")</f>
        <v>Vérifiez les applications sur votre appareil pour les menaces et éliminez-les en toute sécurité</v>
      </c>
      <c r="H338" s="4" t="str">
        <f>IFERROR(__xludf.DUMMYFUNCTION("GOOGLETRANSLATE(B338, ""en"", ""ro"")"),"Verificați aplicațiile de pe dispozitivul dvs. pentru amenințări și le eliminați în siguranță")</f>
        <v>Verificați aplicațiile de pe dispozitivul dvs. pentru amenințări și le eliminați în siguranță</v>
      </c>
      <c r="I338" s="4" t="str">
        <f>IFERROR(__xludf.DUMMYFUNCTION("GOOGLETRANSLATE(B338, ""en"", ""my"")"),"သင်၏ကိရိယာပေါ်ရှိအက်ပ်များကိုခြိမ်းခြောက်မှုများအတွက်စစ်ဆေးပြီးလုံခြုံစွာဖယ်ရှားပါ")</f>
        <v>သင်၏ကိရိယာပေါ်ရှိအက်ပ်များကိုခြိမ်းခြောက်မှုများအတွက်စစ်ဆေးပြီးလုံခြုံစွာဖယ်ရှားပါ</v>
      </c>
      <c r="J338" s="4" t="str">
        <f>IFERROR(__xludf.DUMMYFUNCTION("GOOGLETRANSLATE(B338, ""en"", ""sw"")"),"Angalia programu kwenye kifaa chako kwa vitisho na uwaondoe kwa usalama")</f>
        <v>Angalia programu kwenye kifaa chako kwa vitisho na uwaondoe kwa usalama</v>
      </c>
      <c r="K338" s="4" t="str">
        <f>IFERROR(__xludf.DUMMYFUNCTION("GOOGLETRANSLATE(B338, ""en"", ""th"")"),"ตรวจสอบแอปบนอุปกรณ์ของคุณสำหรับการคุกคามและกำจัดพวกเขาอย่างปลอดภัย")</f>
        <v>ตรวจสอบแอปบนอุปกรณ์ของคุณสำหรับการคุกคามและกำจัดพวกเขาอย่างปลอดภัย</v>
      </c>
      <c r="L338" s="4" t="str">
        <f>IFERROR(__xludf.DUMMYFUNCTION("GOOGLETRANSLATE(B338, ""en"", ""si"")"),"තර්ජන සඳහා ඔබගේ උපාංගයේ යෙදුම් පරීක්ෂා කිරීම සහ ඒවා ආරක්ෂිතව ඉවත් කිරීම සඳහා පරීක්ෂා කරන්න")</f>
        <v>තර්ජන සඳහා ඔබගේ උපාංගයේ යෙදුම් පරීක්ෂා කිරීම සහ ඒවා ආරක්ෂිතව ඉවත් කිරීම සඳහා පරීක්ෂා කරන්න</v>
      </c>
      <c r="M338" s="4" t="str">
        <f>IFERROR(__xludf.DUMMYFUNCTION("GOOGLETRANSLATE(B338, ""en"", ""vi"")"),"Kiểm tra ứng dụng trên thiết bị của bạn để biết các mối đe dọa và loại bỏ chúng một cách an toàn")</f>
        <v>Kiểm tra ứng dụng trên thiết bị của bạn để biết các mối đe dọa và loại bỏ chúng một cách an toàn</v>
      </c>
      <c r="N338" s="4" t="str">
        <f>IFERROR(__xludf.DUMMYFUNCTION("GOOGLETRANSLATE(B338, ""en"", ""ne"")"),"धम्कीहरूको लागि तपाईंको उपकरणमा अनुप्रयोगहरू जाँच गर्नुहोस् र तिनीहरूलाई सुरक्षित रूपमा हटाउन")</f>
        <v>धम्कीहरूको लागि तपाईंको उपकरणमा अनुप्रयोगहरू जाँच गर्नुहोस् र तिनीहरूलाई सुरक्षित रूपमा हटाउन</v>
      </c>
      <c r="O338" s="4" t="str">
        <f>IFERROR(__xludf.DUMMYFUNCTION("GOOGLETRANSLATE(B338, ""en"", ""de"")"),"Überprüfen Sie die Apps auf Ihrem Gerät für Bedrohungen und beseitigen Sie sie sicher")</f>
        <v>Überprüfen Sie die Apps auf Ihrem Gerät für Bedrohungen und beseitigen Sie sie sicher</v>
      </c>
      <c r="P338" s="4" t="str">
        <f>IFERROR(__xludf.DUMMYFUNCTION("GOOGLETRANSLATE(B338, ""en"", ""he"")"),"בדוק יישומים במכשיר שלך לאיומים ולחסל אותם בבטחה")</f>
        <v>בדוק יישומים במכשיר שלך לאיומים ולחסל אותם בבטחה</v>
      </c>
      <c r="Q338" s="4" t="str">
        <f>IFERROR(__xludf.DUMMYFUNCTION("GOOGLETRANSLATE(B338, ""en"", ""cs"")"),"Zkontrolujte aplikace v zařízení pro hrozby a bezpečně je eliminujte")</f>
        <v>Zkontrolujte aplikace v zařízení pro hrozby a bezpečně je eliminujte</v>
      </c>
      <c r="R338" s="4" t="str">
        <f>IFERROR(__xludf.DUMMYFUNCTION("GOOGLETRANSLATE(B338, ""en"", ""it"")"),"Controlla le app sul tuo dispositivo per minacce ed eliminarle in sicurezza")</f>
        <v>Controlla le app sul tuo dispositivo per minacce ed eliminarle in sicurezza</v>
      </c>
      <c r="S338" s="4" t="str">
        <f>IFERROR(__xludf.DUMMYFUNCTION("GOOGLETRANSLATE(B338, ""en"", ""el"")"),"Ελέγξτε τις εφαρμογές στη συσκευή σας για απειλές και εξαλείψτε τα με ασφάλεια")</f>
        <v>Ελέγξτε τις εφαρμογές στη συσκευή σας για απειλές και εξαλείψτε τα με ασφάλεια</v>
      </c>
    </row>
    <row r="339" ht="15.75" customHeight="1">
      <c r="A339" s="4" t="s">
        <v>680</v>
      </c>
      <c r="B339" s="4" t="s">
        <v>681</v>
      </c>
      <c r="C339" s="4" t="str">
        <f>IFERROR(__xludf.DUMMYFUNCTION("GOOGLETRANSLATE(B339, ""en"", ""es"")"),"Esta aplicación recopila y envía los detalles de la tarjeta SIM, incluida la libreta de direcciones, el PIN móvil y el historial de llamadas. Esto puede agregar cargos al plan de datos y es un alto riesgo de privacidad.")</f>
        <v>Esta aplicación recopila y envía los detalles de la tarjeta SIM, incluida la libreta de direcciones, el PIN móvil y el historial de llamadas. Esto puede agregar cargos al plan de datos y es un alto riesgo de privacidad.</v>
      </c>
      <c r="D339" s="4" t="str">
        <f>IFERROR(__xludf.DUMMYFUNCTION("GOOGLETRANSLATE(B339, ""en"", ""pt"")"),"Este aplicativo coleta e envia detalhes do cartão SIM, incluindo catálogo de endereços, pino móvel e histórico de chamadas. Isso pode adicionar taxas ao plano de dados e é um alto risco de privacidade.")</f>
        <v>Este aplicativo coleta e envia detalhes do cartão SIM, incluindo catálogo de endereços, pino móvel e histórico de chamadas. Isso pode adicionar taxas ao plano de dados e é um alto risco de privacidade.</v>
      </c>
      <c r="E339" s="4" t="str">
        <f>IFERROR(__xludf.DUMMYFUNCTION("GOOGLETRANSLATE(B339, ""en"", ""ar"")"),"يجمع هذا التطبيق ويرسل تفاصيل بطاقة SIM، بما في ذلك دفتر العناوين، دبوس المحمول، وسجل الاتصال. هذا يمكن أن يضيف رسوم إلى خطة البيانات وهي مخاطر عالية الخصوصية.")</f>
        <v>يجمع هذا التطبيق ويرسل تفاصيل بطاقة SIM، بما في ذلك دفتر العناوين، دبوس المحمول، وسجل الاتصال. هذا يمكن أن يضيف رسوم إلى خطة البيانات وهي مخاطر عالية الخصوصية.</v>
      </c>
      <c r="F339" s="4" t="str">
        <f>IFERROR(__xludf.DUMMYFUNCTION("GOOGLETRANSLATE(B339, ""en"", ""km"")"),"កម្មវិធីនេះប្រមូលនិងផ្ញើព័ត៌មានលំអិតស៊ីមកាតរួមទាំងសៀវភៅអាសយដ្ឋានម្ជុលទូរស័ព្ទនិងប្រវត្តិហៅ។ នេះអាចបន្ថែមការគិតថ្លៃលើផែនការទិន្នន័យនិងហានិភ័យនៃភាពឯកជនខ្ពស់។")</f>
        <v>កម្មវិធីនេះប្រមូលនិងផ្ញើព័ត៌មានលំអិតស៊ីមកាតរួមទាំងសៀវភៅអាសយដ្ឋានម្ជុលទូរស័ព្ទនិងប្រវត្តិហៅ។ នេះអាចបន្ថែមការគិតថ្លៃលើផែនការទិន្នន័យនិងហានិភ័យនៃភាពឯកជនខ្ពស់។</v>
      </c>
      <c r="G339" s="4" t="str">
        <f>IFERROR(__xludf.DUMMYFUNCTION("GOOGLETRANSLATE(B339, ""en"", ""fr"")"),"Cette application collecte et envoie des informations de carte SIM, y compris le carnet d'adresses, la goupille mobile et l'historique des appels. Cela peut ajouter des frais au plan de données et constitue un risque de confidentialité élevé.")</f>
        <v>Cette application collecte et envoie des informations de carte SIM, y compris le carnet d'adresses, la goupille mobile et l'historique des appels. Cela peut ajouter des frais au plan de données et constitue un risque de confidentialité élevé.</v>
      </c>
      <c r="H339" s="4" t="str">
        <f>IFERROR(__xludf.DUMMYFUNCTION("GOOGLETRANSLATE(B339, ""en"", ""ro"")"),"Această aplicație colectează și trimite detalii despre cartela SIM, inclusiv agenda, PIN-ul mobil și istoricul apelurilor. Acest lucru poate adăuga taxe la planul de date și este un risc ridicat de confidențialitate.")</f>
        <v>Această aplicație colectează și trimite detalii despre cartela SIM, inclusiv agenda, PIN-ul mobil și istoricul apelurilor. Acest lucru poate adăuga taxe la planul de date și este un risc ridicat de confidențialitate.</v>
      </c>
      <c r="I339" s="4" t="str">
        <f>IFERROR(__xludf.DUMMYFUNCTION("GOOGLETRANSLATE(B339, ""en"", ""my"")"),"ဤအက်ပ်သည်လိပ်စာစာအုပ်, မိုဘိုင်း PIN နံပါတ်နှင့်ခေါ်ဆိုမှုသမိုင်းအပါအ 0 င် SIM ကဒ်အသေးစိတ်ကိုစုဆောင်းသည်။ ၎င်းသည်ဒေတာအစီအစဉ်ကိုစွဲချက်တင်နိုင်ပြီးအလွန်အမင်း privacy ကိုအန္တရာယ်ရှိနိုင်သည်။")</f>
        <v>ဤအက်ပ်သည်လိပ်စာစာအုပ်, မိုဘိုင်း PIN နံပါတ်နှင့်ခေါ်ဆိုမှုသမိုင်းအပါအ 0 င် SIM ကဒ်အသေးစိတ်ကိုစုဆောင်းသည်။ ၎င်းသည်ဒေတာအစီအစဉ်ကိုစွဲချက်တင်နိုင်ပြီးအလွန်အမင်း privacy ကိုအန္တရာယ်ရှိနိုင်သည်။</v>
      </c>
      <c r="J339" s="4" t="str">
        <f>IFERROR(__xludf.DUMMYFUNCTION("GOOGLETRANSLATE(B339, ""en"", ""sw"")"),"Programu hii inakusanya na kutuma maelezo ya kadi ya SIM, ikiwa ni pamoja na kitabu cha anwani, pini ya simu, na historia ya simu. Hii inaweza kuongeza mashtaka kwa mpango wa data na ni hatari ya faragha ya juu.")</f>
        <v>Programu hii inakusanya na kutuma maelezo ya kadi ya SIM, ikiwa ni pamoja na kitabu cha anwani, pini ya simu, na historia ya simu. Hii inaweza kuongeza mashtaka kwa mpango wa data na ni hatari ya faragha ya juu.</v>
      </c>
      <c r="K339" s="4" t="str">
        <f>IFERROR(__xludf.DUMMYFUNCTION("GOOGLETRANSLATE(B339, ""en"", ""th"")"),"แอพนี้รวบรวมและส่งรายละเอียดซิมการ์ดรวมถึงสมุดที่อยู่, PIN มือถือและประวัติการโทร สิ่งนี้สามารถเพิ่มค่าใช้จ่ายในแผนข้อมูลและมีความเสี่ยงด้านความเป็นส่วนตัวสูง")</f>
        <v>แอพนี้รวบรวมและส่งรายละเอียดซิมการ์ดรวมถึงสมุดที่อยู่, PIN มือถือและประวัติการโทร สิ่งนี้สามารถเพิ่มค่าใช้จ่ายในแผนข้อมูลและมีความเสี่ยงด้านความเป็นส่วนตัวสูง</v>
      </c>
      <c r="L339" s="4" t="str">
        <f>IFERROR(__xludf.DUMMYFUNCTION("GOOGLETRANSLATE(B339, ""en"", ""si"")"),"මෙම යෙදුම ලිපින පොත, ජංගම PIN අංකය සහ ඉතිහාසය ඇමතීම ඇතුළුව සිම් කාඩ් විස්තර එකතු කර යවයි. මෙය දත්ත සැලැස්මට ගාස්තු එකතු කළ හැකි අතර එය ඉහළ රහස්යතා අවදානමකි.")</f>
        <v>මෙම යෙදුම ලිපින පොත, ජංගම PIN අංකය සහ ඉතිහාසය ඇමතීම ඇතුළුව සිම් කාඩ් විස්තර එකතු කර යවයි. මෙය දත්ත සැලැස්මට ගාස්තු එකතු කළ හැකි අතර එය ඉහළ රහස්යතා අවදානමකි.</v>
      </c>
      <c r="M339" s="4" t="str">
        <f>IFERROR(__xludf.DUMMYFUNCTION("GOOGLETRANSLATE(B339, ""en"", ""vi"")"),"Ứng dụng này thu thập và gửi chi tiết thẻ SIM, bao gồm sổ địa chỉ, mã PIN di động và lịch sử cuộc gọi. Điều này có thể thêm phí vào gói dữ liệu và là một rủi ro quyền riêng tư cao.")</f>
        <v>Ứng dụng này thu thập và gửi chi tiết thẻ SIM, bao gồm sổ địa chỉ, mã PIN di động và lịch sử cuộc gọi. Điều này có thể thêm phí vào gói dữ liệu và là một rủi ro quyền riêng tư cao.</v>
      </c>
      <c r="N339" s="4" t="str">
        <f>IFERROR(__xludf.DUMMYFUNCTION("GOOGLETRANSLATE(B339, ""en"", ""ne"")"),"यो अनुप्रयोगले स collect ्कलन गर्दछ र सिम कार्ड विवरणहरू, मोबाइल पिन, मोबाइल पिन र ईतिहास सहित पठाउँदछ। यसले डाटा योजनामा ​​शुल्क थप्न सक्छ र एक उच्च गोपनीयता जोखिम हो।")</f>
        <v>यो अनुप्रयोगले स collect ्कलन गर्दछ र सिम कार्ड विवरणहरू, मोबाइल पिन, मोबाइल पिन र ईतिहास सहित पठाउँदछ। यसले डाटा योजनामा ​​शुल्क थप्न सक्छ र एक उच्च गोपनीयता जोखिम हो।</v>
      </c>
      <c r="O339" s="4" t="str">
        <f>IFERROR(__xludf.DUMMYFUNCTION("GOOGLETRANSLATE(B339, ""en"", ""de"")"),"Diese App sammelt und sendet SIM-Kartendetails, einschließlich Adressbuch, Mobilfunknadel und Anrufverlauf. Dies kann Angelegenheiten für den Datenplan hinzufügen und ein hohes Datenschutzrisiko.")</f>
        <v>Diese App sammelt und sendet SIM-Kartendetails, einschließlich Adressbuch, Mobilfunknadel und Anrufverlauf. Dies kann Angelegenheiten für den Datenplan hinzufügen und ein hohes Datenschutzrisiko.</v>
      </c>
      <c r="P339" s="4" t="str">
        <f>IFERROR(__xludf.DUMMYFUNCTION("GOOGLETRANSLATE(B339, ""en"", ""he"")"),"אפליקציה זו אוספת ושולחת פרטי כרטיס ה- SIM, כולל פנקס כתובות, סיכה ניידת והיסטוריית התקשרות. זה יכול להוסיף חיובים לתוכנית נתונים והוא סיכון פרטיות גבוה.")</f>
        <v>אפליקציה זו אוספת ושולחת פרטי כרטיס ה- SIM, כולל פנקס כתובות, סיכה ניידת והיסטוריית התקשרות. זה יכול להוסיף חיובים לתוכנית נתונים והוא סיכון פרטיות גבוה.</v>
      </c>
      <c r="Q339" s="4" t="str">
        <f>IFERROR(__xludf.DUMMYFUNCTION("GOOGLETRANSLATE(B339, ""en"", ""cs"")"),"Tato aplikace shromažďuje a odešle detaily SIM karty, včetně adresáře, mobilního pin a historie volání. To může přidávat poplatky do plánu dat a je vysokým rizikem soukromí.")</f>
        <v>Tato aplikace shromažďuje a odešle detaily SIM karty, včetně adresáře, mobilního pin a historie volání. To může přidávat poplatky do plánu dat a je vysokým rizikem soukromí.</v>
      </c>
      <c r="R339" s="4" t="str">
        <f>IFERROR(__xludf.DUMMYFUNCTION("GOOGLETRANSLATE(B339, ""en"", ""it"")"),"Questa applicazione raccoglie e invia i dettagli della carta SIM, inclusa la rubrica, il perno mobile e la cronologia delle chiamate. Questo può aggiungere addebiti al piano dati ed è un alto rischio di privacy.")</f>
        <v>Questa applicazione raccoglie e invia i dettagli della carta SIM, inclusa la rubrica, il perno mobile e la cronologia delle chiamate. Questo può aggiungere addebiti al piano dati ed è un alto rischio di privacy.</v>
      </c>
      <c r="S339" s="4" t="str">
        <f>IFERROR(__xludf.DUMMYFUNCTION("GOOGLETRANSLATE(B339, ""en"", ""el"")"),"Αυτή η εφαρμογή συλλέγει και στέλνει λεπτομέρειες κάρτας SIM, συμπεριλαμβανομένου του βιβλίου διευθύνσεων, του κινητού πείρου και του ιστορικού κλήσεων. Αυτό μπορεί να προσθέσει χρεώσεις στο σχέδιο δεδομένων και είναι ένας υψηλός κίνδυνος απορρήτου.")</f>
        <v>Αυτή η εφαρμογή συλλέγει και στέλνει λεπτομέρειες κάρτας SIM, συμπεριλαμβανομένου του βιβλίου διευθύνσεων, του κινητού πείρου και του ιστορικού κλήσεων. Αυτό μπορεί να προσθέσει χρεώσεις στο σχέδιο δεδομένων και είναι ένας υψηλός κίνδυνος απορρήτου.</v>
      </c>
    </row>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2021-09-15T14:16:07Z</dcterms:created>
  <dc:creator>Apache POI</dc:creator>
</cp:coreProperties>
</file>